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1899"/>
  <sheetViews>
    <sheetView workbookViewId="0">
      <selection activeCell="A1" sqref="A1"/>
    </sheetView>
  </sheetViews>
  <sheetFormatPr baseColWidth="8" defaultRowHeight="15"/>
  <sheetData>
    <row r="1">
      <c r="A1" t="inlineStr">
        <is>
          <t>Имя файла</t>
        </is>
      </c>
      <c r="B1" t="inlineStr">
        <is>
          <t>Гиперссылка</t>
        </is>
      </c>
      <c r="C1" t="inlineStr">
        <is>
          <t>camera</t>
        </is>
      </c>
      <c r="D1" t="inlineStr">
        <is>
          <t>latitude</t>
        </is>
      </c>
      <c r="E1" t="inlineStr">
        <is>
          <t>longitude</t>
        </is>
      </c>
      <c r="F1" t="inlineStr">
        <is>
          <t>TP</t>
        </is>
      </c>
      <c r="G1" t="inlineStr">
        <is>
          <t>FP</t>
        </is>
      </c>
      <c r="H1" t="inlineStr">
        <is>
          <t>Да/Нет</t>
        </is>
      </c>
    </row>
    <row r="2">
      <c r="A2" t="inlineStr">
        <is>
          <t>b19788e8-ff7e-442a-9e3c-c9eefbcb42dc.jpg</t>
        </is>
      </c>
      <c r="B2">
        <f>HYPERLINK("Объекты недвижимости, не соответствующие градостроительным нормам_00-022_Август/b19788e8-ff7e-442a-9e3c-c9eefbcb42dc.jpg","open")</f>
        <v/>
      </c>
      <c r="C2" t="inlineStr">
        <is>
          <t>fb40ed24-21ef-458a-a239-038ab19932cc</t>
        </is>
      </c>
      <c r="D2" t="n">
        <v>55.57043</v>
      </c>
      <c r="E2" t="n">
        <v>37.94224</v>
      </c>
      <c r="F2" t="inlineStr"/>
      <c r="G2" t="inlineStr"/>
      <c r="H2" t="inlineStr"/>
    </row>
    <row r="3">
      <c r="A3" t="inlineStr">
        <is>
          <t>15b8bee9-54a1-4b56-9188-cdf0206833f0.jpg</t>
        </is>
      </c>
      <c r="B3">
        <f>HYPERLINK("Объекты недвижимости, не соответствующие градостроительным нормам_00-022_Август/15b8bee9-54a1-4b56-9188-cdf0206833f0.jpg","open")</f>
        <v/>
      </c>
      <c r="C3" t="inlineStr">
        <is>
          <t>cbf95b01-f708-45a3-9ec0-3603469b538e</t>
        </is>
      </c>
      <c r="D3" t="n">
        <v>55.97218</v>
      </c>
      <c r="E3" t="n">
        <v>37.44981</v>
      </c>
      <c r="F3" t="inlineStr"/>
      <c r="G3" t="inlineStr"/>
      <c r="H3" t="inlineStr"/>
    </row>
    <row r="4">
      <c r="A4" t="inlineStr">
        <is>
          <t>25073a6e-d418-44b3-9d00-77db20f635b4.jpg</t>
        </is>
      </c>
      <c r="B4">
        <f>HYPERLINK("Объекты недвижимости, не соответствующие градостроительным нормам_00-022_Август/25073a6e-d418-44b3-9d00-77db20f635b4.jpg","open")</f>
        <v/>
      </c>
      <c r="C4" t="inlineStr">
        <is>
          <t>cbf95b01-f708-45a3-9ec0-3603469b538e</t>
        </is>
      </c>
      <c r="D4" t="n">
        <v>55.97218</v>
      </c>
      <c r="E4" t="n">
        <v>37.44981</v>
      </c>
      <c r="F4" t="inlineStr"/>
      <c r="G4" t="inlineStr"/>
      <c r="H4" t="inlineStr"/>
    </row>
    <row r="5">
      <c r="A5" t="inlineStr">
        <is>
          <t>086dfadf-9cf7-4e35-888b-02fb5a3b77c1.jpg</t>
        </is>
      </c>
      <c r="B5">
        <f>HYPERLINK("Объекты недвижимости, не соответствующие градостроительным нормам_00-022_Август/086dfadf-9cf7-4e35-888b-02fb5a3b77c1.jpg","open")</f>
        <v/>
      </c>
      <c r="C5" t="inlineStr">
        <is>
          <t>cbf95b01-f708-45a3-9ec0-3603469b538e</t>
        </is>
      </c>
      <c r="D5" t="n">
        <v>55.97218</v>
      </c>
      <c r="E5" t="n">
        <v>37.44981</v>
      </c>
      <c r="F5" t="inlineStr"/>
      <c r="G5" t="inlineStr"/>
      <c r="H5" t="inlineStr"/>
    </row>
    <row r="6">
      <c r="A6" t="inlineStr">
        <is>
          <t>f9cc04d6-ece4-4f09-bdf9-229b1f743936.jpg</t>
        </is>
      </c>
      <c r="B6">
        <f>HYPERLINK("Объекты недвижимости, не соответствующие градостроительным нормам_00-022_Август/f9cc04d6-ece4-4f09-bdf9-229b1f743936.jpg","open")</f>
        <v/>
      </c>
      <c r="C6" t="inlineStr">
        <is>
          <t>cbf95b01-f708-45a3-9ec0-3603469b538e</t>
        </is>
      </c>
      <c r="D6" t="n">
        <v>55.97218</v>
      </c>
      <c r="E6" t="n">
        <v>37.44981</v>
      </c>
      <c r="F6" t="inlineStr"/>
      <c r="G6" t="inlineStr"/>
      <c r="H6" t="inlineStr"/>
    </row>
    <row r="7">
      <c r="A7" t="inlineStr">
        <is>
          <t>b9de70d9-2d31-4b7a-aff0-4b41971de5b4.jpg</t>
        </is>
      </c>
      <c r="B7">
        <f>HYPERLINK("Объекты недвижимости, не соответствующие градостроительным нормам_00-022_Август/b9de70d9-2d31-4b7a-aff0-4b41971de5b4.jpg","open")</f>
        <v/>
      </c>
      <c r="C7" t="inlineStr">
        <is>
          <t>cbf95b01-f708-45a3-9ec0-3603469b538e</t>
        </is>
      </c>
      <c r="D7" t="n">
        <v>55.97218</v>
      </c>
      <c r="E7" t="n">
        <v>37.44981</v>
      </c>
      <c r="F7" t="inlineStr"/>
      <c r="G7" t="inlineStr"/>
      <c r="H7" t="inlineStr"/>
    </row>
    <row r="8">
      <c r="A8" t="inlineStr">
        <is>
          <t>a774322d-f93d-41d4-aa78-464add29d9f2.jpg</t>
        </is>
      </c>
      <c r="B8">
        <f>HYPERLINK("Объекты недвижимости, не соответствующие градостроительным нормам_00-022_Август/a774322d-f93d-41d4-aa78-464add29d9f2.jpg","open")</f>
        <v/>
      </c>
      <c r="C8" t="inlineStr">
        <is>
          <t>936502dd-24a4-4256-9fdf-0d8fb72af3ed</t>
        </is>
      </c>
      <c r="D8" t="n">
        <v>55.9893</v>
      </c>
      <c r="E8" t="n">
        <v>37.83598</v>
      </c>
      <c r="F8" t="inlineStr"/>
      <c r="G8" t="inlineStr"/>
      <c r="H8" t="inlineStr"/>
    </row>
    <row r="9">
      <c r="A9" t="inlineStr">
        <is>
          <t>cf9f1c45-2bae-4f27-9d12-6e94e0bc2268.jpg</t>
        </is>
      </c>
      <c r="B9">
        <f>HYPERLINK("Объекты недвижимости, не соответствующие градостроительным нормам_00-022_Август/cf9f1c45-2bae-4f27-9d12-6e94e0bc2268.jpg","open")</f>
        <v/>
      </c>
      <c r="C9" t="inlineStr">
        <is>
          <t>caa4772d-6278-4484-a046-ee25514bf521</t>
        </is>
      </c>
      <c r="D9" t="n">
        <v>55.8391</v>
      </c>
      <c r="E9" t="n">
        <v>37.6522</v>
      </c>
      <c r="F9" t="inlineStr"/>
      <c r="G9" t="inlineStr"/>
      <c r="H9" t="inlineStr"/>
    </row>
    <row r="10">
      <c r="A10" t="inlineStr">
        <is>
          <t>fa17ee7f-cc2d-474b-addd-b3497ea58a2d.jpg</t>
        </is>
      </c>
      <c r="B10">
        <f>HYPERLINK("Объекты недвижимости, не соответствующие градостроительным нормам_00-022_Август/fa17ee7f-cc2d-474b-addd-b3497ea58a2d.jpg","open")</f>
        <v/>
      </c>
      <c r="C10" t="inlineStr">
        <is>
          <t>cbf95b01-f708-45a3-9ec0-3603469b538e</t>
        </is>
      </c>
      <c r="D10" t="n">
        <v>55.97218</v>
      </c>
      <c r="E10" t="n">
        <v>37.44981</v>
      </c>
      <c r="F10" t="inlineStr"/>
      <c r="G10" t="inlineStr"/>
      <c r="H10" t="inlineStr"/>
    </row>
    <row r="11">
      <c r="A11" t="inlineStr">
        <is>
          <t>d397504e-a32f-4b6c-b1da-f6fecc1c9381.jpg</t>
        </is>
      </c>
      <c r="B11">
        <f>HYPERLINK("Объекты недвижимости, не соответствующие градостроительным нормам_00-022_Август/d397504e-a32f-4b6c-b1da-f6fecc1c9381.jpg","open")</f>
        <v/>
      </c>
      <c r="C11" t="inlineStr">
        <is>
          <t>cbf95b01-f708-45a3-9ec0-3603469b538e</t>
        </is>
      </c>
      <c r="D11" t="n">
        <v>55.97218</v>
      </c>
      <c r="E11" t="n">
        <v>37.44981</v>
      </c>
      <c r="F11" t="inlineStr"/>
      <c r="G11" t="inlineStr"/>
      <c r="H11" t="inlineStr"/>
    </row>
    <row r="12">
      <c r="A12" t="inlineStr">
        <is>
          <t>87e6a0e0-60ad-4426-973e-3b5b91039d58.jpg</t>
        </is>
      </c>
      <c r="B12">
        <f>HYPERLINK("Объекты недвижимости, не соответствующие градостроительным нормам_00-022_Август/87e6a0e0-60ad-4426-973e-3b5b91039d58.jpg","open")</f>
        <v/>
      </c>
      <c r="C12" t="inlineStr">
        <is>
          <t>a1a9db89-3f74-42ef-8fad-ad69705102cd</t>
        </is>
      </c>
      <c r="D12" t="n">
        <v>55.97218</v>
      </c>
      <c r="E12" t="n">
        <v>37.44981</v>
      </c>
      <c r="F12" t="inlineStr"/>
      <c r="G12" t="inlineStr"/>
      <c r="H12" t="inlineStr"/>
    </row>
    <row r="13">
      <c r="A13" t="inlineStr">
        <is>
          <t>ca46f2eb-4033-49a7-a411-e6101a0bc460.jpg</t>
        </is>
      </c>
      <c r="B13">
        <f>HYPERLINK("Объекты недвижимости, не соответствующие градостроительным нормам_00-022_Август/ca46f2eb-4033-49a7-a411-e6101a0bc460.jpg","open")</f>
        <v/>
      </c>
      <c r="C13" t="inlineStr">
        <is>
          <t>cbf95b01-f708-45a3-9ec0-3603469b538e</t>
        </is>
      </c>
      <c r="D13" t="n">
        <v>55.97218</v>
      </c>
      <c r="E13" t="n">
        <v>37.44981</v>
      </c>
      <c r="F13" t="inlineStr"/>
      <c r="G13" t="inlineStr"/>
      <c r="H13" t="inlineStr"/>
    </row>
    <row r="14">
      <c r="A14" t="inlineStr">
        <is>
          <t>9acc0456-36c0-431a-9e77-061f48810f3c.jpg</t>
        </is>
      </c>
      <c r="B14">
        <f>HYPERLINK("Объекты недвижимости, не соответствующие градостроительным нормам_00-022_Август/9acc0456-36c0-431a-9e77-061f48810f3c.jpg","open")</f>
        <v/>
      </c>
      <c r="C14" t="inlineStr">
        <is>
          <t>cbf95b01-f708-45a3-9ec0-3603469b538e</t>
        </is>
      </c>
      <c r="D14" t="n">
        <v>55.97218</v>
      </c>
      <c r="E14" t="n">
        <v>37.44981</v>
      </c>
      <c r="F14" t="inlineStr"/>
      <c r="G14" t="inlineStr"/>
      <c r="H14" t="inlineStr"/>
    </row>
    <row r="15">
      <c r="A15" t="inlineStr">
        <is>
          <t>b96e205e-16b7-47d3-b16c-5e0bd7328837.jpg</t>
        </is>
      </c>
      <c r="B15">
        <f>HYPERLINK("Объекты недвижимости, не соответствующие градостроительным нормам_00-022_Август/b96e205e-16b7-47d3-b16c-5e0bd7328837.jpg","open")</f>
        <v/>
      </c>
      <c r="C15" t="inlineStr">
        <is>
          <t>5e5b9944-4f9e-4223-bf96-0bc0c8a93dfa</t>
        </is>
      </c>
      <c r="D15" t="n">
        <v>55.72363</v>
      </c>
      <c r="E15" t="n">
        <v>37.70822</v>
      </c>
      <c r="F15" t="inlineStr"/>
      <c r="G15" t="inlineStr"/>
      <c r="H15" t="inlineStr"/>
    </row>
    <row r="16">
      <c r="A16" t="inlineStr">
        <is>
          <t>0a18afd3-ba78-4695-8afd-bc862aac07a2.jpg</t>
        </is>
      </c>
      <c r="B16">
        <f>HYPERLINK("Объекты недвижимости, не соответствующие градостроительным нормам_00-022_Август/0a18afd3-ba78-4695-8afd-bc862aac07a2.jpg","open")</f>
        <v/>
      </c>
      <c r="C16" t="inlineStr">
        <is>
          <t>750bf7e4-0f0f-4f1a-96af-607dc8c1f1c9</t>
        </is>
      </c>
      <c r="D16" t="n">
        <v>56.17916</v>
      </c>
      <c r="E16" t="n">
        <v>37.42424</v>
      </c>
      <c r="F16" t="inlineStr"/>
      <c r="G16" t="inlineStr"/>
      <c r="H16" t="inlineStr"/>
    </row>
    <row r="17">
      <c r="A17" t="inlineStr">
        <is>
          <t>957ace86-51be-4bb2-96c9-5377a26fc33b.jpg</t>
        </is>
      </c>
      <c r="B17">
        <f>HYPERLINK("Объекты недвижимости, не соответствующие градостроительным нормам_00-022_Август/957ace86-51be-4bb2-96c9-5377a26fc33b.jpg","open")</f>
        <v/>
      </c>
      <c r="C17" t="inlineStr">
        <is>
          <t>31a713a9-b910-424b-b847-e0eaa2f70c70</t>
        </is>
      </c>
      <c r="D17" t="n">
        <v>56.17916</v>
      </c>
      <c r="E17" t="n">
        <v>37.42424</v>
      </c>
      <c r="F17" t="inlineStr"/>
      <c r="G17" t="inlineStr"/>
      <c r="H17" t="inlineStr"/>
    </row>
    <row r="18">
      <c r="A18" t="inlineStr">
        <is>
          <t>63f7df7d-6448-46c0-bb36-eb3d061f5213.jpg</t>
        </is>
      </c>
      <c r="B18">
        <f>HYPERLINK("Объекты недвижимости, не соответствующие градостроительным нормам_00-022_Август/63f7df7d-6448-46c0-bb36-eb3d061f5213.jpg","open")</f>
        <v/>
      </c>
      <c r="C18" t="inlineStr">
        <is>
          <t>b0b7ea82-53be-40d0-b992-e2fd18611d5c</t>
        </is>
      </c>
      <c r="D18" t="n">
        <v>55.92016</v>
      </c>
      <c r="E18" t="n">
        <v>37.38926</v>
      </c>
      <c r="F18" t="inlineStr"/>
      <c r="G18" t="inlineStr"/>
      <c r="H18" t="inlineStr"/>
    </row>
    <row r="19">
      <c r="A19" t="inlineStr">
        <is>
          <t>dba238af-fb2b-4168-be0d-70ec93ac583b.jpg</t>
        </is>
      </c>
      <c r="B19">
        <f>HYPERLINK("Объекты недвижимости, не соответствующие градостроительным нормам_00-022_Август/dba238af-fb2b-4168-be0d-70ec93ac583b.jpg","open")</f>
        <v/>
      </c>
      <c r="C19" t="inlineStr">
        <is>
          <t>5e5b9944-4f9e-4223-bf96-0bc0c8a93dfa</t>
        </is>
      </c>
      <c r="D19" t="n">
        <v>55.7284</v>
      </c>
      <c r="E19" t="n">
        <v>37.67902</v>
      </c>
      <c r="F19" t="inlineStr"/>
      <c r="G19" t="inlineStr"/>
      <c r="H19" t="inlineStr"/>
    </row>
    <row r="20">
      <c r="A20" t="inlineStr">
        <is>
          <t>e87c8240-621d-489e-8a9e-6367f44c8722.jpg</t>
        </is>
      </c>
      <c r="B20">
        <f>HYPERLINK("Объекты недвижимости, не соответствующие градостроительным нормам_00-022_Август/e87c8240-621d-489e-8a9e-6367f44c8722.jpg","open")</f>
        <v/>
      </c>
      <c r="C20" t="inlineStr">
        <is>
          <t>5e5b9944-4f9e-4223-bf96-0bc0c8a93dfa</t>
        </is>
      </c>
      <c r="D20" t="n">
        <v>55.7284</v>
      </c>
      <c r="E20" t="n">
        <v>37.67902</v>
      </c>
      <c r="F20" t="inlineStr"/>
      <c r="G20" t="inlineStr"/>
      <c r="H20" t="inlineStr"/>
    </row>
    <row r="21">
      <c r="A21" t="inlineStr">
        <is>
          <t>55d1e73e-b0e0-42b5-84aa-7b217589408a.jpg</t>
        </is>
      </c>
      <c r="B21">
        <f>HYPERLINK("Объекты недвижимости, не соответствующие градостроительным нормам_00-022_Август/55d1e73e-b0e0-42b5-84aa-7b217589408a.jpg","open")</f>
        <v/>
      </c>
      <c r="C21" t="inlineStr">
        <is>
          <t>a1a9db89-3f74-42ef-8fad-ad69705102cd</t>
        </is>
      </c>
      <c r="D21" t="n">
        <v>55.97218</v>
      </c>
      <c r="E21" t="n">
        <v>37.44981</v>
      </c>
      <c r="F21" t="inlineStr"/>
      <c r="G21" t="inlineStr"/>
      <c r="H21" t="inlineStr"/>
    </row>
    <row r="22">
      <c r="A22" t="inlineStr">
        <is>
          <t>b6b6d4ba-49dc-4f58-8df5-9977b13ca134.jpg</t>
        </is>
      </c>
      <c r="B22">
        <f>HYPERLINK("Объекты недвижимости, не соответствующие градостроительным нормам_00-022_Август/b6b6d4ba-49dc-4f58-8df5-9977b13ca134.jpg","open")</f>
        <v/>
      </c>
      <c r="C22" t="inlineStr">
        <is>
          <t>18a5c468-d9e6-4814-8477-1caf4a2e1fe9</t>
        </is>
      </c>
      <c r="D22" t="n">
        <v>55.97263</v>
      </c>
      <c r="E22" t="n">
        <v>37.39886</v>
      </c>
      <c r="F22" t="inlineStr"/>
      <c r="G22" t="inlineStr"/>
      <c r="H22" t="inlineStr"/>
    </row>
    <row r="23">
      <c r="A23" t="inlineStr">
        <is>
          <t>084d5d8d-50d4-4f90-893b-10c969a2b464.jpg</t>
        </is>
      </c>
      <c r="B23">
        <f>HYPERLINK("Объекты недвижимости, не соответствующие градостроительным нормам_00-022_Август/084d5d8d-50d4-4f90-893b-10c969a2b464.jpg","open")</f>
        <v/>
      </c>
      <c r="C23" t="inlineStr">
        <is>
          <t>cbf95b01-f708-45a3-9ec0-3603469b538e</t>
        </is>
      </c>
      <c r="D23" t="n">
        <v>55.97218</v>
      </c>
      <c r="E23" t="n">
        <v>37.44981</v>
      </c>
      <c r="F23" t="inlineStr"/>
      <c r="G23" t="inlineStr"/>
      <c r="H23" t="inlineStr"/>
    </row>
    <row r="24">
      <c r="A24" t="inlineStr">
        <is>
          <t>c038e058-5531-4690-b025-5867de28dbac.jpg</t>
        </is>
      </c>
      <c r="B24">
        <f>HYPERLINK("Объекты недвижимости, не соответствующие градостроительным нормам_00-022_Август/c038e058-5531-4690-b025-5867de28dbac.jpg","open")</f>
        <v/>
      </c>
      <c r="C24" t="inlineStr">
        <is>
          <t>cbf95b01-f708-45a3-9ec0-3603469b538e</t>
        </is>
      </c>
      <c r="D24" t="n">
        <v>55.97218</v>
      </c>
      <c r="E24" t="n">
        <v>37.44981</v>
      </c>
      <c r="F24" t="inlineStr"/>
      <c r="G24" t="inlineStr"/>
      <c r="H24" t="inlineStr"/>
    </row>
    <row r="25">
      <c r="A25" t="inlineStr">
        <is>
          <t>08dcaf60-5b45-4422-886e-60bb3a68b170.jpg</t>
        </is>
      </c>
      <c r="B25">
        <f>HYPERLINK("Объекты недвижимости, не соответствующие градостроительным нормам_00-022_Август/08dcaf60-5b45-4422-886e-60bb3a68b170.jpg","open")</f>
        <v/>
      </c>
      <c r="C25" t="inlineStr">
        <is>
          <t>a1a9db89-3f74-42ef-8fad-ad69705102cd</t>
        </is>
      </c>
      <c r="D25" t="n">
        <v>55.97218</v>
      </c>
      <c r="E25" t="n">
        <v>37.44981</v>
      </c>
      <c r="F25" t="inlineStr"/>
      <c r="G25" t="inlineStr"/>
      <c r="H25" t="inlineStr"/>
    </row>
    <row r="26">
      <c r="A26" t="inlineStr">
        <is>
          <t>c0e4cc22-dd2c-45d7-ac7a-a06db0d625b3.jpg</t>
        </is>
      </c>
      <c r="B26">
        <f>HYPERLINK("Объекты недвижимости, не соответствующие градостроительным нормам_00-022_Август/c0e4cc22-dd2c-45d7-ac7a-a06db0d625b3.jpg","open")</f>
        <v/>
      </c>
      <c r="C26" t="inlineStr">
        <is>
          <t>cbf95b01-f708-45a3-9ec0-3603469b538e</t>
        </is>
      </c>
      <c r="D26" t="n">
        <v>55.97218</v>
      </c>
      <c r="E26" t="n">
        <v>37.44981</v>
      </c>
      <c r="F26" t="inlineStr"/>
      <c r="G26" t="inlineStr"/>
      <c r="H26" t="inlineStr"/>
    </row>
    <row r="27">
      <c r="A27" t="inlineStr">
        <is>
          <t>70eb4b90-189e-40f7-a129-c9300dadd39d.jpg</t>
        </is>
      </c>
      <c r="B27">
        <f>HYPERLINK("Объекты недвижимости, не соответствующие градостроительным нормам_00-022_Август/70eb4b90-189e-40f7-a129-c9300dadd39d.jpg","open")</f>
        <v/>
      </c>
      <c r="C27" t="inlineStr">
        <is>
          <t>5e5b9944-4f9e-4223-bf96-0bc0c8a93dfa</t>
        </is>
      </c>
      <c r="D27" t="n">
        <v>55.7284</v>
      </c>
      <c r="E27" t="n">
        <v>37.67902</v>
      </c>
      <c r="F27" t="inlineStr"/>
      <c r="G27" t="inlineStr"/>
      <c r="H27" t="inlineStr"/>
    </row>
    <row r="28">
      <c r="A28" t="inlineStr">
        <is>
          <t>64e65ab4-7298-4149-a3cf-36fa7fd78db7.jpg</t>
        </is>
      </c>
      <c r="B28">
        <f>HYPERLINK("Объекты недвижимости, не соответствующие градостроительным нормам_00-022_Август/64e65ab4-7298-4149-a3cf-36fa7fd78db7.jpg","open")</f>
        <v/>
      </c>
      <c r="C28" t="inlineStr">
        <is>
          <t>caa4772d-6278-4484-a046-ee25514bf521</t>
        </is>
      </c>
      <c r="D28" t="n">
        <v>55.83469</v>
      </c>
      <c r="E28" t="n">
        <v>37.65028</v>
      </c>
      <c r="F28" t="inlineStr"/>
      <c r="G28" t="inlineStr"/>
      <c r="H28" t="inlineStr"/>
    </row>
    <row r="29">
      <c r="A29" t="inlineStr">
        <is>
          <t>cb10ebe1-f9e1-46a6-af88-a356d8ec0edd.jpg</t>
        </is>
      </c>
      <c r="B29">
        <f>HYPERLINK("Объекты недвижимости, не соответствующие градостроительным нормам_00-022_Август/cb10ebe1-f9e1-46a6-af88-a356d8ec0edd.jpg","open")</f>
        <v/>
      </c>
      <c r="C29" t="inlineStr">
        <is>
          <t>61936922-4d4b-458e-80ea-6d4c450aa1d5</t>
        </is>
      </c>
      <c r="D29" t="n">
        <v>55.83648</v>
      </c>
      <c r="E29" t="n">
        <v>37.65131</v>
      </c>
      <c r="F29" t="inlineStr"/>
      <c r="G29" t="inlineStr"/>
      <c r="H29" t="inlineStr"/>
    </row>
    <row r="30">
      <c r="A30" t="inlineStr">
        <is>
          <t>ed24d5b1-ba65-4652-9bb8-d5c92510fbac.jpg</t>
        </is>
      </c>
      <c r="B30">
        <f>HYPERLINK("Объекты недвижимости, не соответствующие градостроительным нормам_00-022_Август/ed24d5b1-ba65-4652-9bb8-d5c92510fbac.jpg","open")</f>
        <v/>
      </c>
      <c r="C30" t="inlineStr">
        <is>
          <t>030e8755-17c1-44eb-9530-707d0d3121cb</t>
        </is>
      </c>
      <c r="D30" t="n">
        <v>55.70453</v>
      </c>
      <c r="E30" t="n">
        <v>37.66667</v>
      </c>
      <c r="F30" t="inlineStr"/>
      <c r="G30" t="inlineStr"/>
      <c r="H30" t="inlineStr"/>
    </row>
    <row r="31">
      <c r="A31" t="inlineStr">
        <is>
          <t>f16b9d5c-f4a5-4dfa-9913-550d17276c96.jpg</t>
        </is>
      </c>
      <c r="B31">
        <f>HYPERLINK("Объекты недвижимости, не соответствующие градостроительным нормам_00-022_Август/f16b9d5c-f4a5-4dfa-9913-550d17276c96.jpg","open")</f>
        <v/>
      </c>
      <c r="C31" t="inlineStr">
        <is>
          <t>1c951e11-4940-43c6-a447-394097e5609a</t>
        </is>
      </c>
      <c r="D31" t="n">
        <v>55.98896</v>
      </c>
      <c r="E31" t="n">
        <v>37.83786</v>
      </c>
      <c r="F31" t="inlineStr"/>
      <c r="G31" t="inlineStr"/>
      <c r="H31" t="inlineStr"/>
    </row>
    <row r="32">
      <c r="A32" t="inlineStr">
        <is>
          <t>fb1a5c26-ffef-4ff4-a69e-4ffc293b77fe.jpg</t>
        </is>
      </c>
      <c r="B32">
        <f>HYPERLINK("Объекты недвижимости, не соответствующие градостроительным нормам_00-022_Август/fb1a5c26-ffef-4ff4-a69e-4ffc293b77fe.jpg","open")</f>
        <v/>
      </c>
      <c r="C32" t="inlineStr">
        <is>
          <t>2acfb2da-e3f6-464c-bd17-4b713522c142</t>
        </is>
      </c>
      <c r="D32" t="n">
        <v>56.17481</v>
      </c>
      <c r="E32" t="n">
        <v>37.42743</v>
      </c>
      <c r="F32" t="inlineStr"/>
      <c r="G32" t="inlineStr"/>
      <c r="H32" t="inlineStr"/>
    </row>
    <row r="33">
      <c r="A33" t="inlineStr">
        <is>
          <t>bfc1223a-755a-414a-80f1-ba77b6e30b2e.jpg</t>
        </is>
      </c>
      <c r="B33">
        <f>HYPERLINK("Объекты недвижимости, не соответствующие градостроительным нормам_00-022_Август/bfc1223a-755a-414a-80f1-ba77b6e30b2e.jpg","open")</f>
        <v/>
      </c>
      <c r="C33" t="inlineStr">
        <is>
          <t>789f6c51-64ee-4078-b7bd-443af8b8b68a</t>
        </is>
      </c>
      <c r="D33" t="n">
        <v>56.17947</v>
      </c>
      <c r="E33" t="n">
        <v>37.43547</v>
      </c>
      <c r="F33" t="inlineStr"/>
      <c r="G33" t="inlineStr"/>
      <c r="H33" t="inlineStr"/>
    </row>
    <row r="34">
      <c r="A34" t="inlineStr">
        <is>
          <t>d03f8624-e006-487d-a392-7c9ce87a43b9.jpg</t>
        </is>
      </c>
      <c r="B34">
        <f>HYPERLINK("Объекты недвижимости, не соответствующие градостроительным нормам_00-022_Август/d03f8624-e006-487d-a392-7c9ce87a43b9.jpg","open")</f>
        <v/>
      </c>
      <c r="C34" t="inlineStr">
        <is>
          <t>5e5b9944-4f9e-4223-bf96-0bc0c8a93dfa</t>
        </is>
      </c>
      <c r="D34" t="n">
        <v>55.7284</v>
      </c>
      <c r="E34" t="n">
        <v>37.67902</v>
      </c>
      <c r="F34" t="inlineStr"/>
      <c r="G34" t="inlineStr"/>
      <c r="H34" t="inlineStr"/>
    </row>
    <row r="35">
      <c r="A35" t="inlineStr">
        <is>
          <t>0d62d4f0-6b0a-40a8-a123-784cee06f436.jpg</t>
        </is>
      </c>
      <c r="B35">
        <f>HYPERLINK("Объекты недвижимости, не соответствующие градостроительным нормам_00-022_Август/0d62d4f0-6b0a-40a8-a123-784cee06f436.jpg","open")</f>
        <v/>
      </c>
      <c r="C35" t="inlineStr">
        <is>
          <t>93848fc8-17e7-4748-9ebc-c7e379e11d2f</t>
        </is>
      </c>
      <c r="D35" t="n">
        <v>55.68502</v>
      </c>
      <c r="E35" t="n">
        <v>37.70735</v>
      </c>
      <c r="F35" t="inlineStr"/>
      <c r="G35" t="inlineStr"/>
      <c r="H35" t="inlineStr"/>
    </row>
    <row r="36">
      <c r="A36" t="inlineStr">
        <is>
          <t>beb4fb42-3c39-459a-a9a6-9cd6737d9d20.jpg</t>
        </is>
      </c>
      <c r="B36">
        <f>HYPERLINK("Объекты недвижимости, не соответствующие градостроительным нормам_00-022_Август/beb4fb42-3c39-459a-a9a6-9cd6737d9d20.jpg","open")</f>
        <v/>
      </c>
      <c r="C36" t="inlineStr">
        <is>
          <t>93848fc8-17e7-4748-9ebc-c7e379e11d2f</t>
        </is>
      </c>
      <c r="D36" t="n">
        <v>55.6829</v>
      </c>
      <c r="E36" t="n">
        <v>37.70211</v>
      </c>
      <c r="F36" t="inlineStr"/>
      <c r="G36" t="inlineStr"/>
      <c r="H36" t="inlineStr"/>
    </row>
    <row r="37">
      <c r="A37" t="inlineStr">
        <is>
          <t>bbd56378-44ee-4215-96ef-fbd5a013f96f.jpg</t>
        </is>
      </c>
      <c r="B37">
        <f>HYPERLINK("Объекты недвижимости, не соответствующие градостроительным нормам_00-022_Август/bbd56378-44ee-4215-96ef-fbd5a013f96f.jpg","open")</f>
        <v/>
      </c>
      <c r="C37" t="inlineStr">
        <is>
          <t>1c951e11-4940-43c6-a447-394097e5609a</t>
        </is>
      </c>
      <c r="D37" t="n">
        <v>55.72636</v>
      </c>
      <c r="E37" t="n">
        <v>37.62932</v>
      </c>
      <c r="F37" t="inlineStr"/>
      <c r="G37" t="inlineStr"/>
      <c r="H37" t="inlineStr"/>
    </row>
    <row r="38">
      <c r="A38" t="inlineStr">
        <is>
          <t>7a0f74cc-7135-41ef-952d-accdd81f836f.jpg</t>
        </is>
      </c>
      <c r="B38">
        <f>HYPERLINK("Объекты недвижимости, не соответствующие градостроительным нормам_00-022_Август/7a0f74cc-7135-41ef-952d-accdd81f836f.jpg","open")</f>
        <v/>
      </c>
      <c r="C38" t="inlineStr">
        <is>
          <t>8cde1fd0-eca1-4510-86ab-3c743b65fdfc</t>
        </is>
      </c>
      <c r="D38" t="n">
        <v>55.72636</v>
      </c>
      <c r="E38" t="n">
        <v>37.62932</v>
      </c>
      <c r="F38" t="inlineStr"/>
      <c r="G38" t="inlineStr"/>
      <c r="H38" t="inlineStr"/>
    </row>
    <row r="39">
      <c r="A39" t="inlineStr">
        <is>
          <t>71b7095d-0016-4775-8d59-dd74cbe7732f.jpg</t>
        </is>
      </c>
      <c r="B39">
        <f>HYPERLINK("Объекты недвижимости, не соответствующие градостроительным нормам_00-022_Август/71b7095d-0016-4775-8d59-dd74cbe7732f.jpg","open")</f>
        <v/>
      </c>
      <c r="C39" t="inlineStr">
        <is>
          <t>57aae8a4-582b-4309-8045-c8127a9f86ae</t>
        </is>
      </c>
      <c r="D39" t="n">
        <v>55.74236</v>
      </c>
      <c r="E39" t="n">
        <v>37.67122</v>
      </c>
      <c r="F39" t="inlineStr"/>
      <c r="G39" t="inlineStr"/>
      <c r="H39" t="inlineStr"/>
    </row>
    <row r="40">
      <c r="A40" t="inlineStr">
        <is>
          <t>e1cd312f-3f17-4ebb-b057-3b4f4b33c9d1.jpg</t>
        </is>
      </c>
      <c r="B40">
        <f>HYPERLINK("Объекты недвижимости, не соответствующие градостроительным нормам_00-022_Август/e1cd312f-3f17-4ebb-b057-3b4f4b33c9d1.jpg","open")</f>
        <v/>
      </c>
      <c r="C40" t="inlineStr">
        <is>
          <t>57aae8a4-582b-4309-8045-c8127a9f86ae</t>
        </is>
      </c>
      <c r="D40" t="n">
        <v>55.74236</v>
      </c>
      <c r="E40" t="n">
        <v>37.67122</v>
      </c>
      <c r="F40" t="inlineStr"/>
      <c r="G40" t="inlineStr"/>
      <c r="H40" t="inlineStr"/>
    </row>
    <row r="41">
      <c r="A41" t="inlineStr">
        <is>
          <t>a06773c7-a876-49f0-9136-a734db86c89a.jpg</t>
        </is>
      </c>
      <c r="B41">
        <f>HYPERLINK("Объекты недвижимости, не соответствующие градостроительным нормам_00-022_Август/a06773c7-a876-49f0-9136-a734db86c89a.jpg","open")</f>
        <v/>
      </c>
      <c r="C41" t="inlineStr">
        <is>
          <t>acedacc2-0d8b-4fc1-9622-25621a89d071</t>
        </is>
      </c>
      <c r="D41" t="n">
        <v>55.74236</v>
      </c>
      <c r="E41" t="n">
        <v>37.67122</v>
      </c>
      <c r="F41" t="inlineStr"/>
      <c r="G41" t="inlineStr"/>
      <c r="H41" t="inlineStr"/>
    </row>
    <row r="42">
      <c r="A42" t="inlineStr">
        <is>
          <t>d925fbbc-acb9-41a3-a1d1-f7681fe68861.jpg</t>
        </is>
      </c>
      <c r="B42">
        <f>HYPERLINK("Объекты недвижимости, не соответствующие градостроительным нормам_00-022_Август/d925fbbc-acb9-41a3-a1d1-f7681fe68861.jpg","open")</f>
        <v/>
      </c>
      <c r="C42" t="inlineStr">
        <is>
          <t>12e795ad-2aa7-49de-b2da-2c6aa35a4559</t>
        </is>
      </c>
      <c r="D42" t="n">
        <v>55.74408</v>
      </c>
      <c r="E42" t="n">
        <v>37.69779</v>
      </c>
      <c r="F42" t="inlineStr"/>
      <c r="G42" t="inlineStr"/>
      <c r="H42" t="inlineStr"/>
    </row>
    <row r="43">
      <c r="A43" t="inlineStr">
        <is>
          <t>25ec6c6e-584a-417f-bf0d-2e5d9986b108.jpg</t>
        </is>
      </c>
      <c r="B43">
        <f>HYPERLINK("Объекты недвижимости, не соответствующие градостроительным нормам_00-022_Август/25ec6c6e-584a-417f-bf0d-2e5d9986b108.jpg","open")</f>
        <v/>
      </c>
      <c r="C43" t="inlineStr">
        <is>
          <t>57812597-37e6-414c-8b11-8c661dbfeb70</t>
        </is>
      </c>
      <c r="D43" t="n">
        <v>55.74117</v>
      </c>
      <c r="E43" t="n">
        <v>37.31363</v>
      </c>
      <c r="F43" t="inlineStr"/>
      <c r="G43" t="inlineStr"/>
      <c r="H43" t="inlineStr"/>
    </row>
    <row r="44">
      <c r="A44" t="inlineStr">
        <is>
          <t>361b565c-1aa0-4c00-9e96-9acad8f355e6.jpg</t>
        </is>
      </c>
      <c r="B44">
        <f>HYPERLINK("Объекты недвижимости, не соответствующие градостроительным нормам_00-022_Август/361b565c-1aa0-4c00-9e96-9acad8f355e6.jpg","open")</f>
        <v/>
      </c>
      <c r="C44" t="inlineStr">
        <is>
          <t>8cde1fd0-eca1-4510-86ab-3c743b65fdfc</t>
        </is>
      </c>
      <c r="D44" t="n">
        <v>55.72636</v>
      </c>
      <c r="E44" t="n">
        <v>37.62932</v>
      </c>
      <c r="F44" t="inlineStr"/>
      <c r="G44" t="inlineStr"/>
      <c r="H44" t="inlineStr"/>
    </row>
    <row r="45">
      <c r="A45" t="inlineStr">
        <is>
          <t>f2278ebb-771c-4fea-8a37-b298cabe8d03.jpg</t>
        </is>
      </c>
      <c r="B45">
        <f>HYPERLINK("Объекты недвижимости, не соответствующие градостроительным нормам_00-022_Август/f2278ebb-771c-4fea-8a37-b298cabe8d03.jpg","open")</f>
        <v/>
      </c>
      <c r="C45" t="inlineStr">
        <is>
          <t>8cde1fd0-eca1-4510-86ab-3c743b65fdfc</t>
        </is>
      </c>
      <c r="D45" t="n">
        <v>25.83874</v>
      </c>
      <c r="E45" t="n">
        <v>28.11086</v>
      </c>
      <c r="F45" t="inlineStr"/>
      <c r="G45" t="inlineStr"/>
      <c r="H45" t="inlineStr"/>
    </row>
    <row r="46">
      <c r="A46" t="inlineStr">
        <is>
          <t>20a90377-da76-468c-bcd3-200c17294f84.jpg</t>
        </is>
      </c>
      <c r="B46">
        <f>HYPERLINK("Объекты недвижимости, не соответствующие градостроительным нормам_00-022_Август/20a90377-da76-468c-bcd3-200c17294f84.jpg","open")</f>
        <v/>
      </c>
      <c r="C46" t="inlineStr">
        <is>
          <t>1c951e11-4940-43c6-a447-394097e5609a</t>
        </is>
      </c>
      <c r="D46" t="n">
        <v>25.83368</v>
      </c>
      <c r="E46" t="n">
        <v>28.10205</v>
      </c>
      <c r="F46" t="inlineStr"/>
      <c r="G46" t="inlineStr"/>
      <c r="H46" t="inlineStr"/>
    </row>
    <row r="47">
      <c r="A47" t="inlineStr">
        <is>
          <t>27c3b40f-98f3-426e-8401-2f47054305ad.jpg</t>
        </is>
      </c>
      <c r="B47">
        <f>HYPERLINK("Объекты недвижимости, не соответствующие градостроительным нормам_00-022_Август/27c3b40f-98f3-426e-8401-2f47054305ad.jpg","open")</f>
        <v/>
      </c>
      <c r="C47" t="inlineStr">
        <is>
          <t>1c951e11-4940-43c6-a447-394097e5609a</t>
        </is>
      </c>
      <c r="D47" t="n">
        <v>25.82814</v>
      </c>
      <c r="E47" t="n">
        <v>28.09453</v>
      </c>
      <c r="F47" t="inlineStr"/>
      <c r="G47" t="inlineStr"/>
      <c r="H47" t="inlineStr"/>
    </row>
    <row r="48">
      <c r="A48" t="inlineStr">
        <is>
          <t>0669e664-eef0-43b8-82bc-1b00c7000bca.jpg</t>
        </is>
      </c>
      <c r="B48">
        <f>HYPERLINK("Объекты недвижимости, не соответствующие градостроительным нормам_00-022_Август/0669e664-eef0-43b8-82bc-1b00c7000bca.jpg","open")</f>
        <v/>
      </c>
      <c r="C48" t="inlineStr">
        <is>
          <t>8cde1fd0-eca1-4510-86ab-3c743b65fdfc</t>
        </is>
      </c>
      <c r="D48" t="n">
        <v>25.82814</v>
      </c>
      <c r="E48" t="n">
        <v>28.09453</v>
      </c>
      <c r="F48" t="inlineStr"/>
      <c r="G48" t="inlineStr"/>
      <c r="H48" t="inlineStr"/>
    </row>
    <row r="49">
      <c r="A49" t="inlineStr">
        <is>
          <t>db1142cc-6508-4569-b795-da644b196f2f.jpg</t>
        </is>
      </c>
      <c r="B49">
        <f>HYPERLINK("Объекты недвижимости, не соответствующие градостроительным нормам_00-022_Август/db1142cc-6508-4569-b795-da644b196f2f.jpg","open")</f>
        <v/>
      </c>
      <c r="C49" t="inlineStr">
        <is>
          <t>5e5b9944-4f9e-4223-bf96-0bc0c8a93dfa</t>
        </is>
      </c>
      <c r="D49" t="n">
        <v>55.7284</v>
      </c>
      <c r="E49" t="n">
        <v>37.67902</v>
      </c>
      <c r="F49" t="inlineStr"/>
      <c r="G49" t="inlineStr"/>
      <c r="H49" t="inlineStr"/>
    </row>
    <row r="50">
      <c r="A50" t="inlineStr">
        <is>
          <t>4a988244-60e0-43e3-9d7d-b071a072125b.jpg</t>
        </is>
      </c>
      <c r="B50">
        <f>HYPERLINK("Объекты недвижимости, не соответствующие градостроительным нормам_00-022_Август/4a988244-60e0-43e3-9d7d-b071a072125b.jpg","open")</f>
        <v/>
      </c>
      <c r="C50" t="inlineStr">
        <is>
          <t>1c951e11-4940-43c6-a447-394097e5609a</t>
        </is>
      </c>
      <c r="D50" t="n">
        <v>25.82814</v>
      </c>
      <c r="E50" t="n">
        <v>28.09453</v>
      </c>
      <c r="F50" t="inlineStr"/>
      <c r="G50" t="inlineStr"/>
      <c r="H50" t="inlineStr"/>
    </row>
    <row r="51">
      <c r="A51" t="inlineStr">
        <is>
          <t>4f4df4f0-aad4-4d9f-8053-2274d601edcd.jpg</t>
        </is>
      </c>
      <c r="B51">
        <f>HYPERLINK("Объекты недвижимости, не соответствующие градостроительным нормам_00-022_Август/4f4df4f0-aad4-4d9f-8053-2274d601edcd.jpg","open")</f>
        <v/>
      </c>
      <c r="C51" t="inlineStr">
        <is>
          <t>8cde1fd0-eca1-4510-86ab-3c743b65fdfc</t>
        </is>
      </c>
      <c r="D51" t="n">
        <v>25.82814</v>
      </c>
      <c r="E51" t="n">
        <v>28.09453</v>
      </c>
      <c r="F51" t="inlineStr"/>
      <c r="G51" t="inlineStr"/>
      <c r="H51" t="inlineStr"/>
    </row>
    <row r="52">
      <c r="A52" t="inlineStr">
        <is>
          <t>b6f1a4e8-f33b-42cb-ba54-05edc05558a5.jpg</t>
        </is>
      </c>
      <c r="B52">
        <f>HYPERLINK("Объекты недвижимости, не соответствующие градостроительным нормам_00-022_Август/b6f1a4e8-f33b-42cb-ba54-05edc05558a5.jpg","open")</f>
        <v/>
      </c>
      <c r="C52" t="inlineStr">
        <is>
          <t>31a713a9-b910-424b-b847-e0eaa2f70c70</t>
        </is>
      </c>
      <c r="D52" t="n">
        <v>55.7914</v>
      </c>
      <c r="E52" t="n">
        <v>37.55056</v>
      </c>
      <c r="F52" t="inlineStr"/>
      <c r="G52" t="inlineStr"/>
      <c r="H52" t="inlineStr"/>
    </row>
    <row r="53">
      <c r="A53" t="inlineStr">
        <is>
          <t>d11e45ae-a6c8-42dc-a873-c1b8dc6ac3e8.jpg</t>
        </is>
      </c>
      <c r="B53">
        <f>HYPERLINK("Объекты недвижимости, не соответствующие градостроительным нормам_00-022_Август/d11e45ae-a6c8-42dc-a873-c1b8dc6ac3e8.jpg","open")</f>
        <v/>
      </c>
      <c r="C53" t="inlineStr">
        <is>
          <t>12e795ad-2aa7-49de-b2da-2c6aa35a4559</t>
        </is>
      </c>
      <c r="D53" t="n">
        <v>55.74408</v>
      </c>
      <c r="E53" t="n">
        <v>37.69779</v>
      </c>
      <c r="F53" t="inlineStr"/>
      <c r="G53" t="inlineStr"/>
      <c r="H53" t="inlineStr"/>
    </row>
    <row r="54">
      <c r="A54" t="inlineStr">
        <is>
          <t>0f82ed3c-c19f-49fb-893e-f98a0c9d7f4a.jpg</t>
        </is>
      </c>
      <c r="B54">
        <f>HYPERLINK("Объекты недвижимости, не соответствующие градостроительным нормам_00-022_Август/0f82ed3c-c19f-49fb-893e-f98a0c9d7f4a.jpg","open")</f>
        <v/>
      </c>
      <c r="C54" t="inlineStr">
        <is>
          <t>8cde1fd0-eca1-4510-86ab-3c743b65fdfc</t>
        </is>
      </c>
      <c r="D54" t="n">
        <v>25.76302</v>
      </c>
      <c r="E54" t="n">
        <v>28.00649</v>
      </c>
      <c r="F54" t="inlineStr"/>
      <c r="G54" t="inlineStr"/>
      <c r="H54" t="inlineStr"/>
    </row>
    <row r="55">
      <c r="A55" t="inlineStr">
        <is>
          <t>98e4ca7e-7b08-43f0-95be-15b0f283f5b4.jpg</t>
        </is>
      </c>
      <c r="B55">
        <f>HYPERLINK("Объекты недвижимости, не соответствующие градостроительным нормам_00-022_Август/98e4ca7e-7b08-43f0-95be-15b0f283f5b4.jpg","open")</f>
        <v/>
      </c>
      <c r="C55" t="inlineStr">
        <is>
          <t>1c951e11-4940-43c6-a447-394097e5609a</t>
        </is>
      </c>
      <c r="D55" t="n">
        <v>25.76631</v>
      </c>
      <c r="E55" t="n">
        <v>28.0118</v>
      </c>
      <c r="F55" t="inlineStr"/>
      <c r="G55" t="inlineStr"/>
      <c r="H55" t="inlineStr"/>
    </row>
    <row r="56">
      <c r="A56" t="inlineStr">
        <is>
          <t>cc5aefcd-bc5d-4f95-97b2-da0e3a4081fa.jpg</t>
        </is>
      </c>
      <c r="B56">
        <f>HYPERLINK("Объекты недвижимости, не соответствующие градостроительным нормам_00-022_Август/cc5aefcd-bc5d-4f95-97b2-da0e3a4081fa.jpg","open")</f>
        <v/>
      </c>
      <c r="C56" t="inlineStr">
        <is>
          <t>cbf95b01-f708-45a3-9ec0-3603469b538e</t>
        </is>
      </c>
      <c r="D56" t="n">
        <v>55.97218</v>
      </c>
      <c r="E56" t="n">
        <v>37.44981</v>
      </c>
      <c r="F56" t="inlineStr"/>
      <c r="G56" t="inlineStr"/>
      <c r="H56" t="inlineStr"/>
    </row>
    <row r="57">
      <c r="A57" t="inlineStr">
        <is>
          <t>69ecec8e-b8dc-41bf-94b2-ef0c1502a575.jpg</t>
        </is>
      </c>
      <c r="B57">
        <f>HYPERLINK("Объекты недвижимости, не соответствующие градостроительным нормам_00-022_Август/69ecec8e-b8dc-41bf-94b2-ef0c1502a575.jpg","open")</f>
        <v/>
      </c>
      <c r="C57" t="inlineStr">
        <is>
          <t>cbf95b01-f708-45a3-9ec0-3603469b538e</t>
        </is>
      </c>
      <c r="D57" t="n">
        <v>55.97218</v>
      </c>
      <c r="E57" t="n">
        <v>37.44981</v>
      </c>
      <c r="F57" t="inlineStr"/>
      <c r="G57" t="inlineStr"/>
      <c r="H57" t="inlineStr"/>
    </row>
    <row r="58">
      <c r="A58" t="inlineStr">
        <is>
          <t>3a3e9acd-2eb0-4c59-b8ac-e7cbb909e4f4.jpg</t>
        </is>
      </c>
      <c r="B58">
        <f>HYPERLINK("Объекты недвижимости, не соответствующие градостроительным нормам_00-022_Август/3a3e9acd-2eb0-4c59-b8ac-e7cbb909e4f4.jpg","open")</f>
        <v/>
      </c>
      <c r="C58" t="inlineStr">
        <is>
          <t>8cde1fd0-eca1-4510-86ab-3c743b65fdfc</t>
        </is>
      </c>
      <c r="D58" t="n">
        <v>25.72223</v>
      </c>
      <c r="E58" t="n">
        <v>27.95741</v>
      </c>
      <c r="F58" t="inlineStr"/>
      <c r="G58" t="inlineStr"/>
      <c r="H58" t="inlineStr"/>
    </row>
    <row r="59">
      <c r="A59" t="inlineStr">
        <is>
          <t>28bafee0-ac6d-4fc4-82ed-bb7cc056a51e.jpg</t>
        </is>
      </c>
      <c r="B59">
        <f>HYPERLINK("Объекты недвижимости, не соответствующие градостроительным нормам_00-022_Август/28bafee0-ac6d-4fc4-82ed-bb7cc056a51e.jpg","open")</f>
        <v/>
      </c>
      <c r="C59" t="inlineStr">
        <is>
          <t>8cde1fd0-eca1-4510-86ab-3c743b65fdfc</t>
        </is>
      </c>
      <c r="D59" t="n">
        <v>25.72064</v>
      </c>
      <c r="E59" t="n">
        <v>27.9558</v>
      </c>
      <c r="F59" t="inlineStr"/>
      <c r="G59" t="inlineStr"/>
      <c r="H59" t="inlineStr"/>
    </row>
    <row r="60">
      <c r="A60" t="inlineStr">
        <is>
          <t>7b24cc9e-6021-47b9-a2dc-c43946d6fde5.jpg</t>
        </is>
      </c>
      <c r="B60">
        <f>HYPERLINK("Объекты недвижимости, не соответствующие градостроительным нормам_00-022_Август/7b24cc9e-6021-47b9-a2dc-c43946d6fde5.jpg","open")</f>
        <v/>
      </c>
      <c r="C60" t="inlineStr">
        <is>
          <t>93848fc8-17e7-4748-9ebc-c7e379e11d2f</t>
        </is>
      </c>
      <c r="D60" t="n">
        <v>55.68269</v>
      </c>
      <c r="E60" t="n">
        <v>37.68118</v>
      </c>
      <c r="F60" t="inlineStr"/>
      <c r="G60" t="inlineStr"/>
      <c r="H60" t="inlineStr"/>
    </row>
    <row r="61">
      <c r="A61" t="inlineStr">
        <is>
          <t>65dfb242-78f2-4b35-b033-31ee5281f859.jpg</t>
        </is>
      </c>
      <c r="B61">
        <f>HYPERLINK("Объекты недвижимости, не соответствующие градостроительным нормам_00-022_Август/65dfb242-78f2-4b35-b033-31ee5281f859.jpg","open")</f>
        <v/>
      </c>
      <c r="C61" t="inlineStr">
        <is>
          <t>8cde1fd0-eca1-4510-86ab-3c743b65fdfc</t>
        </is>
      </c>
      <c r="D61" t="n">
        <v>25.69387</v>
      </c>
      <c r="E61" t="n">
        <v>27.93497</v>
      </c>
      <c r="F61" t="inlineStr"/>
      <c r="G61" t="inlineStr"/>
      <c r="H61" t="inlineStr"/>
    </row>
    <row r="62">
      <c r="A62" t="inlineStr">
        <is>
          <t>829e56c4-2b37-4556-8426-a36c0c8cb64d.jpg</t>
        </is>
      </c>
      <c r="B62">
        <f>HYPERLINK("Объекты недвижимости, не соответствующие градостроительным нормам_00-022_Август/829e56c4-2b37-4556-8426-a36c0c8cb64d.jpg","open")</f>
        <v/>
      </c>
      <c r="C62" t="inlineStr">
        <is>
          <t>cbf95b01-f708-45a3-9ec0-3603469b538e</t>
        </is>
      </c>
      <c r="D62" t="n">
        <v>55.97218</v>
      </c>
      <c r="E62" t="n">
        <v>37.44981</v>
      </c>
      <c r="F62" t="inlineStr"/>
      <c r="G62" t="inlineStr"/>
      <c r="H62" t="inlineStr"/>
    </row>
    <row r="63">
      <c r="A63" t="inlineStr">
        <is>
          <t>7e71224d-411a-4a1d-9c95-f008f10114e5.jpg</t>
        </is>
      </c>
      <c r="B63">
        <f>HYPERLINK("Объекты недвижимости, не соответствующие градостроительным нормам_00-022_Август/7e71224d-411a-4a1d-9c95-f008f10114e5.jpg","open")</f>
        <v/>
      </c>
      <c r="C63" t="inlineStr">
        <is>
          <t>8cde1fd0-eca1-4510-86ab-3c743b65fdfc</t>
        </is>
      </c>
      <c r="D63" t="n">
        <v>25.64797</v>
      </c>
      <c r="E63" t="n">
        <v>27.87158</v>
      </c>
      <c r="F63" t="inlineStr"/>
      <c r="G63" t="inlineStr"/>
      <c r="H63" t="inlineStr"/>
    </row>
    <row r="64">
      <c r="A64" t="inlineStr">
        <is>
          <t>9e021d40-d2b0-49bb-81e0-a664e780935d.jpg</t>
        </is>
      </c>
      <c r="B64">
        <f>HYPERLINK("Объекты недвижимости, не соответствующие градостроительным нормам_00-022_Август/9e021d40-d2b0-49bb-81e0-a664e780935d.jpg","open")</f>
        <v/>
      </c>
      <c r="C64" t="inlineStr">
        <is>
          <t>cbf95b01-f708-45a3-9ec0-3603469b538e</t>
        </is>
      </c>
      <c r="D64" t="n">
        <v>55.97218</v>
      </c>
      <c r="E64" t="n">
        <v>37.44981</v>
      </c>
      <c r="F64" t="inlineStr"/>
      <c r="G64" t="inlineStr"/>
      <c r="H64" t="inlineStr"/>
    </row>
    <row r="65">
      <c r="A65" t="inlineStr">
        <is>
          <t>8594e413-3bde-462d-aa20-d520e97fa9b0.jpg</t>
        </is>
      </c>
      <c r="B65">
        <f>HYPERLINK("Объекты недвижимости, не соответствующие градостроительным нормам_00-022_Август/8594e413-3bde-462d-aa20-d520e97fa9b0.jpg","open")</f>
        <v/>
      </c>
      <c r="C65" t="inlineStr">
        <is>
          <t>1c951e11-4940-43c6-a447-394097e5609a</t>
        </is>
      </c>
      <c r="D65" t="n">
        <v>25.61625</v>
      </c>
      <c r="E65" t="n">
        <v>27.85077</v>
      </c>
      <c r="F65" t="inlineStr"/>
      <c r="G65" t="inlineStr"/>
      <c r="H65" t="inlineStr"/>
    </row>
    <row r="66">
      <c r="A66" t="inlineStr">
        <is>
          <t>d1482f65-b25f-4bac-ac77-7504c0511461.jpg</t>
        </is>
      </c>
      <c r="B66">
        <f>HYPERLINK("Объекты недвижимости, не соответствующие градостроительным нормам_00-022_Август/d1482f65-b25f-4bac-ac77-7504c0511461.jpg","open")</f>
        <v/>
      </c>
      <c r="C66" t="inlineStr">
        <is>
          <t>cbf95b01-f708-45a3-9ec0-3603469b538e</t>
        </is>
      </c>
      <c r="D66" t="n">
        <v>55.97218</v>
      </c>
      <c r="E66" t="n">
        <v>37.44981</v>
      </c>
      <c r="F66" t="inlineStr"/>
      <c r="G66" t="inlineStr"/>
      <c r="H66" t="inlineStr"/>
    </row>
    <row r="67">
      <c r="A67" t="inlineStr">
        <is>
          <t>3effec8b-dea4-4599-9041-642a745f93cd.jpg</t>
        </is>
      </c>
      <c r="B67">
        <f>HYPERLINK("Объекты недвижимости, не соответствующие градостроительным нормам_00-022_Август/3effec8b-dea4-4599-9041-642a745f93cd.jpg","open")</f>
        <v/>
      </c>
      <c r="C67" t="inlineStr">
        <is>
          <t>8cde1fd0-eca1-4510-86ab-3c743b65fdfc</t>
        </is>
      </c>
      <c r="D67" t="n">
        <v>25.61625</v>
      </c>
      <c r="E67" t="n">
        <v>27.85077</v>
      </c>
      <c r="F67" t="inlineStr"/>
      <c r="G67" t="inlineStr"/>
      <c r="H67" t="inlineStr"/>
    </row>
    <row r="68">
      <c r="A68" t="inlineStr">
        <is>
          <t>ac7cdba4-d7e3-4873-b3a2-cf050f3d6a52.jpg</t>
        </is>
      </c>
      <c r="B68">
        <f>HYPERLINK("Объекты недвижимости, не соответствующие градостроительным нормам_00-022_Август/ac7cdba4-d7e3-4873-b3a2-cf050f3d6a52.jpg","open")</f>
        <v/>
      </c>
      <c r="C68" t="inlineStr">
        <is>
          <t>8cde1fd0-eca1-4510-86ab-3c743b65fdfc</t>
        </is>
      </c>
      <c r="D68" t="n">
        <v>25.61625</v>
      </c>
      <c r="E68" t="n">
        <v>27.85077</v>
      </c>
      <c r="F68" t="inlineStr"/>
      <c r="G68" t="inlineStr"/>
      <c r="H68" t="inlineStr"/>
    </row>
    <row r="69">
      <c r="A69" t="inlineStr">
        <is>
          <t>004518d6-e58f-4e7b-b6d6-1075562bd61c.jpg</t>
        </is>
      </c>
      <c r="B69">
        <f>HYPERLINK("Объекты недвижимости, не соответствующие градостроительным нормам_00-022_Август/004518d6-e58f-4e7b-b6d6-1075562bd61c.jpg","open")</f>
        <v/>
      </c>
      <c r="C69" t="inlineStr">
        <is>
          <t>8cde1fd0-eca1-4510-86ab-3c743b65fdfc</t>
        </is>
      </c>
      <c r="D69" t="n">
        <v>25.61625</v>
      </c>
      <c r="E69" t="n">
        <v>27.85077</v>
      </c>
      <c r="F69" t="inlineStr"/>
      <c r="G69" t="inlineStr"/>
      <c r="H69" t="inlineStr"/>
    </row>
    <row r="70">
      <c r="A70" t="inlineStr">
        <is>
          <t>0e286860-b554-4be3-acf4-30591bea0219.jpg</t>
        </is>
      </c>
      <c r="B70">
        <f>HYPERLINK("Объекты недвижимости, не соответствующие градостроительным нормам_00-022_Август/0e286860-b554-4be3-acf4-30591bea0219.jpg","open")</f>
        <v/>
      </c>
      <c r="C70" t="inlineStr">
        <is>
          <t>1c951e11-4940-43c6-a447-394097e5609a</t>
        </is>
      </c>
      <c r="D70" t="n">
        <v>25.61625</v>
      </c>
      <c r="E70" t="n">
        <v>27.85077</v>
      </c>
      <c r="F70" t="inlineStr"/>
      <c r="G70" t="inlineStr"/>
      <c r="H70" t="inlineStr"/>
    </row>
    <row r="71">
      <c r="A71" t="inlineStr">
        <is>
          <t>54081229-1c85-476a-aa37-00b7042a7101.jpg</t>
        </is>
      </c>
      <c r="B71">
        <f>HYPERLINK("Объекты недвижимости, не соответствующие градостроительным нормам_00-022_Август/54081229-1c85-476a-aa37-00b7042a7101.jpg","open")</f>
        <v/>
      </c>
      <c r="C71" t="inlineStr">
        <is>
          <t>8cde1fd0-eca1-4510-86ab-3c743b65fdfc</t>
        </is>
      </c>
      <c r="D71" t="n">
        <v>25.61625</v>
      </c>
      <c r="E71" t="n">
        <v>27.85077</v>
      </c>
      <c r="F71" t="inlineStr"/>
      <c r="G71" t="inlineStr"/>
      <c r="H71" t="inlineStr"/>
    </row>
    <row r="72">
      <c r="A72" t="inlineStr">
        <is>
          <t>8dd25662-aeba-4a4a-826f-95673f1a3ea2.jpg</t>
        </is>
      </c>
      <c r="B72">
        <f>HYPERLINK("Объекты недвижимости, не соответствующие градостроительным нормам_00-022_Август/8dd25662-aeba-4a4a-826f-95673f1a3ea2.jpg","open")</f>
        <v/>
      </c>
      <c r="C72" t="inlineStr">
        <is>
          <t>93848fc8-17e7-4748-9ebc-c7e379e11d2f</t>
        </is>
      </c>
      <c r="D72" t="n">
        <v>55.67752</v>
      </c>
      <c r="E72" t="n">
        <v>37.68863</v>
      </c>
      <c r="F72" t="inlineStr"/>
      <c r="G72" t="inlineStr"/>
      <c r="H72" t="inlineStr"/>
    </row>
    <row r="73">
      <c r="A73" t="inlineStr">
        <is>
          <t>bf23cf62-3f26-436d-a6fa-1b772f835d14.jpg</t>
        </is>
      </c>
      <c r="B73">
        <f>HYPERLINK("Объекты недвижимости, не соответствующие градостроительным нормам_00-022_Август/bf23cf62-3f26-436d-a6fa-1b772f835d14.jpg","open")</f>
        <v/>
      </c>
      <c r="C73" t="inlineStr">
        <is>
          <t>61936922-4d4b-458e-80ea-6d4c450aa1d5</t>
        </is>
      </c>
      <c r="D73" t="n">
        <v>55.71016</v>
      </c>
      <c r="E73" t="n">
        <v>37.62854</v>
      </c>
      <c r="F73" t="inlineStr"/>
      <c r="G73" t="inlineStr"/>
      <c r="H73" t="inlineStr"/>
    </row>
    <row r="74">
      <c r="A74" t="inlineStr">
        <is>
          <t>f69448ec-88df-4816-827e-0a0e326aac50.jpg</t>
        </is>
      </c>
      <c r="B74">
        <f>HYPERLINK("Объекты недвижимости, не соответствующие градостроительным нормам_00-022_Август/f69448ec-88df-4816-827e-0a0e326aac50.jpg","open")</f>
        <v/>
      </c>
      <c r="C74" t="inlineStr">
        <is>
          <t>61936922-4d4b-458e-80ea-6d4c450aa1d5</t>
        </is>
      </c>
      <c r="D74" t="n">
        <v>55.71016</v>
      </c>
      <c r="E74" t="n">
        <v>37.62854</v>
      </c>
      <c r="F74" t="inlineStr"/>
      <c r="G74" t="inlineStr"/>
      <c r="H74" t="inlineStr"/>
    </row>
    <row r="75">
      <c r="A75" t="inlineStr">
        <is>
          <t>efe98e9f-ad1e-4466-a650-f50f018d85d4.jpg</t>
        </is>
      </c>
      <c r="B75">
        <f>HYPERLINK("Объекты недвижимости, не соответствующие градостроительным нормам_00-022_Август/efe98e9f-ad1e-4466-a650-f50f018d85d4.jpg","open")</f>
        <v/>
      </c>
      <c r="C75" t="inlineStr">
        <is>
          <t>8cde1fd0-eca1-4510-86ab-3c743b65fdfc</t>
        </is>
      </c>
      <c r="D75" t="n">
        <v>25.61625</v>
      </c>
      <c r="E75" t="n">
        <v>27.85077</v>
      </c>
      <c r="F75" t="inlineStr"/>
      <c r="G75" t="inlineStr"/>
      <c r="H75" t="inlineStr"/>
    </row>
    <row r="76">
      <c r="A76" t="inlineStr">
        <is>
          <t>0fe49a62-0855-47c4-be49-e6c8fbe3c6f8.jpg</t>
        </is>
      </c>
      <c r="B76">
        <f>HYPERLINK("Объекты недвижимости, не соответствующие градостроительным нормам_00-022_Август/0fe49a62-0855-47c4-be49-e6c8fbe3c6f8.jpg","open")</f>
        <v/>
      </c>
      <c r="C76" t="inlineStr">
        <is>
          <t>e26f5fc2-1353-4f29-85f3-87c56419161c</t>
        </is>
      </c>
      <c r="D76" t="n">
        <v>55.74192</v>
      </c>
      <c r="E76" t="n">
        <v>37.69748</v>
      </c>
      <c r="F76" t="inlineStr"/>
      <c r="G76" t="inlineStr"/>
      <c r="H76" t="inlineStr"/>
    </row>
    <row r="77">
      <c r="A77" t="inlineStr">
        <is>
          <t>7b3406a8-825a-4068-8a80-43e73e583f7d.jpg</t>
        </is>
      </c>
      <c r="B77">
        <f>HYPERLINK("Объекты недвижимости, не соответствующие градостроительным нормам_00-022_Август/7b3406a8-825a-4068-8a80-43e73e583f7d.jpg","open")</f>
        <v/>
      </c>
      <c r="C77" t="inlineStr">
        <is>
          <t>6e2567a0-1fb9-40d5-a0e7-0adb480d2965</t>
        </is>
      </c>
      <c r="D77" t="n">
        <v>55.78034</v>
      </c>
      <c r="E77" t="n">
        <v>37.67239</v>
      </c>
      <c r="F77" t="inlineStr"/>
      <c r="G77" t="inlineStr"/>
      <c r="H77" t="inlineStr"/>
    </row>
    <row r="78">
      <c r="A78" t="inlineStr">
        <is>
          <t>b9b70197-9267-4eef-8f40-4861bb2dc7d7.jpg</t>
        </is>
      </c>
      <c r="B78">
        <f>HYPERLINK("Объекты недвижимости, не соответствующие градостроительным нормам_00-022_Август/b9b70197-9267-4eef-8f40-4861bb2dc7d7.jpg","open")</f>
        <v/>
      </c>
      <c r="C78" t="inlineStr">
        <is>
          <t>8cde1fd0-eca1-4510-86ab-3c743b65fdfc</t>
        </is>
      </c>
      <c r="D78" t="n">
        <v>25.61625</v>
      </c>
      <c r="E78" t="n">
        <v>27.85077</v>
      </c>
      <c r="F78" t="inlineStr"/>
      <c r="G78" t="inlineStr"/>
      <c r="H78" t="inlineStr"/>
    </row>
    <row r="79">
      <c r="A79" t="inlineStr">
        <is>
          <t>10f25913-2cd4-4acd-a8c1-56d3f5c13e3a.jpg</t>
        </is>
      </c>
      <c r="B79">
        <f>HYPERLINK("Объекты недвижимости, не соответствующие градостроительным нормам_00-022_Август/10f25913-2cd4-4acd-a8c1-56d3f5c13e3a.jpg","open")</f>
        <v/>
      </c>
      <c r="C79" t="inlineStr">
        <is>
          <t>e26f5fc2-1353-4f29-85f3-87c56419161c</t>
        </is>
      </c>
      <c r="D79" t="n">
        <v>55.74192</v>
      </c>
      <c r="E79" t="n">
        <v>37.69748</v>
      </c>
      <c r="F79" t="inlineStr"/>
      <c r="G79" t="inlineStr"/>
      <c r="H79" t="inlineStr"/>
    </row>
    <row r="80">
      <c r="A80" t="inlineStr">
        <is>
          <t>244c13e0-ceb1-432f-9095-b96014b1fa37.jpg</t>
        </is>
      </c>
      <c r="B80">
        <f>HYPERLINK("Объекты недвижимости, не соответствующие градостроительным нормам_00-022_Август/244c13e0-ceb1-432f-9095-b96014b1fa37.jpg","open")</f>
        <v/>
      </c>
      <c r="C80" t="inlineStr">
        <is>
          <t>8cde1fd0-eca1-4510-86ab-3c743b65fdfc</t>
        </is>
      </c>
      <c r="D80" t="n">
        <v>25.61625</v>
      </c>
      <c r="E80" t="n">
        <v>27.85077</v>
      </c>
      <c r="F80" t="inlineStr"/>
      <c r="G80" t="inlineStr"/>
      <c r="H80" t="inlineStr"/>
    </row>
    <row r="81">
      <c r="A81" t="inlineStr">
        <is>
          <t>c16da661-8638-4bc8-bb95-f1876938bac1.jpg</t>
        </is>
      </c>
      <c r="B81">
        <f>HYPERLINK("Объекты недвижимости, не соответствующие градостроительным нормам_00-022_Август/c16da661-8638-4bc8-bb95-f1876938bac1.jpg","open")</f>
        <v/>
      </c>
      <c r="C81" t="inlineStr">
        <is>
          <t>1c951e11-4940-43c6-a447-394097e5609a</t>
        </is>
      </c>
      <c r="D81" t="n">
        <v>25.61625</v>
      </c>
      <c r="E81" t="n">
        <v>27.85077</v>
      </c>
      <c r="F81" t="inlineStr"/>
      <c r="G81" t="inlineStr"/>
      <c r="H81" t="inlineStr"/>
    </row>
    <row r="82">
      <c r="A82" t="inlineStr">
        <is>
          <t>ab6a5793-82c6-4cbe-8769-0629f0da626f.jpg</t>
        </is>
      </c>
      <c r="B82">
        <f>HYPERLINK("Объекты недвижимости, не соответствующие градостроительным нормам_00-022_Август/ab6a5793-82c6-4cbe-8769-0629f0da626f.jpg","open")</f>
        <v/>
      </c>
      <c r="C82" t="inlineStr">
        <is>
          <t>1c951e11-4940-43c6-a447-394097e5609a</t>
        </is>
      </c>
      <c r="D82" t="n">
        <v>55.74242</v>
      </c>
      <c r="E82" t="n">
        <v>37.70322</v>
      </c>
      <c r="F82" t="inlineStr"/>
      <c r="G82" t="inlineStr"/>
      <c r="H82" t="inlineStr"/>
    </row>
    <row r="83">
      <c r="A83" t="inlineStr">
        <is>
          <t>3b3f2ea7-db3b-42a7-ae51-1393d28607d7.jpg</t>
        </is>
      </c>
      <c r="B83">
        <f>HYPERLINK("Объекты недвижимости, не соответствующие градостроительным нормам_00-022_Август/3b3f2ea7-db3b-42a7-ae51-1393d28607d7.jpg","open")</f>
        <v/>
      </c>
      <c r="C83" t="inlineStr">
        <is>
          <t>57812597-37e6-414c-8b11-8c661dbfeb70</t>
        </is>
      </c>
      <c r="D83" t="n">
        <v>55.74117</v>
      </c>
      <c r="E83" t="n">
        <v>37.31363</v>
      </c>
      <c r="F83" t="inlineStr"/>
      <c r="G83" t="inlineStr"/>
      <c r="H83" t="inlineStr"/>
    </row>
    <row r="84">
      <c r="A84" t="inlineStr">
        <is>
          <t>2529a0ed-e2b4-4559-aa00-76f46f328440.jpg</t>
        </is>
      </c>
      <c r="B84">
        <f>HYPERLINK("Объекты недвижимости, не соответствующие градостроительным нормам_00-022_Август/2529a0ed-e2b4-4559-aa00-76f46f328440.jpg","open")</f>
        <v/>
      </c>
      <c r="C84" t="inlineStr">
        <is>
          <t>8cde1fd0-eca1-4510-86ab-3c743b65fdfc</t>
        </is>
      </c>
      <c r="D84" t="n">
        <v>25.61625</v>
      </c>
      <c r="E84" t="n">
        <v>27.85077</v>
      </c>
      <c r="F84" t="inlineStr"/>
      <c r="G84" t="inlineStr"/>
      <c r="H84" t="inlineStr"/>
    </row>
    <row r="85">
      <c r="A85" t="inlineStr">
        <is>
          <t>45321018-afc7-4c82-8480-33309e87dbca.jpg</t>
        </is>
      </c>
      <c r="B85">
        <f>HYPERLINK("Объекты недвижимости, не соответствующие градостроительным нормам_00-022_Август/45321018-afc7-4c82-8480-33309e87dbca.jpg","open")</f>
        <v/>
      </c>
      <c r="C85" t="inlineStr">
        <is>
          <t>6e2567a0-1fb9-40d5-a0e7-0adb480d2965</t>
        </is>
      </c>
      <c r="D85" t="n">
        <v>55.78246</v>
      </c>
      <c r="E85" t="n">
        <v>37.67102</v>
      </c>
      <c r="F85" t="inlineStr"/>
      <c r="G85" t="inlineStr"/>
      <c r="H85" t="inlineStr"/>
    </row>
    <row r="86">
      <c r="A86" t="inlineStr">
        <is>
          <t>fe6ed8c8-c5ef-4d9d-bcf8-107ad67ddabb.jpg</t>
        </is>
      </c>
      <c r="B86">
        <f>HYPERLINK("Объекты недвижимости, не соответствующие градостроительным нормам_00-022_Август/fe6ed8c8-c5ef-4d9d-bcf8-107ad67ddabb.jpg","open")</f>
        <v/>
      </c>
      <c r="C86" t="inlineStr">
        <is>
          <t>57aae8a4-582b-4309-8045-c8127a9f86ae</t>
        </is>
      </c>
      <c r="D86" t="n">
        <v>55.79837</v>
      </c>
      <c r="E86" t="n">
        <v>37.79811</v>
      </c>
      <c r="F86" t="inlineStr"/>
      <c r="G86" t="inlineStr"/>
      <c r="H86" t="inlineStr"/>
    </row>
    <row r="87">
      <c r="A87" t="inlineStr">
        <is>
          <t>98a16809-5156-4b21-ab55-ee922c876048.jpg</t>
        </is>
      </c>
      <c r="B87">
        <f>HYPERLINK("Объекты недвижимости, не соответствующие градостроительным нормам_00-022_Август/98a16809-5156-4b21-ab55-ee922c876048.jpg","open")</f>
        <v/>
      </c>
      <c r="C87" t="inlineStr">
        <is>
          <t>936502dd-24a4-4256-9fdf-0d8fb72af3ed</t>
        </is>
      </c>
      <c r="D87" t="n">
        <v>55.70475</v>
      </c>
      <c r="E87" t="n">
        <v>37.65236</v>
      </c>
      <c r="F87" t="inlineStr"/>
      <c r="G87" t="inlineStr"/>
      <c r="H87" t="inlineStr"/>
    </row>
    <row r="88">
      <c r="A88" t="inlineStr">
        <is>
          <t>29e96095-4af5-48d9-9389-f241168a3e2b.jpg</t>
        </is>
      </c>
      <c r="B88">
        <f>HYPERLINK("Объекты недвижимости, не соответствующие градостроительным нормам_00-022_Август/29e96095-4af5-48d9-9389-f241168a3e2b.jpg","open")</f>
        <v/>
      </c>
      <c r="C88" t="inlineStr">
        <is>
          <t>936502dd-24a4-4256-9fdf-0d8fb72af3ed</t>
        </is>
      </c>
      <c r="D88" t="n">
        <v>55.70361</v>
      </c>
      <c r="E88" t="n">
        <v>37.6494</v>
      </c>
      <c r="F88" t="inlineStr"/>
      <c r="G88" t="inlineStr"/>
      <c r="H88" t="inlineStr"/>
    </row>
    <row r="89">
      <c r="A89" t="inlineStr">
        <is>
          <t>9e9b4c0a-10e3-4ccd-be53-8205fb301586.jpg</t>
        </is>
      </c>
      <c r="B89">
        <f>HYPERLINK("Объекты недвижимости, не соответствующие градостроительным нормам_00-022_Август/9e9b4c0a-10e3-4ccd-be53-8205fb301586.jpg","open")</f>
        <v/>
      </c>
      <c r="C89" t="inlineStr">
        <is>
          <t>cbf95b01-f708-45a3-9ec0-3603469b538e</t>
        </is>
      </c>
      <c r="D89" t="n">
        <v>55.97218</v>
      </c>
      <c r="E89" t="n">
        <v>37.44981</v>
      </c>
      <c r="F89" t="inlineStr"/>
      <c r="G89" t="inlineStr"/>
      <c r="H89" t="inlineStr"/>
    </row>
    <row r="90">
      <c r="A90" t="inlineStr">
        <is>
          <t>0d0bb829-fb7a-4927-8007-832979d1091b.jpg</t>
        </is>
      </c>
      <c r="B90">
        <f>HYPERLINK("Объекты недвижимости, не соответствующие градостроительным нормам_00-022_Август/0d0bb829-fb7a-4927-8007-832979d1091b.jpg","open")</f>
        <v/>
      </c>
      <c r="C90" t="inlineStr">
        <is>
          <t>8cde1fd0-eca1-4510-86ab-3c743b65fdfc</t>
        </is>
      </c>
      <c r="D90" t="n">
        <v>55.74462</v>
      </c>
      <c r="E90" t="n">
        <v>37.70704</v>
      </c>
      <c r="F90" t="inlineStr"/>
      <c r="G90" t="inlineStr"/>
      <c r="H90" t="inlineStr"/>
    </row>
    <row r="91">
      <c r="A91" t="inlineStr">
        <is>
          <t>ea943d62-c174-449f-85d6-384bdba86795.jpg</t>
        </is>
      </c>
      <c r="B91">
        <f>HYPERLINK("Объекты недвижимости, не соответствующие градостроительным нормам_00-022_Август/ea943d62-c174-449f-85d6-384bdba86795.jpg","open")</f>
        <v/>
      </c>
      <c r="C91" t="inlineStr">
        <is>
          <t>1c951e11-4940-43c6-a447-394097e5609a</t>
        </is>
      </c>
      <c r="D91" t="n">
        <v>55.74462</v>
      </c>
      <c r="E91" t="n">
        <v>37.70704</v>
      </c>
      <c r="F91" t="inlineStr"/>
      <c r="G91" t="inlineStr"/>
      <c r="H91" t="inlineStr"/>
    </row>
    <row r="92">
      <c r="A92" t="inlineStr">
        <is>
          <t>08937dc3-3bd6-4f0b-a010-df63a1dd2569.jpg</t>
        </is>
      </c>
      <c r="B92">
        <f>HYPERLINK("Объекты недвижимости, не соответствующие градостроительным нормам_00-022_Август/08937dc3-3bd6-4f0b-a010-df63a1dd2569.jpg","open")</f>
        <v/>
      </c>
      <c r="C92" t="inlineStr">
        <is>
          <t>8cde1fd0-eca1-4510-86ab-3c743b65fdfc</t>
        </is>
      </c>
      <c r="D92" t="n">
        <v>55.74462</v>
      </c>
      <c r="E92" t="n">
        <v>37.70704</v>
      </c>
      <c r="F92" t="inlineStr"/>
      <c r="G92" t="inlineStr"/>
      <c r="H92" t="inlineStr"/>
    </row>
    <row r="93">
      <c r="A93" t="inlineStr">
        <is>
          <t>e5b077ab-49c7-443a-bd7d-95edacea75d7.jpg</t>
        </is>
      </c>
      <c r="B93">
        <f>HYPERLINK("Объекты недвижимости, не соответствующие градостроительным нормам_00-022_Август/e5b077ab-49c7-443a-bd7d-95edacea75d7.jpg","open")</f>
        <v/>
      </c>
      <c r="C93" t="inlineStr">
        <is>
          <t>1c951e11-4940-43c6-a447-394097e5609a</t>
        </is>
      </c>
      <c r="D93" t="n">
        <v>55.74462</v>
      </c>
      <c r="E93" t="n">
        <v>37.70704</v>
      </c>
      <c r="F93" t="inlineStr"/>
      <c r="G93" t="inlineStr"/>
      <c r="H93" t="inlineStr"/>
    </row>
    <row r="94">
      <c r="A94" t="inlineStr">
        <is>
          <t>81636180-f721-4cd3-ab85-999dcbbd5a29.jpg</t>
        </is>
      </c>
      <c r="B94">
        <f>HYPERLINK("Объекты недвижимости, не соответствующие градостроительным нормам_00-022_Август/81636180-f721-4cd3-ab85-999dcbbd5a29.jpg","open")</f>
        <v/>
      </c>
      <c r="C94" t="inlineStr">
        <is>
          <t>8cde1fd0-eca1-4510-86ab-3c743b65fdfc</t>
        </is>
      </c>
      <c r="D94" t="n">
        <v>55.74462</v>
      </c>
      <c r="E94" t="n">
        <v>37.70704</v>
      </c>
      <c r="F94" t="inlineStr"/>
      <c r="G94" t="inlineStr"/>
      <c r="H94" t="inlineStr"/>
    </row>
    <row r="95">
      <c r="A95" t="inlineStr">
        <is>
          <t>07577b1f-0e7f-4fd9-91ae-b31039c42875.jpg</t>
        </is>
      </c>
      <c r="B95">
        <f>HYPERLINK("Объекты недвижимости, не соответствующие градостроительным нормам_00-022_Август/07577b1f-0e7f-4fd9-91ae-b31039c42875.jpg","open")</f>
        <v/>
      </c>
      <c r="C95" t="inlineStr">
        <is>
          <t>9c930d0e-e445-452d-a046-325646b21ab7</t>
        </is>
      </c>
      <c r="D95" t="n">
        <v>55.88393</v>
      </c>
      <c r="E95" t="n">
        <v>37.47004</v>
      </c>
      <c r="F95" t="inlineStr"/>
      <c r="G95" t="inlineStr"/>
      <c r="H95" t="inlineStr"/>
    </row>
    <row r="96">
      <c r="A96" t="inlineStr">
        <is>
          <t>8f958d43-bef6-4f54-8966-f7dfd75e83d7.jpg</t>
        </is>
      </c>
      <c r="B96">
        <f>HYPERLINK("Объекты недвижимости, не соответствующие градостроительным нормам_00-022_Август/8f958d43-bef6-4f54-8966-f7dfd75e83d7.jpg","open")</f>
        <v/>
      </c>
      <c r="C96" t="inlineStr">
        <is>
          <t>2ba4f567-3981-4fd7-ac4a-45e8b3d68429</t>
        </is>
      </c>
      <c r="D96" t="n">
        <v>55.74761</v>
      </c>
      <c r="E96" t="n">
        <v>37.58267</v>
      </c>
      <c r="F96" t="inlineStr"/>
      <c r="G96" t="inlineStr"/>
      <c r="H96" t="inlineStr"/>
    </row>
    <row r="97">
      <c r="A97" t="inlineStr">
        <is>
          <t>997baa71-821d-4948-84dc-ae0613bc182c.jpg</t>
        </is>
      </c>
      <c r="B97">
        <f>HYPERLINK("Объекты недвижимости, не соответствующие градостроительным нормам_00-022_Август/997baa71-821d-4948-84dc-ae0613bc182c.jpg","open")</f>
        <v/>
      </c>
      <c r="C97" t="inlineStr">
        <is>
          <t>8b2675e2-7f40-47a9-a462-7c9feecd299c</t>
        </is>
      </c>
      <c r="D97" t="n">
        <v>55.69725</v>
      </c>
      <c r="E97" t="n">
        <v>37.4628</v>
      </c>
      <c r="F97" t="inlineStr"/>
      <c r="G97" t="inlineStr"/>
      <c r="H97" t="inlineStr"/>
    </row>
    <row r="98">
      <c r="A98" t="inlineStr">
        <is>
          <t>ae0585b4-7b40-4013-8273-2a4ad93fb107.jpg</t>
        </is>
      </c>
      <c r="B98">
        <f>HYPERLINK("Объекты недвижимости, не соответствующие градостроительным нормам_00-022_Август/ae0585b4-7b40-4013-8273-2a4ad93fb107.jpg","open")</f>
        <v/>
      </c>
      <c r="C98" t="inlineStr">
        <is>
          <t>2ba4f567-3981-4fd7-ac4a-45e8b3d68429</t>
        </is>
      </c>
      <c r="D98" t="n">
        <v>55.74944</v>
      </c>
      <c r="E98" t="n">
        <v>37.58291</v>
      </c>
      <c r="F98" t="inlineStr"/>
      <c r="G98" t="inlineStr"/>
      <c r="H98" t="inlineStr"/>
    </row>
    <row r="99">
      <c r="A99" t="inlineStr">
        <is>
          <t>3cdbf7c3-baa3-41e3-96fc-fd986af8fcc9.jpg</t>
        </is>
      </c>
      <c r="B99">
        <f>HYPERLINK("Объекты недвижимости, не соответствующие градостроительным нормам_00-022_Август/3cdbf7c3-baa3-41e3-96fc-fd986af8fcc9.jpg","open")</f>
        <v/>
      </c>
      <c r="C99" t="inlineStr">
        <is>
          <t>8cde1fd0-eca1-4510-86ab-3c743b65fdfc</t>
        </is>
      </c>
      <c r="D99" t="n">
        <v>55.74437</v>
      </c>
      <c r="E99" t="n">
        <v>37.70396</v>
      </c>
      <c r="F99" t="inlineStr"/>
      <c r="G99" t="inlineStr"/>
      <c r="H99" t="inlineStr"/>
    </row>
    <row r="100">
      <c r="A100" t="inlineStr">
        <is>
          <t>fa0e2257-f074-428a-bfc7-57bdf644e02a.jpg</t>
        </is>
      </c>
      <c r="B100">
        <f>HYPERLINK("Объекты недвижимости, не соответствующие градостроительным нормам_00-022_Август/fa0e2257-f074-428a-bfc7-57bdf644e02a.jpg","open")</f>
        <v/>
      </c>
      <c r="C100" t="inlineStr">
        <is>
          <t>8cde1fd0-eca1-4510-86ab-3c743b65fdfc</t>
        </is>
      </c>
      <c r="D100" t="n">
        <v>55.74437</v>
      </c>
      <c r="E100" t="n">
        <v>37.70396</v>
      </c>
      <c r="F100" t="inlineStr"/>
      <c r="G100" t="inlineStr"/>
      <c r="H100" t="inlineStr"/>
    </row>
    <row r="101">
      <c r="A101" t="inlineStr">
        <is>
          <t>a3918c67-f42e-4504-be9c-3376e069a209.jpg</t>
        </is>
      </c>
      <c r="B101">
        <f>HYPERLINK("Объекты недвижимости, не соответствующие градостроительным нормам_00-022_Август/a3918c67-f42e-4504-be9c-3376e069a209.jpg","open")</f>
        <v/>
      </c>
      <c r="C101" t="inlineStr">
        <is>
          <t>8cde1fd0-eca1-4510-86ab-3c743b65fdfc</t>
        </is>
      </c>
      <c r="D101" t="n">
        <v>55.74437</v>
      </c>
      <c r="E101" t="n">
        <v>37.70396</v>
      </c>
      <c r="F101" t="inlineStr"/>
      <c r="G101" t="inlineStr"/>
      <c r="H101" t="inlineStr"/>
    </row>
    <row r="102">
      <c r="A102" t="inlineStr">
        <is>
          <t>c5cac1c4-dde4-499b-b1c8-ce43ccd92440.jpg</t>
        </is>
      </c>
      <c r="B102">
        <f>HYPERLINK("Объекты недвижимости, не соответствующие градостроительным нормам_00-022_Август/c5cac1c4-dde4-499b-b1c8-ce43ccd92440.jpg","open")</f>
        <v/>
      </c>
      <c r="C102" t="inlineStr">
        <is>
          <t>8cde1fd0-eca1-4510-86ab-3c743b65fdfc</t>
        </is>
      </c>
      <c r="D102" t="n">
        <v>55.74443</v>
      </c>
      <c r="E102" t="n">
        <v>37.70285</v>
      </c>
      <c r="F102" t="inlineStr"/>
      <c r="G102" t="inlineStr"/>
      <c r="H102" t="inlineStr"/>
    </row>
    <row r="103">
      <c r="A103" t="inlineStr">
        <is>
          <t>6c19feda-d48d-4cdd-a2b4-604ce88fc0d7.jpg</t>
        </is>
      </c>
      <c r="B103">
        <f>HYPERLINK("Объекты недвижимости, не соответствующие градостроительным нормам_00-022_Август/6c19feda-d48d-4cdd-a2b4-604ce88fc0d7.jpg","open")</f>
        <v/>
      </c>
      <c r="C103" t="inlineStr">
        <is>
          <t>cbf95b01-f708-45a3-9ec0-3603469b538e</t>
        </is>
      </c>
      <c r="D103" t="n">
        <v>55.97218</v>
      </c>
      <c r="E103" t="n">
        <v>37.44981</v>
      </c>
      <c r="F103" t="inlineStr"/>
      <c r="G103" t="inlineStr"/>
      <c r="H103" t="inlineStr"/>
    </row>
    <row r="104">
      <c r="A104" t="inlineStr">
        <is>
          <t>c8df9b0c-94c6-4148-a10c-26c066fd5a22.jpg</t>
        </is>
      </c>
      <c r="B104">
        <f>HYPERLINK("Объекты недвижимости, не соответствующие градостроительным нормам_00-022_Август/c8df9b0c-94c6-4148-a10c-26c066fd5a22.jpg","open")</f>
        <v/>
      </c>
      <c r="C104" t="inlineStr">
        <is>
          <t>99f3abba-c55b-49f0-9de5-9f88e9597cc0</t>
        </is>
      </c>
      <c r="D104" t="n">
        <v>55.68312</v>
      </c>
      <c r="E104" t="n">
        <v>37.63808</v>
      </c>
      <c r="F104" t="inlineStr"/>
      <c r="G104" t="inlineStr"/>
      <c r="H104" t="inlineStr"/>
    </row>
    <row r="105">
      <c r="A105" t="inlineStr">
        <is>
          <t>36c68ca7-e100-4d63-88c5-a8edac81c6aa.jpg</t>
        </is>
      </c>
      <c r="B105">
        <f>HYPERLINK("Объекты недвижимости, не соответствующие градостроительным нормам_00-022_Август/36c68ca7-e100-4d63-88c5-a8edac81c6aa.jpg","open")</f>
        <v/>
      </c>
      <c r="C105" t="inlineStr">
        <is>
          <t>ab4e767f-65c0-455b-af20-a5527124fd21</t>
        </is>
      </c>
      <c r="D105" t="n">
        <v>55.74219</v>
      </c>
      <c r="E105" t="n">
        <v>37.42711</v>
      </c>
      <c r="F105" t="inlineStr"/>
      <c r="G105" t="inlineStr"/>
      <c r="H105" t="inlineStr"/>
    </row>
    <row r="106">
      <c r="A106" t="inlineStr">
        <is>
          <t>da17753b-2eb9-48a4-b51c-59b3cdccad57.jpg</t>
        </is>
      </c>
      <c r="B106">
        <f>HYPERLINK("Объекты недвижимости, не соответствующие градостроительным нормам_00-022_Август/da17753b-2eb9-48a4-b51c-59b3cdccad57.jpg","open")</f>
        <v/>
      </c>
      <c r="C106" t="inlineStr">
        <is>
          <t>8cde1fd0-eca1-4510-86ab-3c743b65fdfc</t>
        </is>
      </c>
      <c r="D106" t="n">
        <v>55.74262</v>
      </c>
      <c r="E106" t="n">
        <v>37.69777</v>
      </c>
      <c r="F106" t="inlineStr"/>
      <c r="G106" t="inlineStr"/>
      <c r="H106" t="inlineStr"/>
    </row>
    <row r="107">
      <c r="A107" t="inlineStr">
        <is>
          <t>b905d1e4-cd08-49cc-821a-faf2aaac2ef2.jpg</t>
        </is>
      </c>
      <c r="B107">
        <f>HYPERLINK("Объекты недвижимости, не соответствующие градостроительным нормам_00-022_Август/b905d1e4-cd08-49cc-821a-faf2aaac2ef2.jpg","open")</f>
        <v/>
      </c>
      <c r="C107" t="inlineStr">
        <is>
          <t>8cde1fd0-eca1-4510-86ab-3c743b65fdfc</t>
        </is>
      </c>
      <c r="D107" t="n">
        <v>55.74138</v>
      </c>
      <c r="E107" t="n">
        <v>37.69769</v>
      </c>
      <c r="F107" t="inlineStr"/>
      <c r="G107" t="inlineStr"/>
      <c r="H107" t="inlineStr"/>
    </row>
    <row r="108">
      <c r="A108" t="inlineStr">
        <is>
          <t>cd46cfe9-413f-4015-8ffa-8a4b8d913d55.jpg</t>
        </is>
      </c>
      <c r="B108">
        <f>HYPERLINK("Объекты недвижимости, не соответствующие градостроительным нормам_00-022_Август/cd46cfe9-413f-4015-8ffa-8a4b8d913d55.jpg","open")</f>
        <v/>
      </c>
      <c r="C108" t="inlineStr">
        <is>
          <t>99f3abba-c55b-49f0-9de5-9f88e9597cc0</t>
        </is>
      </c>
      <c r="D108" t="n">
        <v>55.68333</v>
      </c>
      <c r="E108" t="n">
        <v>37.63968</v>
      </c>
      <c r="F108" t="inlineStr"/>
      <c r="G108" t="inlineStr"/>
      <c r="H108" t="inlineStr"/>
    </row>
    <row r="109">
      <c r="A109" t="inlineStr">
        <is>
          <t>f2ed911f-8f00-4999-beff-a70fb296c357.jpg</t>
        </is>
      </c>
      <c r="B109">
        <f>HYPERLINK("Объекты недвижимости, не соответствующие градостроительным нормам_00-022_Август/f2ed911f-8f00-4999-beff-a70fb296c357.jpg","open")</f>
        <v/>
      </c>
      <c r="C109" t="inlineStr">
        <is>
          <t>99f3abba-c55b-49f0-9de5-9f88e9597cc0</t>
        </is>
      </c>
      <c r="D109" t="n">
        <v>55.68346</v>
      </c>
      <c r="E109" t="n">
        <v>37.64035</v>
      </c>
      <c r="F109" t="inlineStr"/>
      <c r="G109" t="inlineStr"/>
      <c r="H109" t="inlineStr"/>
    </row>
    <row r="110">
      <c r="A110" t="inlineStr">
        <is>
          <t>7554d9c9-b20d-4843-92b1-375f8bf02431.jpg</t>
        </is>
      </c>
      <c r="B110">
        <f>HYPERLINK("Объекты недвижимости, не соответствующие градостроительным нормам_00-022_Август/7554d9c9-b20d-4843-92b1-375f8bf02431.jpg","open")</f>
        <v/>
      </c>
      <c r="C110" t="inlineStr">
        <is>
          <t>036c664f-5408-4fd0-b479-342c00468eeb</t>
        </is>
      </c>
      <c r="D110" t="n">
        <v>55.63441</v>
      </c>
      <c r="E110" t="n">
        <v>37.6036</v>
      </c>
      <c r="F110" t="inlineStr"/>
      <c r="G110" t="inlineStr"/>
      <c r="H110" t="inlineStr"/>
    </row>
    <row r="111">
      <c r="A111" t="inlineStr">
        <is>
          <t>7da6f29f-031f-42a7-bb21-ff9c54bbe601.jpg</t>
        </is>
      </c>
      <c r="B111">
        <f>HYPERLINK("Объекты недвижимости, не соответствующие градостроительным нормам_00-022_Август/7da6f29f-031f-42a7-bb21-ff9c54bbe601.jpg","open")</f>
        <v/>
      </c>
      <c r="C111" t="inlineStr">
        <is>
          <t>31a713a9-b910-424b-b847-e0eaa2f70c70</t>
        </is>
      </c>
      <c r="D111" t="n">
        <v>55.87105</v>
      </c>
      <c r="E111" t="n">
        <v>37.46738</v>
      </c>
      <c r="F111" t="inlineStr"/>
      <c r="G111" t="inlineStr"/>
      <c r="H111" t="inlineStr"/>
    </row>
    <row r="112">
      <c r="A112" t="inlineStr">
        <is>
          <t>371415bd-d0f9-46bf-893d-de01127ab19b.jpg</t>
        </is>
      </c>
      <c r="B112">
        <f>HYPERLINK("Объекты недвижимости, не соответствующие градостроительным нормам_00-022_Август/371415bd-d0f9-46bf-893d-de01127ab19b.jpg","open")</f>
        <v/>
      </c>
      <c r="C112" t="inlineStr">
        <is>
          <t>8cde1fd0-eca1-4510-86ab-3c743b65fdfc</t>
        </is>
      </c>
      <c r="D112" t="n">
        <v>55.73648</v>
      </c>
      <c r="E112" t="n">
        <v>37.70234</v>
      </c>
      <c r="F112" t="inlineStr"/>
      <c r="G112" t="inlineStr"/>
      <c r="H112" t="inlineStr"/>
    </row>
    <row r="113">
      <c r="A113" t="inlineStr">
        <is>
          <t>18bef7db-2ad8-47b7-91ce-76ab55e00ae3.jpg</t>
        </is>
      </c>
      <c r="B113">
        <f>HYPERLINK("Объекты недвижимости, не соответствующие градостроительным нормам_00-022_Август/18bef7db-2ad8-47b7-91ce-76ab55e00ae3.jpg","open")</f>
        <v/>
      </c>
      <c r="C113" t="inlineStr">
        <is>
          <t>1c951e11-4940-43c6-a447-394097e5609a</t>
        </is>
      </c>
      <c r="D113" t="n">
        <v>55.73642</v>
      </c>
      <c r="E113" t="n">
        <v>37.7026</v>
      </c>
      <c r="F113" t="inlineStr"/>
      <c r="G113" t="inlineStr"/>
      <c r="H113" t="inlineStr"/>
    </row>
    <row r="114">
      <c r="A114" t="inlineStr">
        <is>
          <t>b55b5faa-1173-4db9-a972-9e23d3c6bdcd.jpg</t>
        </is>
      </c>
      <c r="B114">
        <f>HYPERLINK("Объекты недвижимости, не соответствующие градостроительным нормам_00-022_Август/b55b5faa-1173-4db9-a972-9e23d3c6bdcd.jpg","open")</f>
        <v/>
      </c>
      <c r="C114" t="inlineStr">
        <is>
          <t>8cde1fd0-eca1-4510-86ab-3c743b65fdfc</t>
        </is>
      </c>
      <c r="D114" t="n">
        <v>55.73642</v>
      </c>
      <c r="E114" t="n">
        <v>37.70262</v>
      </c>
      <c r="F114" t="inlineStr"/>
      <c r="G114" t="inlineStr"/>
      <c r="H114" t="inlineStr"/>
    </row>
    <row r="115">
      <c r="A115" t="inlineStr">
        <is>
          <t>fbd61672-a4ce-43cf-97d7-29ebee6beb7e.jpg</t>
        </is>
      </c>
      <c r="B115">
        <f>HYPERLINK("Объекты недвижимости, не соответствующие градостроительным нормам_00-022_Август/fbd61672-a4ce-43cf-97d7-29ebee6beb7e.jpg","open")</f>
        <v/>
      </c>
      <c r="C115" t="inlineStr">
        <is>
          <t>1c951e11-4940-43c6-a447-394097e5609a</t>
        </is>
      </c>
      <c r="D115" t="n">
        <v>55.73644</v>
      </c>
      <c r="E115" t="n">
        <v>37.70243</v>
      </c>
      <c r="F115" t="inlineStr"/>
      <c r="G115" t="inlineStr"/>
      <c r="H115" t="inlineStr"/>
    </row>
    <row r="116">
      <c r="A116" t="inlineStr">
        <is>
          <t>dd7f188c-76b4-4a19-9782-ec5a94a90ae1.jpg</t>
        </is>
      </c>
      <c r="B116">
        <f>HYPERLINK("Объекты недвижимости, не соответствующие градостроительным нормам_00-022_Август/dd7f188c-76b4-4a19-9782-ec5a94a90ae1.jpg","open")</f>
        <v/>
      </c>
      <c r="C116" t="inlineStr">
        <is>
          <t>cbf95b01-f708-45a3-9ec0-3603469b538e</t>
        </is>
      </c>
      <c r="D116" t="n">
        <v>55.97218</v>
      </c>
      <c r="E116" t="n">
        <v>37.44981</v>
      </c>
      <c r="F116" t="inlineStr"/>
      <c r="G116" t="inlineStr"/>
      <c r="H116" t="inlineStr"/>
    </row>
    <row r="117">
      <c r="A117" t="inlineStr">
        <is>
          <t>88a83882-9947-479e-9898-5994ca45a8e4.jpg</t>
        </is>
      </c>
      <c r="B117">
        <f>HYPERLINK("Объекты недвижимости, не соответствующие градостроительным нормам_00-022_Август/88a83882-9947-479e-9898-5994ca45a8e4.jpg","open")</f>
        <v/>
      </c>
      <c r="C117" t="inlineStr">
        <is>
          <t>12e795ad-2aa7-49de-b2da-2c6aa35a4559</t>
        </is>
      </c>
      <c r="D117" t="n">
        <v>55.55397</v>
      </c>
      <c r="E117" t="n">
        <v>37.56466</v>
      </c>
      <c r="F117" t="inlineStr"/>
      <c r="G117" t="inlineStr"/>
      <c r="H117" t="inlineStr"/>
    </row>
    <row r="118">
      <c r="A118" t="inlineStr">
        <is>
          <t>2c2f6fad-eee6-4c5d-9b64-cbc9ebc4280e.jpg</t>
        </is>
      </c>
      <c r="B118">
        <f>HYPERLINK("Объекты недвижимости, не соответствующие градостроительным нормам_00-022_Август/2c2f6fad-eee6-4c5d-9b64-cbc9ebc4280e.jpg","open")</f>
        <v/>
      </c>
      <c r="C118" t="inlineStr">
        <is>
          <t>8cde1fd0-eca1-4510-86ab-3c743b65fdfc</t>
        </is>
      </c>
      <c r="D118" t="n">
        <v>55.7358</v>
      </c>
      <c r="E118" t="n">
        <v>37.69859</v>
      </c>
      <c r="F118" t="inlineStr"/>
      <c r="G118" t="inlineStr"/>
      <c r="H118" t="inlineStr"/>
    </row>
    <row r="119">
      <c r="A119" t="inlineStr">
        <is>
          <t>d02379de-b26f-488e-8a11-16d985c4f1fd.jpg</t>
        </is>
      </c>
      <c r="B119">
        <f>HYPERLINK("Объекты недвижимости, не соответствующие градостроительным нормам_00-022_Август/d02379de-b26f-488e-8a11-16d985c4f1fd.jpg","open")</f>
        <v/>
      </c>
      <c r="C119" t="inlineStr">
        <is>
          <t>a1a9db89-3f74-42ef-8fad-ad69705102cd</t>
        </is>
      </c>
      <c r="D119" t="n">
        <v>55.97218</v>
      </c>
      <c r="E119" t="n">
        <v>37.44981</v>
      </c>
      <c r="F119" t="inlineStr"/>
      <c r="G119" t="inlineStr"/>
      <c r="H119" t="inlineStr"/>
    </row>
    <row r="120">
      <c r="A120" t="inlineStr">
        <is>
          <t>3293a94c-1435-48ff-b553-c4fdf90c5e29.jpg</t>
        </is>
      </c>
      <c r="B120">
        <f>HYPERLINK("Объекты недвижимости, не соответствующие градостроительным нормам_00-022_Август/3293a94c-1435-48ff-b553-c4fdf90c5e29.jpg","open")</f>
        <v/>
      </c>
      <c r="C120" t="inlineStr">
        <is>
          <t>8cde1fd0-eca1-4510-86ab-3c743b65fdfc</t>
        </is>
      </c>
      <c r="D120" t="n">
        <v>55.73555</v>
      </c>
      <c r="E120" t="n">
        <v>37.69527</v>
      </c>
      <c r="F120" t="inlineStr"/>
      <c r="G120" t="inlineStr"/>
      <c r="H120" t="inlineStr"/>
    </row>
    <row r="121">
      <c r="A121" t="inlineStr">
        <is>
          <t>0c644167-666e-43f2-94fa-4b8b614ffd75.jpg</t>
        </is>
      </c>
      <c r="B121">
        <f>HYPERLINK("Объекты недвижимости, не соответствующие градостроительным нормам_00-022_Август/0c644167-666e-43f2-94fa-4b8b614ffd75.jpg","open")</f>
        <v/>
      </c>
      <c r="C121" t="inlineStr">
        <is>
          <t>cbf95b01-f708-45a3-9ec0-3603469b538e</t>
        </is>
      </c>
      <c r="D121" t="n">
        <v>55.97218</v>
      </c>
      <c r="E121" t="n">
        <v>37.44981</v>
      </c>
      <c r="F121" t="inlineStr"/>
      <c r="G121" t="inlineStr"/>
      <c r="H121" t="inlineStr"/>
    </row>
    <row r="122">
      <c r="A122" t="inlineStr">
        <is>
          <t>9ee7b3c2-66f1-4472-91de-630c9a6998e5.jpg</t>
        </is>
      </c>
      <c r="B122">
        <f>HYPERLINK("Объекты недвижимости, не соответствующие градостроительным нормам_00-022_Август/9ee7b3c2-66f1-4472-91de-630c9a6998e5.jpg","open")</f>
        <v/>
      </c>
      <c r="C122" t="inlineStr">
        <is>
          <t>a1a9db89-3f74-42ef-8fad-ad69705102cd</t>
        </is>
      </c>
      <c r="D122" t="n">
        <v>55.97218</v>
      </c>
      <c r="E122" t="n">
        <v>37.44981</v>
      </c>
      <c r="F122" t="inlineStr"/>
      <c r="G122" t="inlineStr"/>
      <c r="H122" t="inlineStr"/>
    </row>
    <row r="123">
      <c r="A123" t="inlineStr">
        <is>
          <t>7d0cff1f-e24b-4b2c-bb3e-ff69bf842e60.jpg</t>
        </is>
      </c>
      <c r="B123">
        <f>HYPERLINK("Объекты недвижимости, не соответствующие градостроительным нормам_00-022_Август/7d0cff1f-e24b-4b2c-bb3e-ff69bf842e60.jpg","open")</f>
        <v/>
      </c>
      <c r="C123" t="inlineStr">
        <is>
          <t>cbf95b01-f708-45a3-9ec0-3603469b538e</t>
        </is>
      </c>
      <c r="D123" t="n">
        <v>55.97218</v>
      </c>
      <c r="E123" t="n">
        <v>37.44981</v>
      </c>
      <c r="F123" t="inlineStr"/>
      <c r="G123" t="inlineStr"/>
      <c r="H123" t="inlineStr"/>
    </row>
    <row r="124">
      <c r="A124" t="inlineStr">
        <is>
          <t>17bac926-89e9-4a18-95d5-cb5a0cfbed58.jpg</t>
        </is>
      </c>
      <c r="B124">
        <f>HYPERLINK("Объекты недвижимости, не соответствующие градостроительным нормам_00-022_Август/17bac926-89e9-4a18-95d5-cb5a0cfbed58.jpg","open")</f>
        <v/>
      </c>
      <c r="C124" t="inlineStr">
        <is>
          <t>a1a9db89-3f74-42ef-8fad-ad69705102cd</t>
        </is>
      </c>
      <c r="D124" t="n">
        <v>55.97218</v>
      </c>
      <c r="E124" t="n">
        <v>37.44981</v>
      </c>
      <c r="F124" t="inlineStr"/>
      <c r="G124" t="inlineStr"/>
      <c r="H124" t="inlineStr"/>
    </row>
    <row r="125">
      <c r="A125" t="inlineStr">
        <is>
          <t>b1371e1e-78f1-4fbf-a3ec-b187904f6d12.jpg</t>
        </is>
      </c>
      <c r="B125">
        <f>HYPERLINK("Объекты недвижимости, не соответствующие градостроительным нормам_00-022_Август/b1371e1e-78f1-4fbf-a3ec-b187904f6d12.jpg","open")</f>
        <v/>
      </c>
      <c r="C125" t="inlineStr">
        <is>
          <t>a1a9db89-3f74-42ef-8fad-ad69705102cd</t>
        </is>
      </c>
      <c r="D125" t="n">
        <v>55.97218</v>
      </c>
      <c r="E125" t="n">
        <v>37.44981</v>
      </c>
      <c r="F125" t="inlineStr"/>
      <c r="G125" t="inlineStr"/>
      <c r="H125" t="inlineStr"/>
    </row>
    <row r="126">
      <c r="A126" t="inlineStr">
        <is>
          <t>708580c3-91f4-4b53-a8df-ba8819c81226.jpg</t>
        </is>
      </c>
      <c r="B126">
        <f>HYPERLINK("Объекты недвижимости, не соответствующие градостроительным нормам_00-022_Август/708580c3-91f4-4b53-a8df-ba8819c81226.jpg","open")</f>
        <v/>
      </c>
      <c r="C126" t="inlineStr">
        <is>
          <t>a1a9db89-3f74-42ef-8fad-ad69705102cd</t>
        </is>
      </c>
      <c r="D126" t="n">
        <v>55.97218</v>
      </c>
      <c r="E126" t="n">
        <v>37.44981</v>
      </c>
      <c r="F126" t="inlineStr"/>
      <c r="G126" t="inlineStr"/>
      <c r="H126" t="inlineStr"/>
    </row>
    <row r="127">
      <c r="A127" t="inlineStr">
        <is>
          <t>20b0f3c2-7394-446e-883e-53432d921259.jpg</t>
        </is>
      </c>
      <c r="B127">
        <f>HYPERLINK("Объекты недвижимости, не соответствующие градостроительным нормам_00-022_Август/20b0f3c2-7394-446e-883e-53432d921259.jpg","open")</f>
        <v/>
      </c>
      <c r="C127" t="inlineStr">
        <is>
          <t>a1a9db89-3f74-42ef-8fad-ad69705102cd</t>
        </is>
      </c>
      <c r="D127" t="n">
        <v>55.97218</v>
      </c>
      <c r="E127" t="n">
        <v>37.44981</v>
      </c>
      <c r="F127" t="inlineStr"/>
      <c r="G127" t="inlineStr"/>
      <c r="H127" t="inlineStr"/>
    </row>
    <row r="128">
      <c r="A128" t="inlineStr">
        <is>
          <t>76a92a8c-a188-4b5f-b4c3-9bf108625ee0.jpg</t>
        </is>
      </c>
      <c r="B128">
        <f>HYPERLINK("Объекты недвижимости, не соответствующие градостроительным нормам_00-022_Август/76a92a8c-a188-4b5f-b4c3-9bf108625ee0.jpg","open")</f>
        <v/>
      </c>
      <c r="C128" t="inlineStr">
        <is>
          <t>99f3abba-c55b-49f0-9de5-9f88e9597cc0</t>
        </is>
      </c>
      <c r="D128" t="n">
        <v>55.6829</v>
      </c>
      <c r="E128" t="n">
        <v>37.65156</v>
      </c>
      <c r="F128" t="inlineStr"/>
      <c r="G128" t="inlineStr"/>
      <c r="H128" t="inlineStr"/>
    </row>
    <row r="129">
      <c r="A129" t="inlineStr">
        <is>
          <t>35302a24-83e8-44d4-9ee8-fa8017234560.jpg</t>
        </is>
      </c>
      <c r="B129">
        <f>HYPERLINK("Объекты недвижимости, не соответствующие градостроительным нормам_00-022_Август/35302a24-83e8-44d4-9ee8-fa8017234560.jpg","open")</f>
        <v/>
      </c>
      <c r="C129" t="inlineStr">
        <is>
          <t>8cde1fd0-eca1-4510-86ab-3c743b65fdfc</t>
        </is>
      </c>
      <c r="D129" t="n">
        <v>55.73214</v>
      </c>
      <c r="E129" t="n">
        <v>37.71145</v>
      </c>
      <c r="F129" t="inlineStr"/>
      <c r="G129" t="inlineStr"/>
      <c r="H129" t="inlineStr"/>
    </row>
    <row r="130">
      <c r="A130" t="inlineStr">
        <is>
          <t>68367294-c9b4-401f-9a13-9d7c103968a5.jpg</t>
        </is>
      </c>
      <c r="B130">
        <f>HYPERLINK("Объекты недвижимости, не соответствующие градостроительным нормам_00-022_Август/68367294-c9b4-401f-9a13-9d7c103968a5.jpg","open")</f>
        <v/>
      </c>
      <c r="C130" t="inlineStr">
        <is>
          <t>cbf95b01-f708-45a3-9ec0-3603469b538e</t>
        </is>
      </c>
      <c r="D130" t="n">
        <v>55.97218</v>
      </c>
      <c r="E130" t="n">
        <v>37.44981</v>
      </c>
      <c r="F130" t="inlineStr"/>
      <c r="G130" t="inlineStr"/>
      <c r="H130" t="inlineStr"/>
    </row>
    <row r="131">
      <c r="A131" t="inlineStr">
        <is>
          <t>98b7126a-225a-4f9d-ac9b-b17b83e126f8.jpg</t>
        </is>
      </c>
      <c r="B131">
        <f>HYPERLINK("Объекты недвижимости, не соответствующие градостроительным нормам_00-022_Август/98b7126a-225a-4f9d-ac9b-b17b83e126f8.jpg","open")</f>
        <v/>
      </c>
      <c r="C131" t="inlineStr">
        <is>
          <t>cbf95b01-f708-45a3-9ec0-3603469b538e</t>
        </is>
      </c>
      <c r="D131" t="n">
        <v>55.97218</v>
      </c>
      <c r="E131" t="n">
        <v>37.44981</v>
      </c>
      <c r="F131" t="inlineStr"/>
      <c r="G131" t="inlineStr"/>
      <c r="H131" t="inlineStr"/>
    </row>
    <row r="132">
      <c r="A132" t="inlineStr">
        <is>
          <t>d13087d7-3c5d-44c3-a208-2d93fde6da0d.jpg</t>
        </is>
      </c>
      <c r="B132">
        <f>HYPERLINK("Объекты недвижимости, не соответствующие градостроительным нормам_00-022_Август/d13087d7-3c5d-44c3-a208-2d93fde6da0d.jpg","open")</f>
        <v/>
      </c>
      <c r="C132" t="inlineStr">
        <is>
          <t>a1a9db89-3f74-42ef-8fad-ad69705102cd</t>
        </is>
      </c>
      <c r="D132" t="n">
        <v>55.97218</v>
      </c>
      <c r="E132" t="n">
        <v>37.44981</v>
      </c>
      <c r="F132" t="inlineStr"/>
      <c r="G132" t="inlineStr"/>
      <c r="H132" t="inlineStr"/>
    </row>
    <row r="133">
      <c r="A133" t="inlineStr">
        <is>
          <t>51a21321-57c8-43a5-948b-c463bce1f978.jpg</t>
        </is>
      </c>
      <c r="B133">
        <f>HYPERLINK("Объекты недвижимости, не соответствующие градостроительным нормам_00-022_Август/51a21321-57c8-43a5-948b-c463bce1f978.jpg","open")</f>
        <v/>
      </c>
      <c r="C133" t="inlineStr">
        <is>
          <t>cbf95b01-f708-45a3-9ec0-3603469b538e</t>
        </is>
      </c>
      <c r="D133" t="n">
        <v>55.97218</v>
      </c>
      <c r="E133" t="n">
        <v>37.44981</v>
      </c>
      <c r="F133" t="inlineStr"/>
      <c r="G133" t="inlineStr"/>
      <c r="H133" t="inlineStr"/>
    </row>
    <row r="134">
      <c r="A134" t="inlineStr">
        <is>
          <t>0cfd15df-4801-4d76-a3ac-41e5c0e10a38.jpg</t>
        </is>
      </c>
      <c r="B134">
        <f>HYPERLINK("Объекты недвижимости, не соответствующие градостроительным нормам_00-022_Август/0cfd15df-4801-4d76-a3ac-41e5c0e10a38.jpg","open")</f>
        <v/>
      </c>
      <c r="C134" t="inlineStr">
        <is>
          <t>cbf95b01-f708-45a3-9ec0-3603469b538e</t>
        </is>
      </c>
      <c r="D134" t="n">
        <v>55.97218</v>
      </c>
      <c r="E134" t="n">
        <v>37.44981</v>
      </c>
      <c r="F134" t="inlineStr"/>
      <c r="G134" t="inlineStr"/>
      <c r="H134" t="inlineStr"/>
    </row>
    <row r="135">
      <c r="A135" t="inlineStr">
        <is>
          <t>72af8ca4-2348-48c9-bcc9-ff3031efd9dc.jpg</t>
        </is>
      </c>
      <c r="B135">
        <f>HYPERLINK("Объекты недвижимости, не соответствующие градостроительным нормам_00-022_Август/72af8ca4-2348-48c9-bcc9-ff3031efd9dc.jpg","open")</f>
        <v/>
      </c>
      <c r="C135" t="inlineStr">
        <is>
          <t>a1a9db89-3f74-42ef-8fad-ad69705102cd</t>
        </is>
      </c>
      <c r="D135" t="n">
        <v>55.97218</v>
      </c>
      <c r="E135" t="n">
        <v>37.44981</v>
      </c>
      <c r="F135" t="inlineStr"/>
      <c r="G135" t="inlineStr"/>
      <c r="H135" t="inlineStr"/>
    </row>
    <row r="136">
      <c r="A136" t="inlineStr">
        <is>
          <t>9cece7ae-18fc-4804-8e2f-d4c1caa1682f.jpg</t>
        </is>
      </c>
      <c r="B136">
        <f>HYPERLINK("Объекты недвижимости, не соответствующие градостроительным нормам_00-022_Август/9cece7ae-18fc-4804-8e2f-d4c1caa1682f.jpg","open")</f>
        <v/>
      </c>
      <c r="C136" t="inlineStr">
        <is>
          <t>cbf95b01-f708-45a3-9ec0-3603469b538e</t>
        </is>
      </c>
      <c r="D136" t="n">
        <v>55.97218</v>
      </c>
      <c r="E136" t="n">
        <v>37.44981</v>
      </c>
      <c r="F136" t="inlineStr"/>
      <c r="G136" t="inlineStr"/>
      <c r="H136" t="inlineStr"/>
    </row>
    <row r="137">
      <c r="A137" t="inlineStr">
        <is>
          <t>c8c6f451-adbf-4006-9a1b-950e6749cedf.jpg</t>
        </is>
      </c>
      <c r="B137">
        <f>HYPERLINK("Объекты недвижимости, не соответствующие градостроительным нормам_00-022_Август/c8c6f451-adbf-4006-9a1b-950e6749cedf.jpg","open")</f>
        <v/>
      </c>
      <c r="C137" t="inlineStr">
        <is>
          <t>a1a9db89-3f74-42ef-8fad-ad69705102cd</t>
        </is>
      </c>
      <c r="D137" t="n">
        <v>55.97218</v>
      </c>
      <c r="E137" t="n">
        <v>37.44981</v>
      </c>
      <c r="F137" t="inlineStr"/>
      <c r="G137" t="inlineStr"/>
      <c r="H137" t="inlineStr"/>
    </row>
    <row r="138">
      <c r="A138" t="inlineStr">
        <is>
          <t>e60a866f-8b49-467c-bdb1-e1b1f90d26f8.jpg</t>
        </is>
      </c>
      <c r="B138">
        <f>HYPERLINK("Объекты недвижимости, не соответствующие градостроительным нормам_00-022_Август/e60a866f-8b49-467c-bdb1-e1b1f90d26f8.jpg","open")</f>
        <v/>
      </c>
      <c r="C138" t="inlineStr">
        <is>
          <t>cbf95b01-f708-45a3-9ec0-3603469b538e</t>
        </is>
      </c>
      <c r="D138" t="n">
        <v>55.97218</v>
      </c>
      <c r="E138" t="n">
        <v>37.44981</v>
      </c>
      <c r="F138" t="inlineStr"/>
      <c r="G138" t="inlineStr"/>
      <c r="H138" t="inlineStr"/>
    </row>
    <row r="139">
      <c r="A139" t="inlineStr">
        <is>
          <t>5ea4e46a-f296-4058-8ca4-57114f44c008.jpg</t>
        </is>
      </c>
      <c r="B139">
        <f>HYPERLINK("Объекты недвижимости, не соответствующие градостроительным нормам_00-022_Август/5ea4e46a-f296-4058-8ca4-57114f44c008.jpg","open")</f>
        <v/>
      </c>
      <c r="C139" t="inlineStr">
        <is>
          <t>cbf95b01-f708-45a3-9ec0-3603469b538e</t>
        </is>
      </c>
      <c r="D139" t="n">
        <v>55.97218</v>
      </c>
      <c r="E139" t="n">
        <v>37.44981</v>
      </c>
      <c r="F139" t="inlineStr"/>
      <c r="G139" t="inlineStr"/>
      <c r="H139" t="inlineStr"/>
    </row>
    <row r="140">
      <c r="A140" t="inlineStr">
        <is>
          <t>fa7b9604-2e02-4450-a097-5e947d439698.jpg</t>
        </is>
      </c>
      <c r="B140">
        <f>HYPERLINK("Объекты недвижимости, не соответствующие градостроительным нормам_00-022_Август/fa7b9604-2e02-4450-a097-5e947d439698.jpg","open")</f>
        <v/>
      </c>
      <c r="C140" t="inlineStr">
        <is>
          <t>936502dd-24a4-4256-9fdf-0d8fb72af3ed</t>
        </is>
      </c>
      <c r="D140" t="n">
        <v>55.71221</v>
      </c>
      <c r="E140" t="n">
        <v>37.60706</v>
      </c>
      <c r="F140" t="inlineStr"/>
      <c r="G140" t="inlineStr"/>
      <c r="H140" t="inlineStr"/>
    </row>
    <row r="141">
      <c r="A141" t="inlineStr">
        <is>
          <t>0fa15f35-2dc5-4293-b26c-d5b2351c1622.jpg</t>
        </is>
      </c>
      <c r="B141">
        <f>HYPERLINK("Объекты недвижимости, не соответствующие градостроительным нормам_00-022_Август/0fa15f35-2dc5-4293-b26c-d5b2351c1622.jpg","open")</f>
        <v/>
      </c>
      <c r="C141" t="inlineStr">
        <is>
          <t>030e8755-17c1-44eb-9530-707d0d3121cb</t>
        </is>
      </c>
      <c r="D141" t="n">
        <v>55.71219</v>
      </c>
      <c r="E141" t="n">
        <v>37.60714</v>
      </c>
      <c r="F141" t="inlineStr"/>
      <c r="G141" t="inlineStr"/>
      <c r="H141" t="inlineStr"/>
    </row>
    <row r="142">
      <c r="A142" t="inlineStr">
        <is>
          <t>6be0c4e5-ca51-47b9-a986-977c798f3ceb.jpg</t>
        </is>
      </c>
      <c r="B142">
        <f>HYPERLINK("Объекты недвижимости, не соответствующие градостроительным нормам_00-022_Август/6be0c4e5-ca51-47b9-a986-977c798f3ceb.jpg","open")</f>
        <v/>
      </c>
      <c r="C142" t="inlineStr">
        <is>
          <t>cbf95b01-f708-45a3-9ec0-3603469b538e</t>
        </is>
      </c>
      <c r="D142" t="n">
        <v>55.97218</v>
      </c>
      <c r="E142" t="n">
        <v>37.44981</v>
      </c>
      <c r="F142" t="inlineStr"/>
      <c r="G142" t="inlineStr"/>
      <c r="H142" t="inlineStr"/>
    </row>
    <row r="143">
      <c r="A143" t="inlineStr">
        <is>
          <t>d742297e-3784-43bc-932e-87d29c2d102f.jpg</t>
        </is>
      </c>
      <c r="B143">
        <f>HYPERLINK("Объекты недвижимости, не соответствующие градостроительным нормам_00-022_Август/d742297e-3784-43bc-932e-87d29c2d102f.jpg","open")</f>
        <v/>
      </c>
      <c r="C143" t="inlineStr">
        <is>
          <t>cbf95b01-f708-45a3-9ec0-3603469b538e</t>
        </is>
      </c>
      <c r="D143" t="n">
        <v>55.97218</v>
      </c>
      <c r="E143" t="n">
        <v>37.44981</v>
      </c>
      <c r="F143" t="inlineStr"/>
      <c r="G143" t="inlineStr"/>
      <c r="H143" t="inlineStr"/>
    </row>
    <row r="144">
      <c r="A144" t="inlineStr">
        <is>
          <t>7a2a9aa9-12f8-4c07-9697-29310057fe89.jpg</t>
        </is>
      </c>
      <c r="B144">
        <f>HYPERLINK("Объекты недвижимости, не соответствующие градостроительным нормам_00-022_Август/7a2a9aa9-12f8-4c07-9697-29310057fe89.jpg","open")</f>
        <v/>
      </c>
      <c r="C144" t="inlineStr">
        <is>
          <t>cbf95b01-f708-45a3-9ec0-3603469b538e</t>
        </is>
      </c>
      <c r="D144" t="n">
        <v>55.97218</v>
      </c>
      <c r="E144" t="n">
        <v>37.44981</v>
      </c>
      <c r="F144" t="inlineStr"/>
      <c r="G144" t="inlineStr"/>
      <c r="H144" t="inlineStr"/>
    </row>
    <row r="145">
      <c r="A145" t="inlineStr">
        <is>
          <t>a40d98c9-2ce9-4b1e-95d1-ebee8ad1be4e.jpg</t>
        </is>
      </c>
      <c r="B145">
        <f>HYPERLINK("Объекты недвижимости, не соответствующие градостроительным нормам_00-022_Август/a40d98c9-2ce9-4b1e-95d1-ebee8ad1be4e.jpg","open")</f>
        <v/>
      </c>
      <c r="C145" t="inlineStr">
        <is>
          <t>8cde1fd0-eca1-4510-86ab-3c743b65fdfc</t>
        </is>
      </c>
      <c r="D145" t="n">
        <v>55.72997</v>
      </c>
      <c r="E145" t="n">
        <v>37.71087</v>
      </c>
      <c r="F145" t="inlineStr"/>
      <c r="G145" t="inlineStr"/>
      <c r="H145" t="inlineStr"/>
    </row>
    <row r="146">
      <c r="A146" t="inlineStr">
        <is>
          <t>6fb00736-8179-49a7-8656-2a7c7ca33376.jpg</t>
        </is>
      </c>
      <c r="B146">
        <f>HYPERLINK("Объекты недвижимости, не соответствующие градостроительным нормам_00-022_Август/6fb00736-8179-49a7-8656-2a7c7ca33376.jpg","open")</f>
        <v/>
      </c>
      <c r="C146" t="inlineStr">
        <is>
          <t>1c951e11-4940-43c6-a447-394097e5609a</t>
        </is>
      </c>
      <c r="D146" t="n">
        <v>55.72997</v>
      </c>
      <c r="E146" t="n">
        <v>37.71087</v>
      </c>
      <c r="F146" t="inlineStr"/>
      <c r="G146" t="inlineStr"/>
      <c r="H146" t="inlineStr"/>
    </row>
    <row r="147">
      <c r="A147" t="inlineStr">
        <is>
          <t>d6eb47ed-7b5a-4e89-9cb9-689986108d44.jpg</t>
        </is>
      </c>
      <c r="B147">
        <f>HYPERLINK("Объекты недвижимости, не соответствующие градостроительным нормам_00-022_Август/d6eb47ed-7b5a-4e89-9cb9-689986108d44.jpg","open")</f>
        <v/>
      </c>
      <c r="C147" t="inlineStr">
        <is>
          <t>a1a9db89-3f74-42ef-8fad-ad69705102cd</t>
        </is>
      </c>
      <c r="D147" t="n">
        <v>55.97218</v>
      </c>
      <c r="E147" t="n">
        <v>37.44981</v>
      </c>
      <c r="F147" t="inlineStr"/>
      <c r="G147" t="inlineStr"/>
      <c r="H147" t="inlineStr"/>
    </row>
    <row r="148">
      <c r="A148" t="inlineStr">
        <is>
          <t>bb01a922-b8c8-49e9-8cdf-efea74c9adc0.jpg</t>
        </is>
      </c>
      <c r="B148">
        <f>HYPERLINK("Объекты недвижимости, не соответствующие градостроительным нормам_00-022_Август/bb01a922-b8c8-49e9-8cdf-efea74c9adc0.jpg","open")</f>
        <v/>
      </c>
      <c r="C148" t="inlineStr">
        <is>
          <t>cbf95b01-f708-45a3-9ec0-3603469b538e</t>
        </is>
      </c>
      <c r="D148" t="n">
        <v>55.97218</v>
      </c>
      <c r="E148" t="n">
        <v>37.44981</v>
      </c>
      <c r="F148" t="inlineStr"/>
      <c r="G148" t="inlineStr"/>
      <c r="H148" t="inlineStr"/>
    </row>
    <row r="149">
      <c r="A149" t="inlineStr">
        <is>
          <t>d8caf914-2844-4804-a6c1-99ce129abf42.jpg</t>
        </is>
      </c>
      <c r="B149">
        <f>HYPERLINK("Объекты недвижимости, не соответствующие градостроительным нормам_00-022_Август/d8caf914-2844-4804-a6c1-99ce129abf42.jpg","open")</f>
        <v/>
      </c>
      <c r="C149" t="inlineStr">
        <is>
          <t>a1a9db89-3f74-42ef-8fad-ad69705102cd</t>
        </is>
      </c>
      <c r="D149" t="n">
        <v>55.97218</v>
      </c>
      <c r="E149" t="n">
        <v>37.44981</v>
      </c>
      <c r="F149" t="inlineStr"/>
      <c r="G149" t="inlineStr"/>
      <c r="H149" t="inlineStr"/>
    </row>
    <row r="150">
      <c r="A150" t="inlineStr">
        <is>
          <t>14dcbb6f-a649-4086-89b6-865a46ba017e.jpg</t>
        </is>
      </c>
      <c r="B150">
        <f>HYPERLINK("Объекты недвижимости, не соответствующие градостроительным нормам_00-022_Август/14dcbb6f-a649-4086-89b6-865a46ba017e.jpg","open")</f>
        <v/>
      </c>
      <c r="C150" t="inlineStr">
        <is>
          <t>cbf95b01-f708-45a3-9ec0-3603469b538e</t>
        </is>
      </c>
      <c r="D150" t="n">
        <v>55.97218</v>
      </c>
      <c r="E150" t="n">
        <v>37.44981</v>
      </c>
      <c r="F150" t="inlineStr"/>
      <c r="G150" t="inlineStr"/>
      <c r="H150" t="inlineStr"/>
    </row>
    <row r="151">
      <c r="A151" t="inlineStr">
        <is>
          <t>ebc6f072-eac7-4ddd-8f50-119af156389a.jpg</t>
        </is>
      </c>
      <c r="B151">
        <f>HYPERLINK("Объекты недвижимости, не соответствующие градостроительным нормам_00-022_Август/ebc6f072-eac7-4ddd-8f50-119af156389a.jpg","open")</f>
        <v/>
      </c>
      <c r="C151" t="inlineStr">
        <is>
          <t>cbf95b01-f708-45a3-9ec0-3603469b538e</t>
        </is>
      </c>
      <c r="D151" t="n">
        <v>55.97218</v>
      </c>
      <c r="E151" t="n">
        <v>37.44981</v>
      </c>
      <c r="F151" t="inlineStr"/>
      <c r="G151" t="inlineStr"/>
      <c r="H151" t="inlineStr"/>
    </row>
    <row r="152">
      <c r="A152" t="inlineStr">
        <is>
          <t>f8456f4c-4d28-4d49-8a3d-6a1ab1a031a2.jpg</t>
        </is>
      </c>
      <c r="B152">
        <f>HYPERLINK("Объекты недвижимости, не соответствующие градостроительным нормам_00-022_Август/f8456f4c-4d28-4d49-8a3d-6a1ab1a031a2.jpg","open")</f>
        <v/>
      </c>
      <c r="C152" t="inlineStr">
        <is>
          <t>a1a9db89-3f74-42ef-8fad-ad69705102cd</t>
        </is>
      </c>
      <c r="D152" t="n">
        <v>55.97218</v>
      </c>
      <c r="E152" t="n">
        <v>37.44981</v>
      </c>
      <c r="F152" t="inlineStr"/>
      <c r="G152" t="inlineStr"/>
      <c r="H152" t="inlineStr"/>
    </row>
    <row r="153">
      <c r="A153" t="inlineStr">
        <is>
          <t>544be7d9-0b6e-4a97-8795-8f967a217e10.jpg</t>
        </is>
      </c>
      <c r="B153">
        <f>HYPERLINK("Объекты недвижимости, не соответствующие градостроительным нормам_00-022_Август/544be7d9-0b6e-4a97-8795-8f967a217e10.jpg","open")</f>
        <v/>
      </c>
      <c r="C153" t="inlineStr">
        <is>
          <t>cbf95b01-f708-45a3-9ec0-3603469b538e</t>
        </is>
      </c>
      <c r="D153" t="n">
        <v>55.97218</v>
      </c>
      <c r="E153" t="n">
        <v>37.44981</v>
      </c>
      <c r="F153" t="inlineStr"/>
      <c r="G153" t="inlineStr"/>
      <c r="H153" t="inlineStr"/>
    </row>
    <row r="154">
      <c r="A154" t="inlineStr">
        <is>
          <t>f39b1d47-3e6e-44d6-9992-46e04ffe0130.jpg</t>
        </is>
      </c>
      <c r="B154">
        <f>HYPERLINK("Объекты недвижимости, не соответствующие градостроительным нормам_00-022_Август/f39b1d47-3e6e-44d6-9992-46e04ffe0130.jpg","open")</f>
        <v/>
      </c>
      <c r="C154" t="inlineStr">
        <is>
          <t>cbf95b01-f708-45a3-9ec0-3603469b538e</t>
        </is>
      </c>
      <c r="D154" t="n">
        <v>55.97218</v>
      </c>
      <c r="E154" t="n">
        <v>37.44981</v>
      </c>
      <c r="F154" t="inlineStr"/>
      <c r="G154" t="inlineStr"/>
      <c r="H154" t="inlineStr"/>
    </row>
    <row r="155">
      <c r="A155" t="inlineStr">
        <is>
          <t>c9e0bdc8-c458-4c7f-8342-92367c5fce4c.jpg</t>
        </is>
      </c>
      <c r="B155">
        <f>HYPERLINK("Объекты недвижимости, не соответствующие градостроительным нормам_00-022_Август/c9e0bdc8-c458-4c7f-8342-92367c5fce4c.jpg","open")</f>
        <v/>
      </c>
      <c r="C155" t="inlineStr">
        <is>
          <t>cbf95b01-f708-45a3-9ec0-3603469b538e</t>
        </is>
      </c>
      <c r="D155" t="n">
        <v>55.97218</v>
      </c>
      <c r="E155" t="n">
        <v>37.44981</v>
      </c>
      <c r="F155" t="inlineStr"/>
      <c r="G155" t="inlineStr"/>
      <c r="H155" t="inlineStr"/>
    </row>
    <row r="156">
      <c r="A156" t="inlineStr">
        <is>
          <t>78de39e7-7450-4b5c-951d-990042b6f14f.jpg</t>
        </is>
      </c>
      <c r="B156">
        <f>HYPERLINK("Объекты недвижимости, не соответствующие градостроительным нормам_00-022_Август/78de39e7-7450-4b5c-951d-990042b6f14f.jpg","open")</f>
        <v/>
      </c>
      <c r="C156" t="inlineStr">
        <is>
          <t>a1a9db89-3f74-42ef-8fad-ad69705102cd</t>
        </is>
      </c>
      <c r="D156" t="n">
        <v>55.97218</v>
      </c>
      <c r="E156" t="n">
        <v>37.44981</v>
      </c>
      <c r="F156" t="inlineStr"/>
      <c r="G156" t="inlineStr"/>
      <c r="H156" t="inlineStr"/>
    </row>
    <row r="157">
      <c r="A157" t="inlineStr">
        <is>
          <t>0c05275c-0319-4b75-a59c-7ee823bf07cf.jpg</t>
        </is>
      </c>
      <c r="B157">
        <f>HYPERLINK("Объекты недвижимости, не соответствующие градостроительным нормам_00-022_Август/0c05275c-0319-4b75-a59c-7ee823bf07cf.jpg","open")</f>
        <v/>
      </c>
      <c r="C157" t="inlineStr">
        <is>
          <t>cbf95b01-f708-45a3-9ec0-3603469b538e</t>
        </is>
      </c>
      <c r="D157" t="n">
        <v>55.97218</v>
      </c>
      <c r="E157" t="n">
        <v>37.44981</v>
      </c>
      <c r="F157" t="inlineStr"/>
      <c r="G157" t="inlineStr"/>
      <c r="H157" t="inlineStr"/>
    </row>
    <row r="158">
      <c r="A158" t="inlineStr">
        <is>
          <t>b5e8249c-4605-43b3-9553-71aaa7f22055.jpg</t>
        </is>
      </c>
      <c r="B158">
        <f>HYPERLINK("Объекты недвижимости, не соответствующие градостроительным нормам_00-022_Август/b5e8249c-4605-43b3-9553-71aaa7f22055.jpg","open")</f>
        <v/>
      </c>
      <c r="C158" t="inlineStr">
        <is>
          <t>2ba4f567-3981-4fd7-ac4a-45e8b3d68429</t>
        </is>
      </c>
      <c r="D158" t="n">
        <v>55.89829</v>
      </c>
      <c r="E158" t="n">
        <v>37.78686</v>
      </c>
      <c r="F158" t="inlineStr"/>
      <c r="G158" t="inlineStr"/>
      <c r="H158" t="inlineStr"/>
    </row>
    <row r="159">
      <c r="A159" t="inlineStr">
        <is>
          <t>7ab8e6e0-5cd4-46f7-9cb3-8ef07896c63d.jpg</t>
        </is>
      </c>
      <c r="B159">
        <f>HYPERLINK("Объекты недвижимости, не соответствующие градостроительным нормам_00-022_Август/7ab8e6e0-5cd4-46f7-9cb3-8ef07896c63d.jpg","open")</f>
        <v/>
      </c>
      <c r="C159" t="inlineStr">
        <is>
          <t>8cde1fd0-eca1-4510-86ab-3c743b65fdfc</t>
        </is>
      </c>
      <c r="D159" t="n">
        <v>55.72326</v>
      </c>
      <c r="E159" t="n">
        <v>37.71451</v>
      </c>
      <c r="F159" t="inlineStr"/>
      <c r="G159" t="inlineStr"/>
      <c r="H159" t="inlineStr"/>
    </row>
    <row r="160">
      <c r="A160" t="inlineStr">
        <is>
          <t>af94139f-063b-48e9-b841-0da4623a8215.jpg</t>
        </is>
      </c>
      <c r="B160">
        <f>HYPERLINK("Объекты недвижимости, не соответствующие градостроительным нормам_00-022_Август/af94139f-063b-48e9-b841-0da4623a8215.jpg","open")</f>
        <v/>
      </c>
      <c r="C160" t="inlineStr">
        <is>
          <t>8cde1fd0-eca1-4510-86ab-3c743b65fdfc</t>
        </is>
      </c>
      <c r="D160" t="n">
        <v>55.72316</v>
      </c>
      <c r="E160" t="n">
        <v>37.71483</v>
      </c>
      <c r="F160" t="inlineStr"/>
      <c r="G160" t="inlineStr"/>
      <c r="H160" t="inlineStr"/>
    </row>
    <row r="161">
      <c r="A161" t="inlineStr">
        <is>
          <t>86be8100-cafd-4b48-9f78-de6ecac7f79f.jpg</t>
        </is>
      </c>
      <c r="B161">
        <f>HYPERLINK("Объекты недвижимости, не соответствующие градостроительным нормам_00-022_Август/86be8100-cafd-4b48-9f78-de6ecac7f79f.jpg","open")</f>
        <v/>
      </c>
      <c r="C161" t="inlineStr">
        <is>
          <t>1c951e11-4940-43c6-a447-394097e5609a</t>
        </is>
      </c>
      <c r="D161" t="n">
        <v>55.72321</v>
      </c>
      <c r="E161" t="n">
        <v>37.71467</v>
      </c>
      <c r="F161" t="inlineStr"/>
      <c r="G161" t="inlineStr"/>
      <c r="H161" t="inlineStr"/>
    </row>
    <row r="162">
      <c r="A162" t="inlineStr">
        <is>
          <t>d58f0c7b-c50d-46e5-8488-5eb31cc3bb33.jpg</t>
        </is>
      </c>
      <c r="B162">
        <f>HYPERLINK("Объекты недвижимости, не соответствующие градостроительным нормам_00-022_Август/d58f0c7b-c50d-46e5-8488-5eb31cc3bb33.jpg","open")</f>
        <v/>
      </c>
      <c r="C162" t="inlineStr">
        <is>
          <t>8cde1fd0-eca1-4510-86ab-3c743b65fdfc</t>
        </is>
      </c>
      <c r="D162" t="n">
        <v>55.72311</v>
      </c>
      <c r="E162" t="n">
        <v>37.71518</v>
      </c>
      <c r="F162" t="inlineStr"/>
      <c r="G162" t="inlineStr"/>
      <c r="H162" t="inlineStr"/>
    </row>
    <row r="163">
      <c r="A163" t="inlineStr">
        <is>
          <t>d2ef1cb2-dcc3-41e4-a43b-1ddeb65b86b6.jpg</t>
        </is>
      </c>
      <c r="B163">
        <f>HYPERLINK("Объекты недвижимости, не соответствующие градостроительным нормам_00-022_Август/d2ef1cb2-dcc3-41e4-a43b-1ddeb65b86b6.jpg","open")</f>
        <v/>
      </c>
      <c r="C163" t="inlineStr">
        <is>
          <t>8cde1fd0-eca1-4510-86ab-3c743b65fdfc</t>
        </is>
      </c>
      <c r="D163" t="n">
        <v>55.72421</v>
      </c>
      <c r="E163" t="n">
        <v>37.719</v>
      </c>
      <c r="F163" t="inlineStr"/>
      <c r="G163" t="inlineStr"/>
      <c r="H163" t="inlineStr"/>
    </row>
    <row r="164">
      <c r="A164" t="inlineStr">
        <is>
          <t>7690810b-6bd6-44c0-b277-c759aa01d2df.jpg</t>
        </is>
      </c>
      <c r="B164">
        <f>HYPERLINK("Объекты недвижимости, не соответствующие градостроительным нормам_00-022_Август/7690810b-6bd6-44c0-b277-c759aa01d2df.jpg","open")</f>
        <v/>
      </c>
      <c r="C164" t="inlineStr">
        <is>
          <t>2ba4f567-3981-4fd7-ac4a-45e8b3d68429</t>
        </is>
      </c>
      <c r="D164" t="n">
        <v>55.89829</v>
      </c>
      <c r="E164" t="n">
        <v>37.78686</v>
      </c>
      <c r="F164" t="inlineStr"/>
      <c r="G164" t="inlineStr"/>
      <c r="H164" t="inlineStr"/>
    </row>
    <row r="165">
      <c r="A165" t="inlineStr">
        <is>
          <t>c13d490a-f0f4-4e04-a27c-a88a906cadd4.jpg</t>
        </is>
      </c>
      <c r="B165">
        <f>HYPERLINK("Объекты недвижимости, не соответствующие градостроительным нормам_00-022_Август/c13d490a-f0f4-4e04-a27c-a88a906cadd4.jpg","open")</f>
        <v/>
      </c>
      <c r="C165" t="inlineStr">
        <is>
          <t>2ba4f567-3981-4fd7-ac4a-45e8b3d68429</t>
        </is>
      </c>
      <c r="D165" t="n">
        <v>55.89829</v>
      </c>
      <c r="E165" t="n">
        <v>37.78686</v>
      </c>
      <c r="F165" t="inlineStr"/>
      <c r="G165" t="inlineStr"/>
      <c r="H165" t="inlineStr"/>
    </row>
    <row r="166">
      <c r="A166" t="inlineStr">
        <is>
          <t>4972cc09-23d5-4a76-9c23-20297611a3d9.jpg</t>
        </is>
      </c>
      <c r="B166">
        <f>HYPERLINK("Объекты недвижимости, не соответствующие градостроительным нормам_00-022_Август/4972cc09-23d5-4a76-9c23-20297611a3d9.jpg","open")</f>
        <v/>
      </c>
      <c r="C166" t="inlineStr">
        <is>
          <t>2ba4f567-3981-4fd7-ac4a-45e8b3d68429</t>
        </is>
      </c>
      <c r="D166" t="n">
        <v>55.89829</v>
      </c>
      <c r="E166" t="n">
        <v>37.78686</v>
      </c>
      <c r="F166" t="inlineStr"/>
      <c r="G166" t="inlineStr"/>
      <c r="H166" t="inlineStr"/>
    </row>
    <row r="167">
      <c r="A167" t="inlineStr">
        <is>
          <t>9837c542-6d81-4a3f-b5ab-5589a0a2b197.jpg</t>
        </is>
      </c>
      <c r="B167">
        <f>HYPERLINK("Объекты недвижимости, не соответствующие градостроительным нормам_00-022_Август/9837c542-6d81-4a3f-b5ab-5589a0a2b197.jpg","open")</f>
        <v/>
      </c>
      <c r="C167" t="inlineStr">
        <is>
          <t>2ba4f567-3981-4fd7-ac4a-45e8b3d68429</t>
        </is>
      </c>
      <c r="D167" t="n">
        <v>55.89829</v>
      </c>
      <c r="E167" t="n">
        <v>37.78686</v>
      </c>
      <c r="F167" t="inlineStr"/>
      <c r="G167" t="inlineStr"/>
      <c r="H167" t="inlineStr"/>
    </row>
    <row r="168">
      <c r="A168" t="inlineStr">
        <is>
          <t>d4b18b15-5686-4679-a689-25b8f3408604.jpg</t>
        </is>
      </c>
      <c r="B168">
        <f>HYPERLINK("Объекты недвижимости, не соответствующие градостроительным нормам_00-022_Август/d4b18b15-5686-4679-a689-25b8f3408604.jpg","open")</f>
        <v/>
      </c>
      <c r="C168" t="inlineStr">
        <is>
          <t>b0b7ea82-53be-40d0-b992-e2fd18611d5c</t>
        </is>
      </c>
      <c r="D168" t="n">
        <v>55.70647</v>
      </c>
      <c r="E168" t="n">
        <v>37.75216</v>
      </c>
      <c r="F168" t="inlineStr"/>
      <c r="G168" t="inlineStr"/>
      <c r="H168" t="inlineStr"/>
    </row>
    <row r="169">
      <c r="A169" t="inlineStr">
        <is>
          <t>50f5df7a-f527-4b4c-a258-7e26fe0bfdec.jpg</t>
        </is>
      </c>
      <c r="B169">
        <f>HYPERLINK("Объекты недвижимости, не соответствующие градостроительным нормам_00-022_Август/50f5df7a-f527-4b4c-a258-7e26fe0bfdec.jpg","open")</f>
        <v/>
      </c>
      <c r="C169" t="inlineStr">
        <is>
          <t>ed2bf0f1-3a66-4913-896e-4420a9796c0b</t>
        </is>
      </c>
      <c r="D169" t="n">
        <v>55.74588</v>
      </c>
      <c r="E169" t="n">
        <v>37.71428</v>
      </c>
      <c r="F169" t="inlineStr"/>
      <c r="G169" t="inlineStr"/>
      <c r="H169" t="inlineStr"/>
    </row>
    <row r="170">
      <c r="A170" t="inlineStr">
        <is>
          <t>8f87c5cb-b384-4b13-a28c-a428db2a2079.jpg</t>
        </is>
      </c>
      <c r="B170">
        <f>HYPERLINK("Объекты недвижимости, не соответствующие градостроительным нормам_00-022_Август/8f87c5cb-b384-4b13-a28c-a428db2a2079.jpg","open")</f>
        <v/>
      </c>
      <c r="C170" t="inlineStr">
        <is>
          <t>2ba4f567-3981-4fd7-ac4a-45e8b3d68429</t>
        </is>
      </c>
      <c r="D170" t="n">
        <v>55.89829</v>
      </c>
      <c r="E170" t="n">
        <v>37.78686</v>
      </c>
      <c r="F170" t="inlineStr"/>
      <c r="G170" t="inlineStr"/>
      <c r="H170" t="inlineStr"/>
    </row>
    <row r="171">
      <c r="A171" t="inlineStr">
        <is>
          <t>a8586618-84ec-4300-aca8-1cb40e174eb2.jpg</t>
        </is>
      </c>
      <c r="B171">
        <f>HYPERLINK("Объекты недвижимости, не соответствующие градостроительным нормам_00-022_Август/a8586618-84ec-4300-aca8-1cb40e174eb2.jpg","open")</f>
        <v/>
      </c>
      <c r="C171" t="inlineStr">
        <is>
          <t>8cde1fd0-eca1-4510-86ab-3c743b65fdfc</t>
        </is>
      </c>
      <c r="D171" t="n">
        <v>55.72386</v>
      </c>
      <c r="E171" t="n">
        <v>37.71725</v>
      </c>
      <c r="F171" t="inlineStr"/>
      <c r="G171" t="inlineStr"/>
      <c r="H171" t="inlineStr"/>
    </row>
    <row r="172">
      <c r="A172" t="inlineStr">
        <is>
          <t>cb866186-c61e-4bb6-b17f-0a23799b20e7.jpg</t>
        </is>
      </c>
      <c r="B172">
        <f>HYPERLINK("Объекты недвижимости, не соответствующие градостроительным нормам_00-022_Август/cb866186-c61e-4bb6-b17f-0a23799b20e7.jpg","open")</f>
        <v/>
      </c>
      <c r="C172" t="inlineStr">
        <is>
          <t>8cde1fd0-eca1-4510-86ab-3c743b65fdfc</t>
        </is>
      </c>
      <c r="D172" t="n">
        <v>55.72359</v>
      </c>
      <c r="E172" t="n">
        <v>37.71638</v>
      </c>
      <c r="F172" t="inlineStr"/>
      <c r="G172" t="inlineStr"/>
      <c r="H172" t="inlineStr"/>
    </row>
    <row r="173">
      <c r="A173" t="inlineStr">
        <is>
          <t>573e1f9c-6660-43f9-bc09-f6309e62d691.jpg</t>
        </is>
      </c>
      <c r="B173">
        <f>HYPERLINK("Объекты недвижимости, не соответствующие градостроительным нормам_00-022_Август/573e1f9c-6660-43f9-bc09-f6309e62d691.jpg","open")</f>
        <v/>
      </c>
      <c r="C173" t="inlineStr">
        <is>
          <t>9c930d0e-e445-452d-a046-325646b21ab7</t>
        </is>
      </c>
      <c r="D173" t="n">
        <v>55.88178</v>
      </c>
      <c r="E173" t="n">
        <v>37.65687</v>
      </c>
      <c r="F173" t="inlineStr"/>
      <c r="G173" t="inlineStr"/>
      <c r="H173" t="inlineStr"/>
    </row>
    <row r="174">
      <c r="A174" t="inlineStr">
        <is>
          <t>53cca582-4ec1-4ef3-a9a1-afafb2eebc29.jpg</t>
        </is>
      </c>
      <c r="B174">
        <f>HYPERLINK("Объекты недвижимости, не соответствующие градостроительным нормам_00-022_Август/53cca582-4ec1-4ef3-a9a1-afafb2eebc29.jpg","open")</f>
        <v/>
      </c>
      <c r="C174" t="inlineStr">
        <is>
          <t>8cde1fd0-eca1-4510-86ab-3c743b65fdfc</t>
        </is>
      </c>
      <c r="D174" t="n">
        <v>55.72351</v>
      </c>
      <c r="E174" t="n">
        <v>37.71613</v>
      </c>
      <c r="F174" t="inlineStr"/>
      <c r="G174" t="inlineStr"/>
      <c r="H174" t="inlineStr"/>
    </row>
    <row r="175">
      <c r="A175" t="inlineStr">
        <is>
          <t>08adcf6b-f3c5-44f0-bd49-c0689a0f3c58.jpg</t>
        </is>
      </c>
      <c r="B175">
        <f>HYPERLINK("Объекты недвижимости, не соответствующие градостроительным нормам_00-022_Август/08adcf6b-f3c5-44f0-bd49-c0689a0f3c58.jpg","open")</f>
        <v/>
      </c>
      <c r="C175" t="inlineStr">
        <is>
          <t>2ba4f567-3981-4fd7-ac4a-45e8b3d68429</t>
        </is>
      </c>
      <c r="D175" t="n">
        <v>55.89829</v>
      </c>
      <c r="E175" t="n">
        <v>37.78686</v>
      </c>
      <c r="F175" t="inlineStr"/>
      <c r="G175" t="inlineStr"/>
      <c r="H175" t="inlineStr"/>
    </row>
    <row r="176">
      <c r="A176" t="inlineStr">
        <is>
          <t>bc89ac68-4693-451d-925f-fa894ae7666e.jpg</t>
        </is>
      </c>
      <c r="B176">
        <f>HYPERLINK("Объекты недвижимости, не соответствующие градостроительным нормам_00-022_Август/bc89ac68-4693-451d-925f-fa894ae7666e.jpg","open")</f>
        <v/>
      </c>
      <c r="C176" t="inlineStr">
        <is>
          <t>2ba4f567-3981-4fd7-ac4a-45e8b3d68429</t>
        </is>
      </c>
      <c r="D176" t="n">
        <v>55.89829</v>
      </c>
      <c r="E176" t="n">
        <v>37.78686</v>
      </c>
      <c r="F176" t="inlineStr"/>
      <c r="G176" t="inlineStr"/>
      <c r="H176" t="inlineStr"/>
    </row>
    <row r="177">
      <c r="A177" t="inlineStr">
        <is>
          <t>f43f33ba-cc71-47bd-b74b-275b241380bd.jpg</t>
        </is>
      </c>
      <c r="B177">
        <f>HYPERLINK("Объекты недвижимости, не соответствующие градостроительным нормам_00-022_Август/f43f33ba-cc71-47bd-b74b-275b241380bd.jpg","open")</f>
        <v/>
      </c>
      <c r="C177" t="inlineStr">
        <is>
          <t>8b2675e2-7f40-47a9-a462-7c9feecd299c</t>
        </is>
      </c>
      <c r="D177" t="n">
        <v>55.98162</v>
      </c>
      <c r="E177" t="n">
        <v>37.40711</v>
      </c>
      <c r="F177" t="inlineStr"/>
      <c r="G177" t="inlineStr"/>
      <c r="H177" t="inlineStr"/>
    </row>
    <row r="178">
      <c r="A178" t="inlineStr">
        <is>
          <t>9f33e2bc-72a6-4c2f-9920-1908656ae6c2.jpg</t>
        </is>
      </c>
      <c r="B178">
        <f>HYPERLINK("Объекты недвижимости, не соответствующие градостроительным нормам_00-022_Август/9f33e2bc-72a6-4c2f-9920-1908656ae6c2.jpg","open")</f>
        <v/>
      </c>
      <c r="C178" t="inlineStr">
        <is>
          <t>55da50d9-6d31-4c29-a85b-6a228578c6de</t>
        </is>
      </c>
      <c r="D178" t="n">
        <v>55.98162</v>
      </c>
      <c r="E178" t="n">
        <v>37.40711</v>
      </c>
      <c r="F178" t="inlineStr"/>
      <c r="G178" t="inlineStr"/>
      <c r="H178" t="inlineStr"/>
    </row>
    <row r="179">
      <c r="A179" t="inlineStr">
        <is>
          <t>d3b745e5-12a8-4c54-8b6c-51fa2d0e4445.jpg</t>
        </is>
      </c>
      <c r="B179">
        <f>HYPERLINK("Объекты недвижимости, не соответствующие градостроительным нормам_00-022_Август/d3b745e5-12a8-4c54-8b6c-51fa2d0e4445.jpg","open")</f>
        <v/>
      </c>
      <c r="C179" t="inlineStr">
        <is>
          <t>cbf95b01-f708-45a3-9ec0-3603469b538e</t>
        </is>
      </c>
      <c r="D179" t="n">
        <v>55.97218</v>
      </c>
      <c r="E179" t="n">
        <v>37.44981</v>
      </c>
      <c r="F179" t="inlineStr"/>
      <c r="G179" t="inlineStr"/>
      <c r="H179" t="inlineStr"/>
    </row>
    <row r="180">
      <c r="A180" t="inlineStr">
        <is>
          <t>a78b135a-8109-4d7d-a882-efa845882868.jpg</t>
        </is>
      </c>
      <c r="B180">
        <f>HYPERLINK("Объекты недвижимости, не соответствующие градостроительным нормам_00-022_Август/a78b135a-8109-4d7d-a882-efa845882868.jpg","open")</f>
        <v/>
      </c>
      <c r="C180" t="inlineStr">
        <is>
          <t>8b2675e2-7f40-47a9-a462-7c9feecd299c</t>
        </is>
      </c>
      <c r="D180" t="n">
        <v>55.98162</v>
      </c>
      <c r="E180" t="n">
        <v>37.40711</v>
      </c>
      <c r="F180" t="inlineStr"/>
      <c r="G180" t="inlineStr"/>
      <c r="H180" t="inlineStr"/>
    </row>
    <row r="181">
      <c r="A181" t="inlineStr">
        <is>
          <t>4f252484-1e32-4c07-a3b9-b0eff54a77d1.jpg</t>
        </is>
      </c>
      <c r="B181">
        <f>HYPERLINK("Объекты недвижимости, не соответствующие градостроительным нормам_00-022_Август/4f252484-1e32-4c07-a3b9-b0eff54a77d1.jpg","open")</f>
        <v/>
      </c>
      <c r="C181" t="inlineStr">
        <is>
          <t>1c951e11-4940-43c6-a447-394097e5609a</t>
        </is>
      </c>
      <c r="D181" t="n">
        <v>55.72353</v>
      </c>
      <c r="E181" t="n">
        <v>37.7161</v>
      </c>
      <c r="F181" t="inlineStr"/>
      <c r="G181" t="inlineStr"/>
      <c r="H181" t="inlineStr"/>
    </row>
    <row r="182">
      <c r="A182" t="inlineStr">
        <is>
          <t>a3525556-c168-4c6f-b32a-55d2eb77dfcd.jpg</t>
        </is>
      </c>
      <c r="B182">
        <f>HYPERLINK("Объекты недвижимости, не соответствующие градостроительным нормам_00-022_Август/a3525556-c168-4c6f-b32a-55d2eb77dfcd.jpg","open")</f>
        <v/>
      </c>
      <c r="C182" t="inlineStr">
        <is>
          <t>8cde1fd0-eca1-4510-86ab-3c743b65fdfc</t>
        </is>
      </c>
      <c r="D182" t="n">
        <v>55.7235</v>
      </c>
      <c r="E182" t="n">
        <v>37.71602</v>
      </c>
      <c r="F182" t="inlineStr"/>
      <c r="G182" t="inlineStr"/>
      <c r="H182" t="inlineStr"/>
    </row>
    <row r="183">
      <c r="A183" t="inlineStr">
        <is>
          <t>e45a53d4-c5eb-4a0b-9763-32b768855cbe.jpg</t>
        </is>
      </c>
      <c r="B183">
        <f>HYPERLINK("Объекты недвижимости, не соответствующие градостроительным нормам_00-022_Август/e45a53d4-c5eb-4a0b-9763-32b768855cbe.jpg","open")</f>
        <v/>
      </c>
      <c r="C183" t="inlineStr">
        <is>
          <t>ed2bf0f1-3a66-4913-896e-4420a9796c0b</t>
        </is>
      </c>
      <c r="D183" t="n">
        <v>55.74588</v>
      </c>
      <c r="E183" t="n">
        <v>37.71428</v>
      </c>
      <c r="F183" t="inlineStr"/>
      <c r="G183" t="inlineStr"/>
      <c r="H183" t="inlineStr"/>
    </row>
    <row r="184">
      <c r="A184" t="inlineStr">
        <is>
          <t>3cd0080f-2b40-4cc8-a160-e640076f3991.jpg</t>
        </is>
      </c>
      <c r="B184">
        <f>HYPERLINK("Объекты недвижимости, не соответствующие градостроительным нормам_00-022_Август/3cd0080f-2b40-4cc8-a160-e640076f3991.jpg","open")</f>
        <v/>
      </c>
      <c r="C184" t="inlineStr">
        <is>
          <t>ed2bf0f1-3a66-4913-896e-4420a9796c0b</t>
        </is>
      </c>
      <c r="D184" t="n">
        <v>55.74588</v>
      </c>
      <c r="E184" t="n">
        <v>37.71428</v>
      </c>
      <c r="F184" t="inlineStr"/>
      <c r="G184" t="inlineStr"/>
      <c r="H184" t="inlineStr"/>
    </row>
    <row r="185">
      <c r="A185" t="inlineStr">
        <is>
          <t>74f8f06e-685a-4bfd-9828-df2ff02ae45e.jpg</t>
        </is>
      </c>
      <c r="B185">
        <f>HYPERLINK("Объекты недвижимости, не соответствующие градостроительным нормам_00-022_Август/74f8f06e-685a-4bfd-9828-df2ff02ae45e.jpg","open")</f>
        <v/>
      </c>
      <c r="C185" t="inlineStr">
        <is>
          <t>ed2bf0f1-3a66-4913-896e-4420a9796c0b</t>
        </is>
      </c>
      <c r="D185" t="n">
        <v>55.74588</v>
      </c>
      <c r="E185" t="n">
        <v>37.71428</v>
      </c>
      <c r="F185" t="inlineStr"/>
      <c r="G185" t="inlineStr"/>
      <c r="H185" t="inlineStr"/>
    </row>
    <row r="186">
      <c r="A186" t="inlineStr">
        <is>
          <t>47e2a7e1-a48c-4962-ac03-017a46c5d419.jpg</t>
        </is>
      </c>
      <c r="B186">
        <f>HYPERLINK("Объекты недвижимости, не соответствующие градостроительным нормам_00-022_Август/47e2a7e1-a48c-4962-ac03-017a46c5d419.jpg","open")</f>
        <v/>
      </c>
      <c r="C186" t="inlineStr">
        <is>
          <t>2ba4f567-3981-4fd7-ac4a-45e8b3d68429</t>
        </is>
      </c>
      <c r="D186" t="n">
        <v>55.89829</v>
      </c>
      <c r="E186" t="n">
        <v>37.78686</v>
      </c>
      <c r="F186" t="inlineStr"/>
      <c r="G186" t="inlineStr"/>
      <c r="H186" t="inlineStr"/>
    </row>
    <row r="187">
      <c r="A187" t="inlineStr">
        <is>
          <t>47dc8215-604b-4084-b7a3-a70397dedf4e.jpg</t>
        </is>
      </c>
      <c r="B187">
        <f>HYPERLINK("Объекты недвижимости, не соответствующие градостроительным нормам_00-022_Август/47dc8215-604b-4084-b7a3-a70397dedf4e.jpg","open")</f>
        <v/>
      </c>
      <c r="C187" t="inlineStr">
        <is>
          <t>ed2bf0f1-3a66-4913-896e-4420a9796c0b</t>
        </is>
      </c>
      <c r="D187" t="n">
        <v>55.74588</v>
      </c>
      <c r="E187" t="n">
        <v>37.71428</v>
      </c>
      <c r="F187" t="inlineStr"/>
      <c r="G187" t="inlineStr"/>
      <c r="H187" t="inlineStr"/>
    </row>
    <row r="188">
      <c r="A188" t="inlineStr">
        <is>
          <t>724353b9-cc2c-4b79-92fd-e0283efe0215.jpg</t>
        </is>
      </c>
      <c r="B188">
        <f>HYPERLINK("Объекты недвижимости, не соответствующие градостроительным нормам_00-022_Август/724353b9-cc2c-4b79-92fd-e0283efe0215.jpg","open")</f>
        <v/>
      </c>
      <c r="C188" t="inlineStr">
        <is>
          <t>2ba4f567-3981-4fd7-ac4a-45e8b3d68429</t>
        </is>
      </c>
      <c r="D188" t="n">
        <v>55.89829</v>
      </c>
      <c r="E188" t="n">
        <v>37.78686</v>
      </c>
      <c r="F188" t="inlineStr"/>
      <c r="G188" t="inlineStr"/>
      <c r="H188" t="inlineStr"/>
    </row>
    <row r="189">
      <c r="A189" t="inlineStr">
        <is>
          <t>12e1d2ef-0c15-46d7-9850-4196750de6e6.jpg</t>
        </is>
      </c>
      <c r="B189">
        <f>HYPERLINK("Объекты недвижимости, не соответствующие градостроительным нормам_00-022_Август/12e1d2ef-0c15-46d7-9850-4196750de6e6.jpg","open")</f>
        <v/>
      </c>
      <c r="C189" t="inlineStr">
        <is>
          <t>cbf95b01-f708-45a3-9ec0-3603469b538e</t>
        </is>
      </c>
      <c r="D189" t="n">
        <v>55.97218</v>
      </c>
      <c r="E189" t="n">
        <v>37.44981</v>
      </c>
      <c r="F189" t="inlineStr"/>
      <c r="G189" t="inlineStr"/>
      <c r="H189" t="inlineStr"/>
    </row>
    <row r="190">
      <c r="A190" t="inlineStr">
        <is>
          <t>846bd102-c8b1-4f79-82cc-8542a7b55744.jpg</t>
        </is>
      </c>
      <c r="B190">
        <f>HYPERLINK("Объекты недвижимости, не соответствующие градостроительным нормам_00-022_Август/846bd102-c8b1-4f79-82cc-8542a7b55744.jpg","open")</f>
        <v/>
      </c>
      <c r="C190" t="inlineStr">
        <is>
          <t>a1a9db89-3f74-42ef-8fad-ad69705102cd</t>
        </is>
      </c>
      <c r="D190" t="n">
        <v>55.97218</v>
      </c>
      <c r="E190" t="n">
        <v>37.44981</v>
      </c>
      <c r="F190" t="inlineStr"/>
      <c r="G190" t="inlineStr"/>
      <c r="H190" t="inlineStr"/>
    </row>
    <row r="191">
      <c r="A191" t="inlineStr">
        <is>
          <t>7e26bc9e-5f37-4785-afa9-4ad55decce00.jpg</t>
        </is>
      </c>
      <c r="B191">
        <f>HYPERLINK("Объекты недвижимости, не соответствующие градостроительным нормам_00-022_Август/7e26bc9e-5f37-4785-afa9-4ad55decce00.jpg","open")</f>
        <v/>
      </c>
      <c r="C191" t="inlineStr">
        <is>
          <t>cbf95b01-f708-45a3-9ec0-3603469b538e</t>
        </is>
      </c>
      <c r="D191" t="n">
        <v>55.97218</v>
      </c>
      <c r="E191" t="n">
        <v>37.44981</v>
      </c>
      <c r="F191" t="inlineStr"/>
      <c r="G191" t="inlineStr"/>
      <c r="H191" t="inlineStr"/>
    </row>
    <row r="192">
      <c r="A192" t="inlineStr">
        <is>
          <t>2b19a007-84ac-491c-a258-d058e8ff4906.jpg</t>
        </is>
      </c>
      <c r="B192">
        <f>HYPERLINK("Объекты недвижимости, не соответствующие градостроительным нормам_00-022_Август/2b19a007-84ac-491c-a258-d058e8ff4906.jpg","open")</f>
        <v/>
      </c>
      <c r="C192" t="inlineStr">
        <is>
          <t>1c951e11-4940-43c6-a447-394097e5609a</t>
        </is>
      </c>
      <c r="D192" t="n">
        <v>55.72348</v>
      </c>
      <c r="E192" t="n">
        <v>37.71505</v>
      </c>
      <c r="F192" t="inlineStr"/>
      <c r="G192" t="inlineStr"/>
      <c r="H192" t="inlineStr"/>
    </row>
    <row r="193">
      <c r="A193" t="inlineStr">
        <is>
          <t>add50888-41f1-469a-9d9d-95302c95a6fc.jpg</t>
        </is>
      </c>
      <c r="B193">
        <f>HYPERLINK("Объекты недвижимости, не соответствующие градостроительным нормам_00-022_Август/add50888-41f1-469a-9d9d-95302c95a6fc.jpg","open")</f>
        <v/>
      </c>
      <c r="C193" t="inlineStr">
        <is>
          <t>8cde1fd0-eca1-4510-86ab-3c743b65fdfc</t>
        </is>
      </c>
      <c r="D193" t="n">
        <v>55.72358</v>
      </c>
      <c r="E193" t="n">
        <v>37.7149</v>
      </c>
      <c r="F193" t="inlineStr"/>
      <c r="G193" t="inlineStr"/>
      <c r="H193" t="inlineStr"/>
    </row>
    <row r="194">
      <c r="A194" t="inlineStr">
        <is>
          <t>15b2f403-91d6-4d8b-90f1-c5db7fa99774.jpg</t>
        </is>
      </c>
      <c r="B194">
        <f>HYPERLINK("Объекты недвижимости, не соответствующие градостроительным нормам_00-022_Август/15b2f403-91d6-4d8b-90f1-c5db7fa99774.jpg","open")</f>
        <v/>
      </c>
      <c r="C194" t="inlineStr">
        <is>
          <t>2ba4f567-3981-4fd7-ac4a-45e8b3d68429</t>
        </is>
      </c>
      <c r="D194" t="n">
        <v>55.89829</v>
      </c>
      <c r="E194" t="n">
        <v>37.78686</v>
      </c>
      <c r="F194" t="inlineStr"/>
      <c r="G194" t="inlineStr"/>
      <c r="H194" t="inlineStr"/>
    </row>
    <row r="195">
      <c r="A195" t="inlineStr">
        <is>
          <t>ce38ed3f-185d-453a-9226-788fb86fe9d2.jpg</t>
        </is>
      </c>
      <c r="B195">
        <f>HYPERLINK("Объекты недвижимости, не соответствующие градостроительным нормам_00-022_Август/ce38ed3f-185d-453a-9226-788fb86fe9d2.jpg","open")</f>
        <v/>
      </c>
      <c r="C195" t="inlineStr">
        <is>
          <t>a1a9db89-3f74-42ef-8fad-ad69705102cd</t>
        </is>
      </c>
      <c r="D195" t="n">
        <v>55.97218</v>
      </c>
      <c r="E195" t="n">
        <v>37.44981</v>
      </c>
      <c r="F195" t="inlineStr"/>
      <c r="G195" t="inlineStr"/>
      <c r="H195" t="inlineStr"/>
    </row>
    <row r="196">
      <c r="A196" t="inlineStr">
        <is>
          <t>7b3b6b8d-1192-4ac2-8c6d-5f60ed4e80a8.jpg</t>
        </is>
      </c>
      <c r="B196">
        <f>HYPERLINK("Объекты недвижимости, не соответствующие градостроительным нормам_00-022_Август/7b3b6b8d-1192-4ac2-8c6d-5f60ed4e80a8.jpg","open")</f>
        <v/>
      </c>
      <c r="C196" t="inlineStr">
        <is>
          <t>cbf95b01-f708-45a3-9ec0-3603469b538e</t>
        </is>
      </c>
      <c r="D196" t="n">
        <v>55.97218</v>
      </c>
      <c r="E196" t="n">
        <v>37.44981</v>
      </c>
      <c r="F196" t="inlineStr"/>
      <c r="G196" t="inlineStr"/>
      <c r="H196" t="inlineStr"/>
    </row>
    <row r="197">
      <c r="A197" t="inlineStr">
        <is>
          <t>5eacb59a-9a7b-413f-89c0-b7081cacbaa1.jpg</t>
        </is>
      </c>
      <c r="B197">
        <f>HYPERLINK("Объекты недвижимости, не соответствующие градостроительным нормам_00-022_Август/5eacb59a-9a7b-413f-89c0-b7081cacbaa1.jpg","open")</f>
        <v/>
      </c>
      <c r="C197" t="inlineStr">
        <is>
          <t>a1a9db89-3f74-42ef-8fad-ad69705102cd</t>
        </is>
      </c>
      <c r="D197" t="n">
        <v>55.97218</v>
      </c>
      <c r="E197" t="n">
        <v>37.44981</v>
      </c>
      <c r="F197" t="inlineStr"/>
      <c r="G197" t="inlineStr"/>
      <c r="H197" t="inlineStr"/>
    </row>
    <row r="198">
      <c r="A198" t="inlineStr">
        <is>
          <t>21353af4-183c-4fc1-93c0-21acf01fad99.jpg</t>
        </is>
      </c>
      <c r="B198">
        <f>HYPERLINK("Объекты недвижимости, не соответствующие градостроительным нормам_00-022_Август/21353af4-183c-4fc1-93c0-21acf01fad99.jpg","open")</f>
        <v/>
      </c>
      <c r="C198" t="inlineStr">
        <is>
          <t>a1a9db89-3f74-42ef-8fad-ad69705102cd</t>
        </is>
      </c>
      <c r="D198" t="n">
        <v>55.97218</v>
      </c>
      <c r="E198" t="n">
        <v>37.44981</v>
      </c>
      <c r="F198" t="inlineStr"/>
      <c r="G198" t="inlineStr"/>
      <c r="H198" t="inlineStr"/>
    </row>
    <row r="199">
      <c r="A199" t="inlineStr">
        <is>
          <t>62c58522-6677-40bb-98f9-51da986838a8.jpg</t>
        </is>
      </c>
      <c r="B199">
        <f>HYPERLINK("Объекты недвижимости, не соответствующие градостроительным нормам_00-022_Август/62c58522-6677-40bb-98f9-51da986838a8.jpg","open")</f>
        <v/>
      </c>
      <c r="C199" t="inlineStr">
        <is>
          <t>cbf95b01-f708-45a3-9ec0-3603469b538e</t>
        </is>
      </c>
      <c r="D199" t="n">
        <v>55.97218</v>
      </c>
      <c r="E199" t="n">
        <v>37.44981</v>
      </c>
      <c r="F199" t="inlineStr"/>
      <c r="G199" t="inlineStr"/>
      <c r="H199" t="inlineStr"/>
    </row>
    <row r="200">
      <c r="A200" t="inlineStr">
        <is>
          <t>c4203e57-6b70-41bc-8bcb-ebce2efa4fa3.jpg</t>
        </is>
      </c>
      <c r="B200">
        <f>HYPERLINK("Объекты недвижимости, не соответствующие градостроительным нормам_00-022_Август/c4203e57-6b70-41bc-8bcb-ebce2efa4fa3.jpg","open")</f>
        <v/>
      </c>
      <c r="C200" t="inlineStr">
        <is>
          <t>2ba4f567-3981-4fd7-ac4a-45e8b3d68429</t>
        </is>
      </c>
      <c r="D200" t="n">
        <v>55.89829</v>
      </c>
      <c r="E200" t="n">
        <v>37.78686</v>
      </c>
      <c r="F200" t="inlineStr"/>
      <c r="G200" t="inlineStr"/>
      <c r="H200" t="inlineStr"/>
    </row>
    <row r="201">
      <c r="A201" t="inlineStr">
        <is>
          <t>5f672ae3-8770-4413-ab07-caa94c3af7d8.jpg</t>
        </is>
      </c>
      <c r="B201">
        <f>HYPERLINK("Объекты недвижимости, не соответствующие градостроительным нормам_00-022_Август/5f672ae3-8770-4413-ab07-caa94c3af7d8.jpg","open")</f>
        <v/>
      </c>
      <c r="C201" t="inlineStr">
        <is>
          <t>2ba4f567-3981-4fd7-ac4a-45e8b3d68429</t>
        </is>
      </c>
      <c r="D201" t="n">
        <v>55.89829</v>
      </c>
      <c r="E201" t="n">
        <v>37.78686</v>
      </c>
      <c r="F201" t="inlineStr"/>
      <c r="G201" t="inlineStr"/>
      <c r="H201" t="inlineStr"/>
    </row>
    <row r="202">
      <c r="A202" t="inlineStr">
        <is>
          <t>2ed6d0be-6c0b-403d-84bf-f8979f404b9c.jpg</t>
        </is>
      </c>
      <c r="B202">
        <f>HYPERLINK("Объекты недвижимости, не соответствующие градостроительным нормам_00-022_Август/2ed6d0be-6c0b-403d-84bf-f8979f404b9c.jpg","open")</f>
        <v/>
      </c>
      <c r="C202" t="inlineStr">
        <is>
          <t>2ba4f567-3981-4fd7-ac4a-45e8b3d68429</t>
        </is>
      </c>
      <c r="D202" t="n">
        <v>55.89829</v>
      </c>
      <c r="E202" t="n">
        <v>37.78686</v>
      </c>
      <c r="F202" t="inlineStr"/>
      <c r="G202" t="inlineStr"/>
      <c r="H202" t="inlineStr"/>
    </row>
    <row r="203">
      <c r="A203" t="inlineStr">
        <is>
          <t>e4133392-775d-4c97-ae67-b779848a9674.jpg</t>
        </is>
      </c>
      <c r="B203">
        <f>HYPERLINK("Объекты недвижимости, не соответствующие градостроительным нормам_00-022_Август/e4133392-775d-4c97-ae67-b779848a9674.jpg","open")</f>
        <v/>
      </c>
      <c r="C203" t="inlineStr">
        <is>
          <t>cbf95b01-f708-45a3-9ec0-3603469b538e</t>
        </is>
      </c>
      <c r="D203" t="n">
        <v>55.97218</v>
      </c>
      <c r="E203" t="n">
        <v>37.44981</v>
      </c>
      <c r="F203" t="inlineStr"/>
      <c r="G203" t="inlineStr"/>
      <c r="H203" t="inlineStr"/>
    </row>
    <row r="204">
      <c r="A204" t="inlineStr">
        <is>
          <t>3c661543-0f62-4216-a9fe-7266b4d308ad.jpg</t>
        </is>
      </c>
      <c r="B204">
        <f>HYPERLINK("Объекты недвижимости, не соответствующие градостроительным нормам_00-022_Август/3c661543-0f62-4216-a9fe-7266b4d308ad.jpg","open")</f>
        <v/>
      </c>
      <c r="C204" t="inlineStr">
        <is>
          <t>2ba4f567-3981-4fd7-ac4a-45e8b3d68429</t>
        </is>
      </c>
      <c r="D204" t="n">
        <v>55.89829</v>
      </c>
      <c r="E204" t="n">
        <v>37.78686</v>
      </c>
      <c r="F204" t="inlineStr"/>
      <c r="G204" t="inlineStr"/>
      <c r="H204" t="inlineStr"/>
    </row>
    <row r="205">
      <c r="A205" t="inlineStr">
        <is>
          <t>ef00d433-42ad-4955-b852-9293ba59ab82.jpg</t>
        </is>
      </c>
      <c r="B205">
        <f>HYPERLINK("Объекты недвижимости, не соответствующие градостроительным нормам_00-022_Август/ef00d433-42ad-4955-b852-9293ba59ab82.jpg","open")</f>
        <v/>
      </c>
      <c r="C205" t="inlineStr">
        <is>
          <t>cbf95b01-f708-45a3-9ec0-3603469b538e</t>
        </is>
      </c>
      <c r="D205" t="n">
        <v>55.97218</v>
      </c>
      <c r="E205" t="n">
        <v>37.44981</v>
      </c>
      <c r="F205" t="inlineStr"/>
      <c r="G205" t="inlineStr"/>
      <c r="H205" t="inlineStr"/>
    </row>
    <row r="206">
      <c r="A206" t="inlineStr">
        <is>
          <t>0e5f6728-1315-4050-89ed-ee074f63c293.jpg</t>
        </is>
      </c>
      <c r="B206">
        <f>HYPERLINK("Объекты недвижимости, не соответствующие градостроительным нормам_00-022_Август/0e5f6728-1315-4050-89ed-ee074f63c293.jpg","open")</f>
        <v/>
      </c>
      <c r="C206" t="inlineStr">
        <is>
          <t>cbf95b01-f708-45a3-9ec0-3603469b538e</t>
        </is>
      </c>
      <c r="D206" t="n">
        <v>55.97218</v>
      </c>
      <c r="E206" t="n">
        <v>37.44981</v>
      </c>
      <c r="F206" t="inlineStr"/>
      <c r="G206" t="inlineStr"/>
      <c r="H206" t="inlineStr"/>
    </row>
    <row r="207">
      <c r="A207" t="inlineStr">
        <is>
          <t>e6993fc9-56c9-451c-9de9-b0adfd6dd5ca.jpg</t>
        </is>
      </c>
      <c r="B207">
        <f>HYPERLINK("Объекты недвижимости, не соответствующие градостроительным нормам_00-022_Август/e6993fc9-56c9-451c-9de9-b0adfd6dd5ca.jpg","open")</f>
        <v/>
      </c>
      <c r="C207" t="inlineStr">
        <is>
          <t>1a55986c-2c3f-40c0-b3d1-014dce77832e</t>
        </is>
      </c>
      <c r="D207" t="n">
        <v>55.74588</v>
      </c>
      <c r="E207" t="n">
        <v>37.71428</v>
      </c>
      <c r="F207" t="inlineStr"/>
      <c r="G207" t="inlineStr"/>
      <c r="H207" t="inlineStr"/>
    </row>
    <row r="208">
      <c r="A208" t="inlineStr">
        <is>
          <t>7f90fba5-50fd-4daf-88a8-c55a24bb971f.jpg</t>
        </is>
      </c>
      <c r="B208">
        <f>HYPERLINK("Объекты недвижимости, не соответствующие градостроительным нормам_00-022_Август/7f90fba5-50fd-4daf-88a8-c55a24bb971f.jpg","open")</f>
        <v/>
      </c>
      <c r="C208" t="inlineStr">
        <is>
          <t>ed2bf0f1-3a66-4913-896e-4420a9796c0b</t>
        </is>
      </c>
      <c r="D208" t="n">
        <v>55.74588</v>
      </c>
      <c r="E208" t="n">
        <v>37.71428</v>
      </c>
      <c r="F208" t="inlineStr"/>
      <c r="G208" t="inlineStr"/>
      <c r="H208" t="inlineStr"/>
    </row>
    <row r="209">
      <c r="A209" t="inlineStr">
        <is>
          <t>f7319951-e859-43eb-8390-0e81db854750.jpg</t>
        </is>
      </c>
      <c r="B209">
        <f>HYPERLINK("Объекты недвижимости, не соответствующие градостроительным нормам_00-022_Август/f7319951-e859-43eb-8390-0e81db854750.jpg","open")</f>
        <v/>
      </c>
      <c r="C209" t="inlineStr">
        <is>
          <t>ed2bf0f1-3a66-4913-896e-4420a9796c0b</t>
        </is>
      </c>
      <c r="D209" t="n">
        <v>55.74588</v>
      </c>
      <c r="E209" t="n">
        <v>37.71428</v>
      </c>
      <c r="F209" t="inlineStr"/>
      <c r="G209" t="inlineStr"/>
      <c r="H209" t="inlineStr"/>
    </row>
    <row r="210">
      <c r="A210" t="inlineStr">
        <is>
          <t>c28e3cc9-a58a-480e-ba8d-1ac85701b068.jpg</t>
        </is>
      </c>
      <c r="B210">
        <f>HYPERLINK("Объекты недвижимости, не соответствующие градостроительным нормам_00-022_Август/c28e3cc9-a58a-480e-ba8d-1ac85701b068.jpg","open")</f>
        <v/>
      </c>
      <c r="C210" t="inlineStr">
        <is>
          <t>8cde1fd0-eca1-4510-86ab-3c743b65fdfc</t>
        </is>
      </c>
      <c r="D210" t="n">
        <v>55.73066</v>
      </c>
      <c r="E210" t="n">
        <v>37.70938</v>
      </c>
      <c r="F210" t="inlineStr"/>
      <c r="G210" t="inlineStr"/>
      <c r="H210" t="inlineStr"/>
    </row>
    <row r="211">
      <c r="A211" t="inlineStr">
        <is>
          <t>60f6f387-2709-4237-980a-33f95109e2db.jpg</t>
        </is>
      </c>
      <c r="B211">
        <f>HYPERLINK("Объекты недвижимости, не соответствующие градостроительным нормам_00-022_Август/60f6f387-2709-4237-980a-33f95109e2db.jpg","open")</f>
        <v/>
      </c>
      <c r="C211" t="inlineStr">
        <is>
          <t>8cde1fd0-eca1-4510-86ab-3c743b65fdfc</t>
        </is>
      </c>
      <c r="D211" t="n">
        <v>55.73136</v>
      </c>
      <c r="E211" t="n">
        <v>37.71036</v>
      </c>
      <c r="F211" t="inlineStr"/>
      <c r="G211" t="inlineStr"/>
      <c r="H211" t="inlineStr"/>
    </row>
    <row r="212">
      <c r="A212" t="inlineStr">
        <is>
          <t>ddf31728-d397-4d90-a07f-d342e730ed39.jpg</t>
        </is>
      </c>
      <c r="B212">
        <f>HYPERLINK("Объекты недвижимости, не соответствующие градостроительным нормам_00-022_Август/ddf31728-d397-4d90-a07f-d342e730ed39.jpg","open")</f>
        <v/>
      </c>
      <c r="C212" t="inlineStr">
        <is>
          <t>cbf95b01-f708-45a3-9ec0-3603469b538e</t>
        </is>
      </c>
      <c r="D212" t="n">
        <v>55.97218</v>
      </c>
      <c r="E212" t="n">
        <v>37.44981</v>
      </c>
      <c r="F212" t="inlineStr"/>
      <c r="G212" t="inlineStr"/>
      <c r="H212" t="inlineStr"/>
    </row>
    <row r="213">
      <c r="A213" t="inlineStr">
        <is>
          <t>ae424ef1-2586-4f49-9cce-cffce6c8d3ad.jpg</t>
        </is>
      </c>
      <c r="B213">
        <f>HYPERLINK("Объекты недвижимости, не соответствующие градостроительным нормам_00-022_Август/ae424ef1-2586-4f49-9cce-cffce6c8d3ad.jpg","open")</f>
        <v/>
      </c>
      <c r="C213" t="inlineStr">
        <is>
          <t>caa4772d-6278-4484-a046-ee25514bf521</t>
        </is>
      </c>
      <c r="D213" t="n">
        <v>55.85808</v>
      </c>
      <c r="E213" t="n">
        <v>37.6393</v>
      </c>
      <c r="F213" t="inlineStr"/>
      <c r="G213" t="inlineStr"/>
      <c r="H213" t="inlineStr"/>
    </row>
    <row r="214">
      <c r="A214" t="inlineStr">
        <is>
          <t>8a4d91b0-f294-4c93-b684-b37a7d59346b.jpg</t>
        </is>
      </c>
      <c r="B214">
        <f>HYPERLINK("Объекты недвижимости, не соответствующие градостроительным нормам_00-022_Август/8a4d91b0-f294-4c93-b684-b37a7d59346b.jpg","open")</f>
        <v/>
      </c>
      <c r="C214" t="inlineStr">
        <is>
          <t>ed2bf0f1-3a66-4913-896e-4420a9796c0b</t>
        </is>
      </c>
      <c r="D214" t="n">
        <v>55.74588</v>
      </c>
      <c r="E214" t="n">
        <v>37.71428</v>
      </c>
      <c r="F214" t="inlineStr"/>
      <c r="G214" t="inlineStr"/>
      <c r="H214" t="inlineStr"/>
    </row>
    <row r="215">
      <c r="A215" t="inlineStr">
        <is>
          <t>7def2b76-75be-4010-ab3c-efcf60edc53d.jpg</t>
        </is>
      </c>
      <c r="B215">
        <f>HYPERLINK("Объекты недвижимости, не соответствующие градостроительным нормам_00-022_Август/7def2b76-75be-4010-ab3c-efcf60edc53d.jpg","open")</f>
        <v/>
      </c>
      <c r="C215" t="inlineStr">
        <is>
          <t>48b533d5-d106-4175-ac9b-d5ce8d90cccf</t>
        </is>
      </c>
      <c r="D215" t="n">
        <v>55.80191</v>
      </c>
      <c r="E215" t="n">
        <v>37.71016</v>
      </c>
      <c r="F215" t="inlineStr"/>
      <c r="G215" t="inlineStr"/>
      <c r="H215" t="inlineStr"/>
    </row>
    <row r="216">
      <c r="A216" t="inlineStr">
        <is>
          <t>f72543df-43d3-4af1-8c82-5c77f4b4bcc6.jpg</t>
        </is>
      </c>
      <c r="B216">
        <f>HYPERLINK("Объекты недвижимости, не соответствующие градостроительным нормам_00-022_Август/f72543df-43d3-4af1-8c82-5c77f4b4bcc6.jpg","open")</f>
        <v/>
      </c>
      <c r="C216" t="inlineStr">
        <is>
          <t>1a55986c-2c3f-40c0-b3d1-014dce77832e</t>
        </is>
      </c>
      <c r="D216" t="n">
        <v>55.74588</v>
      </c>
      <c r="E216" t="n">
        <v>37.71428</v>
      </c>
      <c r="F216" t="inlineStr"/>
      <c r="G216" t="inlineStr"/>
      <c r="H216" t="inlineStr"/>
    </row>
    <row r="217">
      <c r="A217" t="inlineStr">
        <is>
          <t>30edcb93-fa9c-4205-8e72-e3c418ca2fe5.jpg</t>
        </is>
      </c>
      <c r="B217">
        <f>HYPERLINK("Объекты недвижимости, не соответствующие градостроительным нормам_00-022_Август/30edcb93-fa9c-4205-8e72-e3c418ca2fe5.jpg","open")</f>
        <v/>
      </c>
      <c r="C217" t="inlineStr">
        <is>
          <t>cbf95b01-f708-45a3-9ec0-3603469b538e</t>
        </is>
      </c>
      <c r="D217" t="n">
        <v>55.97218</v>
      </c>
      <c r="E217" t="n">
        <v>37.44981</v>
      </c>
      <c r="F217" t="inlineStr"/>
      <c r="G217" t="inlineStr"/>
      <c r="H217" t="inlineStr"/>
    </row>
    <row r="218">
      <c r="A218" t="inlineStr">
        <is>
          <t>6d634701-3d15-457b-96e4-532782c7e487.jpg</t>
        </is>
      </c>
      <c r="B218">
        <f>HYPERLINK("Объекты недвижимости, не соответствующие градостроительным нормам_00-022_Август/6d634701-3d15-457b-96e4-532782c7e487.jpg","open")</f>
        <v/>
      </c>
      <c r="C218" t="inlineStr">
        <is>
          <t>ed2bf0f1-3a66-4913-896e-4420a9796c0b</t>
        </is>
      </c>
      <c r="D218" t="n">
        <v>55.74588</v>
      </c>
      <c r="E218" t="n">
        <v>37.71428</v>
      </c>
      <c r="F218" t="inlineStr"/>
      <c r="G218" t="inlineStr"/>
      <c r="H218" t="inlineStr"/>
    </row>
    <row r="219">
      <c r="A219" t="inlineStr">
        <is>
          <t>43cfe13c-906b-4b33-9a5c-a048fa4a9b40.jpg</t>
        </is>
      </c>
      <c r="B219">
        <f>HYPERLINK("Объекты недвижимости, не соответствующие градостроительным нормам_00-022_Август/43cfe13c-906b-4b33-9a5c-a048fa4a9b40.jpg","open")</f>
        <v/>
      </c>
      <c r="C219" t="inlineStr">
        <is>
          <t>1a55986c-2c3f-40c0-b3d1-014dce77832e</t>
        </is>
      </c>
      <c r="D219" t="n">
        <v>55.74588</v>
      </c>
      <c r="E219" t="n">
        <v>37.71428</v>
      </c>
      <c r="F219" t="inlineStr"/>
      <c r="G219" t="inlineStr"/>
      <c r="H219" t="inlineStr"/>
    </row>
    <row r="220">
      <c r="A220" t="inlineStr">
        <is>
          <t>982b3cc9-9c2d-45e7-8457-ecdb443a7af6.jpg</t>
        </is>
      </c>
      <c r="B220">
        <f>HYPERLINK("Объекты недвижимости, не соответствующие градостроительным нормам_00-022_Август/982b3cc9-9c2d-45e7-8457-ecdb443a7af6.jpg","open")</f>
        <v/>
      </c>
      <c r="C220" t="inlineStr">
        <is>
          <t>1a55986c-2c3f-40c0-b3d1-014dce77832e</t>
        </is>
      </c>
      <c r="D220" t="n">
        <v>55.74588</v>
      </c>
      <c r="E220" t="n">
        <v>37.71428</v>
      </c>
      <c r="F220" t="inlineStr"/>
      <c r="G220" t="inlineStr"/>
      <c r="H220" t="inlineStr"/>
    </row>
    <row r="221">
      <c r="A221" t="inlineStr">
        <is>
          <t>e9ffecc6-4b78-417a-932c-1d3ae2a45a32.jpg</t>
        </is>
      </c>
      <c r="B221">
        <f>HYPERLINK("Объекты недвижимости, не соответствующие градостроительным нормам_00-022_Август/e9ffecc6-4b78-417a-932c-1d3ae2a45a32.jpg","open")</f>
        <v/>
      </c>
      <c r="C221" t="inlineStr">
        <is>
          <t>a1a9db89-3f74-42ef-8fad-ad69705102cd</t>
        </is>
      </c>
      <c r="D221" t="n">
        <v>55.97218</v>
      </c>
      <c r="E221" t="n">
        <v>37.44981</v>
      </c>
      <c r="F221" t="inlineStr"/>
      <c r="G221" t="inlineStr"/>
      <c r="H221" t="inlineStr"/>
    </row>
    <row r="222">
      <c r="A222" t="inlineStr">
        <is>
          <t>f4375153-271e-4cb9-abda-779b2244b263.jpg</t>
        </is>
      </c>
      <c r="B222">
        <f>HYPERLINK("Объекты недвижимости, не соответствующие градостроительным нормам_00-022_Август/f4375153-271e-4cb9-abda-779b2244b263.jpg","open")</f>
        <v/>
      </c>
      <c r="C222" t="inlineStr">
        <is>
          <t>cbf95b01-f708-45a3-9ec0-3603469b538e</t>
        </is>
      </c>
      <c r="D222" t="n">
        <v>55.97218</v>
      </c>
      <c r="E222" t="n">
        <v>37.44981</v>
      </c>
      <c r="F222" t="inlineStr"/>
      <c r="G222" t="inlineStr"/>
      <c r="H222" t="inlineStr"/>
    </row>
    <row r="223">
      <c r="A223" t="inlineStr">
        <is>
          <t>16fff6bd-064d-4e03-91cb-bdd0f96c3569.jpg</t>
        </is>
      </c>
      <c r="B223">
        <f>HYPERLINK("Объекты недвижимости, не соответствующие градостроительным нормам_00-022_Август/16fff6bd-064d-4e03-91cb-bdd0f96c3569.jpg","open")</f>
        <v/>
      </c>
      <c r="C223" t="inlineStr">
        <is>
          <t>cbf95b01-f708-45a3-9ec0-3603469b538e</t>
        </is>
      </c>
      <c r="D223" t="n">
        <v>55.97218</v>
      </c>
      <c r="E223" t="n">
        <v>37.44981</v>
      </c>
      <c r="F223" t="inlineStr"/>
      <c r="G223" t="inlineStr"/>
      <c r="H223" t="inlineStr"/>
    </row>
    <row r="224">
      <c r="A224" t="inlineStr">
        <is>
          <t>9858b2ac-2e33-4e00-a304-c975ec3b3fb7.jpg</t>
        </is>
      </c>
      <c r="B224">
        <f>HYPERLINK("Объекты недвижимости, не соответствующие градостроительным нормам_00-022_Август/9858b2ac-2e33-4e00-a304-c975ec3b3fb7.jpg","open")</f>
        <v/>
      </c>
      <c r="C224" t="inlineStr">
        <is>
          <t>ed2bf0f1-3a66-4913-896e-4420a9796c0b</t>
        </is>
      </c>
      <c r="D224" t="n">
        <v>55.74588</v>
      </c>
      <c r="E224" t="n">
        <v>37.71428</v>
      </c>
      <c r="F224" t="inlineStr"/>
      <c r="G224" t="inlineStr"/>
      <c r="H224" t="inlineStr"/>
    </row>
    <row r="225">
      <c r="A225" t="inlineStr">
        <is>
          <t>9c750a86-4e9f-44e3-a0db-f3388adc96d6.jpg</t>
        </is>
      </c>
      <c r="B225">
        <f>HYPERLINK("Объекты недвижимости, не соответствующие градостроительным нормам_00-022_Август/9c750a86-4e9f-44e3-a0db-f3388adc96d6.jpg","open")</f>
        <v/>
      </c>
      <c r="C225" t="inlineStr">
        <is>
          <t>cbf95b01-f708-45a3-9ec0-3603469b538e</t>
        </is>
      </c>
      <c r="D225" t="n">
        <v>55.97218</v>
      </c>
      <c r="E225" t="n">
        <v>37.44981</v>
      </c>
      <c r="F225" t="inlineStr"/>
      <c r="G225" t="inlineStr"/>
      <c r="H225" t="inlineStr"/>
    </row>
    <row r="226">
      <c r="A226" t="inlineStr">
        <is>
          <t>8f9f5882-7df9-44cb-8e7f-4d7d9ab225cb.jpg</t>
        </is>
      </c>
      <c r="B226">
        <f>HYPERLINK("Объекты недвижимости, не соответствующие градостроительным нормам_00-022_Август/8f9f5882-7df9-44cb-8e7f-4d7d9ab225cb.jpg","open")</f>
        <v/>
      </c>
      <c r="C226" t="inlineStr">
        <is>
          <t>cbf95b01-f708-45a3-9ec0-3603469b538e</t>
        </is>
      </c>
      <c r="D226" t="n">
        <v>55.97218</v>
      </c>
      <c r="E226" t="n">
        <v>37.44981</v>
      </c>
      <c r="F226" t="inlineStr"/>
      <c r="G226" t="inlineStr"/>
      <c r="H226" t="inlineStr"/>
    </row>
    <row r="227">
      <c r="A227" t="inlineStr">
        <is>
          <t>ffbabf3d-91ac-4400-992e-68653e021d3c.jpg</t>
        </is>
      </c>
      <c r="B227">
        <f>HYPERLINK("Объекты недвижимости, не соответствующие градостроительным нормам_00-022_Август/ffbabf3d-91ac-4400-992e-68653e021d3c.jpg","open")</f>
        <v/>
      </c>
      <c r="C227" t="inlineStr">
        <is>
          <t>cbf95b01-f708-45a3-9ec0-3603469b538e</t>
        </is>
      </c>
      <c r="D227" t="n">
        <v>55.97218</v>
      </c>
      <c r="E227" t="n">
        <v>37.44981</v>
      </c>
      <c r="F227" t="inlineStr"/>
      <c r="G227" t="inlineStr"/>
      <c r="H227" t="inlineStr"/>
    </row>
    <row r="228">
      <c r="A228" t="inlineStr">
        <is>
          <t>e8c7b656-ae2c-43a3-852c-96b43c13517b.jpg</t>
        </is>
      </c>
      <c r="B228">
        <f>HYPERLINK("Объекты недвижимости, не соответствующие градостроительным нормам_00-022_Август/e8c7b656-ae2c-43a3-852c-96b43c13517b.jpg","open")</f>
        <v/>
      </c>
      <c r="C228" t="inlineStr">
        <is>
          <t>cbf95b01-f708-45a3-9ec0-3603469b538e</t>
        </is>
      </c>
      <c r="D228" t="n">
        <v>55.97218</v>
      </c>
      <c r="E228" t="n">
        <v>37.44981</v>
      </c>
      <c r="F228" t="inlineStr"/>
      <c r="G228" t="inlineStr"/>
      <c r="H228" t="inlineStr"/>
    </row>
    <row r="229">
      <c r="A229" t="inlineStr">
        <is>
          <t>5a040af7-e734-4e5c-9ddb-b751ae093829.jpg</t>
        </is>
      </c>
      <c r="B229">
        <f>HYPERLINK("Объекты недвижимости, не соответствующие градостроительным нормам_00-022_Август/5a040af7-e734-4e5c-9ddb-b751ae093829.jpg","open")</f>
        <v/>
      </c>
      <c r="C229" t="inlineStr">
        <is>
          <t>1a55986c-2c3f-40c0-b3d1-014dce77832e</t>
        </is>
      </c>
      <c r="D229" t="n">
        <v>55.74588</v>
      </c>
      <c r="E229" t="n">
        <v>37.71428</v>
      </c>
      <c r="F229" t="inlineStr"/>
      <c r="G229" t="inlineStr"/>
      <c r="H229" t="inlineStr"/>
    </row>
    <row r="230">
      <c r="A230" t="inlineStr">
        <is>
          <t>8d78ca09-5927-496c-bfef-5ab652a80c90.jpg</t>
        </is>
      </c>
      <c r="B230">
        <f>HYPERLINK("Объекты недвижимости, не соответствующие градостроительным нормам_00-022_Август/8d78ca09-5927-496c-bfef-5ab652a80c90.jpg","open")</f>
        <v/>
      </c>
      <c r="C230" t="inlineStr">
        <is>
          <t>ed2bf0f1-3a66-4913-896e-4420a9796c0b</t>
        </is>
      </c>
      <c r="D230" t="n">
        <v>55.74588</v>
      </c>
      <c r="E230" t="n">
        <v>37.71428</v>
      </c>
      <c r="F230" t="inlineStr"/>
      <c r="G230" t="inlineStr"/>
      <c r="H230" t="inlineStr"/>
    </row>
    <row r="231">
      <c r="A231" t="inlineStr">
        <is>
          <t>05944143-4e01-4a35-b091-3a7daeed64ab.jpg</t>
        </is>
      </c>
      <c r="B231">
        <f>HYPERLINK("Объекты недвижимости, не соответствующие градостроительным нормам_00-022_Август/05944143-4e01-4a35-b091-3a7daeed64ab.jpg","open")</f>
        <v/>
      </c>
      <c r="C231" t="inlineStr">
        <is>
          <t>a1a9db89-3f74-42ef-8fad-ad69705102cd</t>
        </is>
      </c>
      <c r="D231" t="n">
        <v>55.97218</v>
      </c>
      <c r="E231" t="n">
        <v>37.44981</v>
      </c>
      <c r="F231" t="inlineStr"/>
      <c r="G231" t="inlineStr"/>
      <c r="H231" t="inlineStr"/>
    </row>
    <row r="232">
      <c r="A232" t="inlineStr">
        <is>
          <t>9cf62f9c-be81-4db5-8f87-4be796dc98dc.jpg</t>
        </is>
      </c>
      <c r="B232">
        <f>HYPERLINK("Объекты недвижимости, не соответствующие градостроительным нормам_00-022_Август/9cf62f9c-be81-4db5-8f87-4be796dc98dc.jpg","open")</f>
        <v/>
      </c>
      <c r="C232" t="inlineStr">
        <is>
          <t>cbf95b01-f708-45a3-9ec0-3603469b538e</t>
        </is>
      </c>
      <c r="D232" t="n">
        <v>55.97218</v>
      </c>
      <c r="E232" t="n">
        <v>37.44981</v>
      </c>
      <c r="F232" t="inlineStr"/>
      <c r="G232" t="inlineStr"/>
      <c r="H232" t="inlineStr"/>
    </row>
    <row r="233">
      <c r="A233" t="inlineStr">
        <is>
          <t>919f8d72-e74c-4da3-ae19-b70d18c1e644.jpg</t>
        </is>
      </c>
      <c r="B233">
        <f>HYPERLINK("Объекты недвижимости, не соответствующие градостроительным нормам_00-022_Август/919f8d72-e74c-4da3-ae19-b70d18c1e644.jpg","open")</f>
        <v/>
      </c>
      <c r="C233" t="inlineStr">
        <is>
          <t>50e4626c-a80e-42ab-b999-b5092c2c063f</t>
        </is>
      </c>
      <c r="D233" t="n">
        <v>55.72229</v>
      </c>
      <c r="E233" t="n">
        <v>37.44479</v>
      </c>
      <c r="F233" t="inlineStr"/>
      <c r="G233" t="inlineStr"/>
      <c r="H233" t="inlineStr"/>
    </row>
    <row r="234">
      <c r="A234" t="inlineStr">
        <is>
          <t>ebdb94da-ce03-4305-b47b-5fdda1e33e22.jpg</t>
        </is>
      </c>
      <c r="B234">
        <f>HYPERLINK("Объекты недвижимости, не соответствующие градостроительным нормам_00-022_Август/ebdb94da-ce03-4305-b47b-5fdda1e33e22.jpg","open")</f>
        <v/>
      </c>
      <c r="C234" t="inlineStr">
        <is>
          <t>ed2bf0f1-3a66-4913-896e-4420a9796c0b</t>
        </is>
      </c>
      <c r="D234" t="n">
        <v>55.74588</v>
      </c>
      <c r="E234" t="n">
        <v>37.71428</v>
      </c>
      <c r="F234" t="inlineStr"/>
      <c r="G234" t="inlineStr"/>
      <c r="H234" t="inlineStr"/>
    </row>
    <row r="235">
      <c r="A235" t="inlineStr">
        <is>
          <t>4107b305-e3bc-406c-8650-6bd205d03acf.jpg</t>
        </is>
      </c>
      <c r="B235">
        <f>HYPERLINK("Объекты недвижимости, не соответствующие градостроительным нормам_00-022_Август/4107b305-e3bc-406c-8650-6bd205d03acf.jpg","open")</f>
        <v/>
      </c>
      <c r="C235" t="inlineStr">
        <is>
          <t>ed2bf0f1-3a66-4913-896e-4420a9796c0b</t>
        </is>
      </c>
      <c r="D235" t="n">
        <v>55.74588</v>
      </c>
      <c r="E235" t="n">
        <v>37.71428</v>
      </c>
      <c r="F235" t="inlineStr"/>
      <c r="G235" t="inlineStr"/>
      <c r="H235" t="inlineStr"/>
    </row>
    <row r="236">
      <c r="A236" t="inlineStr">
        <is>
          <t>2e3c2b52-77d9-43a4-94c3-fa72b77e2c29.jpg</t>
        </is>
      </c>
      <c r="B236">
        <f>HYPERLINK("Объекты недвижимости, не соответствующие градостроительным нормам_00-022_Август/2e3c2b52-77d9-43a4-94c3-fa72b77e2c29.jpg","open")</f>
        <v/>
      </c>
      <c r="C236" t="inlineStr">
        <is>
          <t>ed2bf0f1-3a66-4913-896e-4420a9796c0b</t>
        </is>
      </c>
      <c r="D236" t="n">
        <v>55.74588</v>
      </c>
      <c r="E236" t="n">
        <v>37.71428</v>
      </c>
      <c r="F236" t="inlineStr"/>
      <c r="G236" t="inlineStr"/>
      <c r="H236" t="inlineStr"/>
    </row>
    <row r="237">
      <c r="A237" t="inlineStr">
        <is>
          <t>91240923-e62f-4e72-bf20-acdba17bd951.jpg</t>
        </is>
      </c>
      <c r="B237">
        <f>HYPERLINK("Объекты недвижимости, не соответствующие градостроительным нормам_00-022_Август/91240923-e62f-4e72-bf20-acdba17bd951.jpg","open")</f>
        <v/>
      </c>
      <c r="C237" t="inlineStr">
        <is>
          <t>1c951e11-4940-43c6-a447-394097e5609a</t>
        </is>
      </c>
      <c r="D237" t="n">
        <v>55.72832</v>
      </c>
      <c r="E237" t="n">
        <v>37.72212</v>
      </c>
      <c r="F237" t="inlineStr"/>
      <c r="G237" t="inlineStr"/>
      <c r="H237" t="inlineStr"/>
    </row>
    <row r="238">
      <c r="A238" t="inlineStr">
        <is>
          <t>977901ec-3ab8-48d0-8f68-2b5554ed3f47.jpg</t>
        </is>
      </c>
      <c r="B238">
        <f>HYPERLINK("Объекты недвижимости, не соответствующие градостроительным нормам_00-022_Август/977901ec-3ab8-48d0-8f68-2b5554ed3f47.jpg","open")</f>
        <v/>
      </c>
      <c r="C238" t="inlineStr">
        <is>
          <t>8cde1fd0-eca1-4510-86ab-3c743b65fdfc</t>
        </is>
      </c>
      <c r="D238" t="n">
        <v>55.7284</v>
      </c>
      <c r="E238" t="n">
        <v>37.72221</v>
      </c>
      <c r="F238" t="inlineStr"/>
      <c r="G238" t="inlineStr"/>
      <c r="H238" t="inlineStr"/>
    </row>
    <row r="239">
      <c r="A239" t="inlineStr">
        <is>
          <t>e68b4c8f-e5bf-42d7-ad4a-74afbae480d6.jpg</t>
        </is>
      </c>
      <c r="B239">
        <f>HYPERLINK("Объекты недвижимости, не соответствующие градостроительным нормам_00-022_Август/e68b4c8f-e5bf-42d7-ad4a-74afbae480d6.jpg","open")</f>
        <v/>
      </c>
      <c r="C239" t="inlineStr">
        <is>
          <t>cbf95b01-f708-45a3-9ec0-3603469b538e</t>
        </is>
      </c>
      <c r="D239" t="n">
        <v>55.97218</v>
      </c>
      <c r="E239" t="n">
        <v>37.44981</v>
      </c>
      <c r="F239" t="inlineStr"/>
      <c r="G239" t="inlineStr"/>
      <c r="H239" t="inlineStr"/>
    </row>
    <row r="240">
      <c r="A240" t="inlineStr">
        <is>
          <t>c8aa2575-1734-4edf-92d1-607ef784fc39.jpg</t>
        </is>
      </c>
      <c r="B240">
        <f>HYPERLINK("Объекты недвижимости, не соответствующие градостроительным нормам_00-022_Август/c8aa2575-1734-4edf-92d1-607ef784fc39.jpg","open")</f>
        <v/>
      </c>
      <c r="C240" t="inlineStr">
        <is>
          <t>50e4626c-a80e-42ab-b999-b5092c2c063f</t>
        </is>
      </c>
      <c r="D240" t="n">
        <v>55.72229</v>
      </c>
      <c r="E240" t="n">
        <v>37.44479</v>
      </c>
      <c r="F240" t="inlineStr"/>
      <c r="G240" t="inlineStr"/>
      <c r="H240" t="inlineStr"/>
    </row>
    <row r="241">
      <c r="A241" t="inlineStr">
        <is>
          <t>8d7e282d-d049-42a7-a13b-af53f8af07d1.jpg</t>
        </is>
      </c>
      <c r="B241">
        <f>HYPERLINK("Объекты недвижимости, не соответствующие градостроительным нормам_00-022_Август/8d7e282d-d049-42a7-a13b-af53f8af07d1.jpg","open")</f>
        <v/>
      </c>
      <c r="C241" t="inlineStr">
        <is>
          <t>8cde1fd0-eca1-4510-86ab-3c743b65fdfc</t>
        </is>
      </c>
      <c r="D241" t="n">
        <v>55.72931</v>
      </c>
      <c r="E241" t="n">
        <v>37.72255</v>
      </c>
      <c r="F241" t="inlineStr"/>
      <c r="G241" t="inlineStr"/>
      <c r="H241" t="inlineStr"/>
    </row>
    <row r="242">
      <c r="A242" t="inlineStr">
        <is>
          <t>1a51a8ba-379a-4e02-b224-8da029e32adf.jpg</t>
        </is>
      </c>
      <c r="B242">
        <f>HYPERLINK("Объекты недвижимости, не соответствующие градостроительным нормам_00-022_Август/1a51a8ba-379a-4e02-b224-8da029e32adf.jpg","open")</f>
        <v/>
      </c>
      <c r="C242" t="inlineStr">
        <is>
          <t>cbf95b01-f708-45a3-9ec0-3603469b538e</t>
        </is>
      </c>
      <c r="D242" t="n">
        <v>55.97218</v>
      </c>
      <c r="E242" t="n">
        <v>37.44981</v>
      </c>
      <c r="F242" t="inlineStr"/>
      <c r="G242" t="inlineStr"/>
      <c r="H242" t="inlineStr"/>
    </row>
    <row r="243">
      <c r="A243" t="inlineStr">
        <is>
          <t>213757a5-2d3a-4b70-990b-3b31fd1b1f50.jpg</t>
        </is>
      </c>
      <c r="B243">
        <f>HYPERLINK("Объекты недвижимости, не соответствующие градостроительным нормам_00-022_Август/213757a5-2d3a-4b70-990b-3b31fd1b1f50.jpg","open")</f>
        <v/>
      </c>
      <c r="C243" t="inlineStr">
        <is>
          <t>29ad9edb-d533-4272-a986-be24eb004851</t>
        </is>
      </c>
      <c r="D243" t="n">
        <v>55.73273</v>
      </c>
      <c r="E243" t="n">
        <v>37.52843</v>
      </c>
      <c r="F243" t="inlineStr"/>
      <c r="G243" t="inlineStr"/>
      <c r="H243" t="inlineStr"/>
    </row>
    <row r="244">
      <c r="A244" t="inlineStr">
        <is>
          <t>aa1f3ab3-0aa7-4be7-8d4d-1bb6888fb9ca.jpg</t>
        </is>
      </c>
      <c r="B244">
        <f>HYPERLINK("Объекты недвижимости, не соответствующие градостроительным нормам_00-022_Август/aa1f3ab3-0aa7-4be7-8d4d-1bb6888fb9ca.jpg","open")</f>
        <v/>
      </c>
      <c r="C244" t="inlineStr">
        <is>
          <t>f60286ac-55e7-4099-85bd-cc599a7a0c65</t>
        </is>
      </c>
      <c r="D244" t="n">
        <v>55.71211</v>
      </c>
      <c r="E244" t="n">
        <v>37.89093</v>
      </c>
      <c r="F244" t="inlineStr"/>
      <c r="G244" t="inlineStr"/>
      <c r="H244" t="inlineStr"/>
    </row>
    <row r="245">
      <c r="A245" t="inlineStr">
        <is>
          <t>2896c005-1de6-4e12-b37f-43445f7e77e1.jpg</t>
        </is>
      </c>
      <c r="B245">
        <f>HYPERLINK("Объекты недвижимости, не соответствующие градостроительным нормам_00-022_Август/2896c005-1de6-4e12-b37f-43445f7e77e1.jpg","open")</f>
        <v/>
      </c>
      <c r="C245" t="inlineStr">
        <is>
          <t>a1a9db89-3f74-42ef-8fad-ad69705102cd</t>
        </is>
      </c>
      <c r="D245" t="n">
        <v>55.97218</v>
      </c>
      <c r="E245" t="n">
        <v>37.44981</v>
      </c>
      <c r="F245" t="inlineStr"/>
      <c r="G245" t="inlineStr"/>
      <c r="H245" t="inlineStr"/>
    </row>
    <row r="246">
      <c r="A246" t="inlineStr">
        <is>
          <t>af19c34c-e2a1-46f0-ba0d-41d8fd250f45.jpg</t>
        </is>
      </c>
      <c r="B246">
        <f>HYPERLINK("Объекты недвижимости, не соответствующие градостроительным нормам_00-022_Август/af19c34c-e2a1-46f0-ba0d-41d8fd250f45.jpg","open")</f>
        <v/>
      </c>
      <c r="C246" t="inlineStr">
        <is>
          <t>cbf95b01-f708-45a3-9ec0-3603469b538e</t>
        </is>
      </c>
      <c r="D246" t="n">
        <v>55.97218</v>
      </c>
      <c r="E246" t="n">
        <v>37.44981</v>
      </c>
      <c r="F246" t="inlineStr"/>
      <c r="G246" t="inlineStr"/>
      <c r="H246" t="inlineStr"/>
    </row>
    <row r="247">
      <c r="A247" t="inlineStr">
        <is>
          <t>4a316ff9-35cc-4378-acfc-6440a698df59.jpg</t>
        </is>
      </c>
      <c r="B247">
        <f>HYPERLINK("Объекты недвижимости, не соответствующие градостроительным нормам_00-022_Август/4a316ff9-35cc-4378-acfc-6440a698df59.jpg","open")</f>
        <v/>
      </c>
      <c r="C247" t="inlineStr">
        <is>
          <t>a1a9db89-3f74-42ef-8fad-ad69705102cd</t>
        </is>
      </c>
      <c r="D247" t="n">
        <v>55.97218</v>
      </c>
      <c r="E247" t="n">
        <v>37.44981</v>
      </c>
      <c r="F247" t="inlineStr"/>
      <c r="G247" t="inlineStr"/>
      <c r="H247" t="inlineStr"/>
    </row>
    <row r="248">
      <c r="A248" t="inlineStr">
        <is>
          <t>b64a7a9e-b825-4535-8e7a-75951f9fd3c2.jpg</t>
        </is>
      </c>
      <c r="B248">
        <f>HYPERLINK("Объекты недвижимости, не соответствующие градостроительным нормам_00-022_Август/b64a7a9e-b825-4535-8e7a-75951f9fd3c2.jpg","open")</f>
        <v/>
      </c>
      <c r="C248" t="inlineStr">
        <is>
          <t>8cde1fd0-eca1-4510-86ab-3c743b65fdfc</t>
        </is>
      </c>
      <c r="D248" t="n">
        <v>55.73207</v>
      </c>
      <c r="E248" t="n">
        <v>37.72757</v>
      </c>
      <c r="F248" t="inlineStr"/>
      <c r="G248" t="inlineStr"/>
      <c r="H248" t="inlineStr"/>
    </row>
    <row r="249">
      <c r="A249" t="inlineStr">
        <is>
          <t>ee357608-92b5-4447-8227-b27fbacd77d6.jpg</t>
        </is>
      </c>
      <c r="B249">
        <f>HYPERLINK("Объекты недвижимости, не соответствующие градостроительным нормам_00-022_Август/ee357608-92b5-4447-8227-b27fbacd77d6.jpg","open")</f>
        <v/>
      </c>
      <c r="C249" t="inlineStr">
        <is>
          <t>8cde1fd0-eca1-4510-86ab-3c743b65fdfc</t>
        </is>
      </c>
      <c r="D249" t="n">
        <v>55.73207</v>
      </c>
      <c r="E249" t="n">
        <v>37.72757</v>
      </c>
      <c r="F249" t="inlineStr"/>
      <c r="G249" t="inlineStr"/>
      <c r="H249" t="inlineStr"/>
    </row>
    <row r="250">
      <c r="A250" t="inlineStr">
        <is>
          <t>38ca87a4-6425-4294-909a-a6cd26de09c0.jpg</t>
        </is>
      </c>
      <c r="B250">
        <f>HYPERLINK("Объекты недвижимости, не соответствующие градостроительным нормам_00-022_Август/38ca87a4-6425-4294-909a-a6cd26de09c0.jpg","open")</f>
        <v/>
      </c>
      <c r="C250" t="inlineStr">
        <is>
          <t>1c951e11-4940-43c6-a447-394097e5609a</t>
        </is>
      </c>
      <c r="D250" t="n">
        <v>55.73207</v>
      </c>
      <c r="E250" t="n">
        <v>37.72757</v>
      </c>
      <c r="F250" t="inlineStr"/>
      <c r="G250" t="inlineStr"/>
      <c r="H250" t="inlineStr"/>
    </row>
    <row r="251">
      <c r="A251" t="inlineStr">
        <is>
          <t>1b757b86-622d-4c4b-b9c9-9c46d8fe7e90.jpg</t>
        </is>
      </c>
      <c r="B251">
        <f>HYPERLINK("Объекты недвижимости, не соответствующие градостроительным нормам_00-022_Август/1b757b86-622d-4c4b-b9c9-9c46d8fe7e90.jpg","open")</f>
        <v/>
      </c>
      <c r="C251" t="inlineStr">
        <is>
          <t>8cde1fd0-eca1-4510-86ab-3c743b65fdfc</t>
        </is>
      </c>
      <c r="D251" t="n">
        <v>55.7262</v>
      </c>
      <c r="E251" t="n">
        <v>37.72628</v>
      </c>
      <c r="F251" t="inlineStr"/>
      <c r="G251" t="inlineStr"/>
      <c r="H251" t="inlineStr"/>
    </row>
    <row r="252">
      <c r="A252" t="inlineStr">
        <is>
          <t>916ff44c-b07a-4d9e-b569-1e49eb17f537.jpg</t>
        </is>
      </c>
      <c r="B252">
        <f>HYPERLINK("Объекты недвижимости, не соответствующие градостроительным нормам_00-022_Август/916ff44c-b07a-4d9e-b569-1e49eb17f537.jpg","open")</f>
        <v/>
      </c>
      <c r="C252" t="inlineStr">
        <is>
          <t>cbf95b01-f708-45a3-9ec0-3603469b538e</t>
        </is>
      </c>
      <c r="D252" t="n">
        <v>55.97218</v>
      </c>
      <c r="E252" t="n">
        <v>37.44981</v>
      </c>
      <c r="F252" t="inlineStr"/>
      <c r="G252" t="inlineStr"/>
      <c r="H252" t="inlineStr"/>
    </row>
    <row r="253">
      <c r="A253" t="inlineStr">
        <is>
          <t>1965096b-523e-4519-88fb-56ccb035f60a.jpg</t>
        </is>
      </c>
      <c r="B253">
        <f>HYPERLINK("Объекты недвижимости, не соответствующие градостроительным нормам_00-022_Август/1965096b-523e-4519-88fb-56ccb035f60a.jpg","open")</f>
        <v/>
      </c>
      <c r="C253" t="inlineStr">
        <is>
          <t>a1a9db89-3f74-42ef-8fad-ad69705102cd</t>
        </is>
      </c>
      <c r="D253" t="n">
        <v>55.97218</v>
      </c>
      <c r="E253" t="n">
        <v>37.44981</v>
      </c>
      <c r="F253" t="inlineStr"/>
      <c r="G253" t="inlineStr"/>
      <c r="H253" t="inlineStr"/>
    </row>
    <row r="254">
      <c r="A254" t="inlineStr">
        <is>
          <t>c3cb2fcd-2d95-4648-8810-f7bd044a42a2.jpg</t>
        </is>
      </c>
      <c r="B254">
        <f>HYPERLINK("Объекты недвижимости, не соответствующие градостроительным нормам_00-022_Август/c3cb2fcd-2d95-4648-8810-f7bd044a42a2.jpg","open")</f>
        <v/>
      </c>
      <c r="C254" t="inlineStr">
        <is>
          <t>cbf95b01-f708-45a3-9ec0-3603469b538e</t>
        </is>
      </c>
      <c r="D254" t="n">
        <v>55.97218</v>
      </c>
      <c r="E254" t="n">
        <v>37.44981</v>
      </c>
      <c r="F254" t="inlineStr"/>
      <c r="G254" t="inlineStr"/>
      <c r="H254" t="inlineStr"/>
    </row>
    <row r="255">
      <c r="A255" t="inlineStr">
        <is>
          <t>d82e81a9-674d-4ff7-b0b9-24169bde3191.jpg</t>
        </is>
      </c>
      <c r="B255">
        <f>HYPERLINK("Объекты недвижимости, не соответствующие градостроительным нормам_00-022_Август/d82e81a9-674d-4ff7-b0b9-24169bde3191.jpg","open")</f>
        <v/>
      </c>
      <c r="C255" t="inlineStr">
        <is>
          <t>cbf95b01-f708-45a3-9ec0-3603469b538e</t>
        </is>
      </c>
      <c r="D255" t="n">
        <v>55.97218</v>
      </c>
      <c r="E255" t="n">
        <v>37.44981</v>
      </c>
      <c r="F255" t="inlineStr"/>
      <c r="G255" t="inlineStr"/>
      <c r="H255" t="inlineStr"/>
    </row>
    <row r="256">
      <c r="A256" t="inlineStr">
        <is>
          <t>b8e50d9f-8c19-4e68-ae8b-244d53b6148f.jpg</t>
        </is>
      </c>
      <c r="B256">
        <f>HYPERLINK("Объекты недвижимости, не соответствующие градостроительным нормам_00-022_Август/b8e50d9f-8c19-4e68-ae8b-244d53b6148f.jpg","open")</f>
        <v/>
      </c>
      <c r="C256" t="inlineStr">
        <is>
          <t>cbf95b01-f708-45a3-9ec0-3603469b538e</t>
        </is>
      </c>
      <c r="D256" t="n">
        <v>55.97218</v>
      </c>
      <c r="E256" t="n">
        <v>37.44981</v>
      </c>
      <c r="F256" t="inlineStr"/>
      <c r="G256" t="inlineStr"/>
      <c r="H256" t="inlineStr"/>
    </row>
    <row r="257">
      <c r="A257" t="inlineStr">
        <is>
          <t>7cd05320-eea9-4a10-a72f-d9332f60b4a2.jpg</t>
        </is>
      </c>
      <c r="B257">
        <f>HYPERLINK("Объекты недвижимости, не соответствующие градостроительным нормам_00-022_Август/7cd05320-eea9-4a10-a72f-d9332f60b4a2.jpg","open")</f>
        <v/>
      </c>
      <c r="C257" t="inlineStr">
        <is>
          <t>a1a9db89-3f74-42ef-8fad-ad69705102cd</t>
        </is>
      </c>
      <c r="D257" t="n">
        <v>55.97218</v>
      </c>
      <c r="E257" t="n">
        <v>37.44981</v>
      </c>
      <c r="F257" t="inlineStr"/>
      <c r="G257" t="inlineStr"/>
      <c r="H257" t="inlineStr"/>
    </row>
    <row r="258">
      <c r="A258" t="inlineStr">
        <is>
          <t>9236372d-3275-49fe-bfde-bdcbe371bd19.jpg</t>
        </is>
      </c>
      <c r="B258">
        <f>HYPERLINK("Объекты недвижимости, не соответствующие градостроительным нормам_00-022_Август/9236372d-3275-49fe-bfde-bdcbe371bd19.jpg","open")</f>
        <v/>
      </c>
      <c r="C258" t="inlineStr">
        <is>
          <t>cbf95b01-f708-45a3-9ec0-3603469b538e</t>
        </is>
      </c>
      <c r="D258" t="n">
        <v>55.97218</v>
      </c>
      <c r="E258" t="n">
        <v>37.44981</v>
      </c>
      <c r="F258" t="inlineStr"/>
      <c r="G258" t="inlineStr"/>
      <c r="H258" t="inlineStr"/>
    </row>
    <row r="259">
      <c r="A259" t="inlineStr">
        <is>
          <t>593c7fa5-523a-4c74-973f-b00a8a7a9df3.jpg</t>
        </is>
      </c>
      <c r="B259">
        <f>HYPERLINK("Объекты недвижимости, не соответствующие градостроительным нормам_00-022_Август/593c7fa5-523a-4c74-973f-b00a8a7a9df3.jpg","open")</f>
        <v/>
      </c>
      <c r="C259" t="inlineStr">
        <is>
          <t>a1a9db89-3f74-42ef-8fad-ad69705102cd</t>
        </is>
      </c>
      <c r="D259" t="n">
        <v>55.97218</v>
      </c>
      <c r="E259" t="n">
        <v>37.44981</v>
      </c>
      <c r="F259" t="inlineStr"/>
      <c r="G259" t="inlineStr"/>
      <c r="H259" t="inlineStr"/>
    </row>
    <row r="260">
      <c r="A260" t="inlineStr">
        <is>
          <t>68111e5d-3e6b-4405-9c6d-0c341e9d425b.jpg</t>
        </is>
      </c>
      <c r="B260">
        <f>HYPERLINK("Объекты недвижимости, не соответствующие градостроительным нормам_00-022_Август/68111e5d-3e6b-4405-9c6d-0c341e9d425b.jpg","open")</f>
        <v/>
      </c>
      <c r="C260" t="inlineStr">
        <is>
          <t>8cde1fd0-eca1-4510-86ab-3c743b65fdfc</t>
        </is>
      </c>
      <c r="D260" t="n">
        <v>55.72413</v>
      </c>
      <c r="E260" t="n">
        <v>37.71934</v>
      </c>
      <c r="F260" t="inlineStr"/>
      <c r="G260" t="inlineStr"/>
      <c r="H260" t="inlineStr"/>
    </row>
    <row r="261">
      <c r="A261" t="inlineStr">
        <is>
          <t>86805ea2-3dce-4cd3-93bb-b49b187a3d75.jpg</t>
        </is>
      </c>
      <c r="B261">
        <f>HYPERLINK("Объекты недвижимости, не соответствующие градостроительным нормам_00-022_Август/86805ea2-3dce-4cd3-93bb-b49b187a3d75.jpg","open")</f>
        <v/>
      </c>
      <c r="C261" t="inlineStr">
        <is>
          <t>cbf95b01-f708-45a3-9ec0-3603469b538e</t>
        </is>
      </c>
      <c r="D261" t="n">
        <v>55.97218</v>
      </c>
      <c r="E261" t="n">
        <v>37.44981</v>
      </c>
      <c r="F261" t="inlineStr"/>
      <c r="G261" t="inlineStr"/>
      <c r="H261" t="inlineStr"/>
    </row>
    <row r="262">
      <c r="A262" t="inlineStr">
        <is>
          <t>9feaf70b-feb0-45f2-bdfd-bac6dcb62b89.jpg</t>
        </is>
      </c>
      <c r="B262">
        <f>HYPERLINK("Объекты недвижимости, не соответствующие градостроительным нормам_00-022_Август/9feaf70b-feb0-45f2-bdfd-bac6dcb62b89.jpg","open")</f>
        <v/>
      </c>
      <c r="C262" t="inlineStr">
        <is>
          <t>cbf95b01-f708-45a3-9ec0-3603469b538e</t>
        </is>
      </c>
      <c r="D262" t="n">
        <v>55.97218</v>
      </c>
      <c r="E262" t="n">
        <v>37.44981</v>
      </c>
      <c r="F262" t="inlineStr"/>
      <c r="G262" t="inlineStr"/>
      <c r="H262" t="inlineStr"/>
    </row>
    <row r="263">
      <c r="A263" t="inlineStr">
        <is>
          <t>ea16f369-71b4-4acf-89e8-8a4b8441bbd3.jpg</t>
        </is>
      </c>
      <c r="B263">
        <f>HYPERLINK("Объекты недвижимости, не соответствующие градостроительным нормам_00-022_Август/ea16f369-71b4-4acf-89e8-8a4b8441bbd3.jpg","open")</f>
        <v/>
      </c>
      <c r="C263" t="inlineStr">
        <is>
          <t>030e8755-17c1-44eb-9530-707d0d3121cb</t>
        </is>
      </c>
      <c r="D263" t="n">
        <v>55.71044</v>
      </c>
      <c r="E263" t="n">
        <v>37.59753</v>
      </c>
      <c r="F263" t="inlineStr"/>
      <c r="G263" t="inlineStr"/>
      <c r="H263" t="inlineStr"/>
    </row>
    <row r="264">
      <c r="A264" t="inlineStr">
        <is>
          <t>2d0682bd-22ce-42e6-8064-02c4cf08a43c.jpg</t>
        </is>
      </c>
      <c r="B264">
        <f>HYPERLINK("Объекты недвижимости, не соответствующие градостроительным нормам_00-022_Август/2d0682bd-22ce-42e6-8064-02c4cf08a43c.jpg","open")</f>
        <v/>
      </c>
      <c r="C264" t="inlineStr">
        <is>
          <t>a1a9db89-3f74-42ef-8fad-ad69705102cd</t>
        </is>
      </c>
      <c r="D264" t="n">
        <v>55.97218</v>
      </c>
      <c r="E264" t="n">
        <v>37.44981</v>
      </c>
      <c r="F264" t="inlineStr"/>
      <c r="G264" t="inlineStr"/>
      <c r="H264" t="inlineStr"/>
    </row>
    <row r="265">
      <c r="A265" t="inlineStr">
        <is>
          <t>8263a727-c275-435a-8b5c-c007c3d9ddb1.jpg</t>
        </is>
      </c>
      <c r="B265">
        <f>HYPERLINK("Объекты недвижимости, не соответствующие градостроительным нормам_00-022_Август/8263a727-c275-435a-8b5c-c007c3d9ddb1.jpg","open")</f>
        <v/>
      </c>
      <c r="C265" t="inlineStr">
        <is>
          <t>a1a9db89-3f74-42ef-8fad-ad69705102cd</t>
        </is>
      </c>
      <c r="D265" t="n">
        <v>55.97218</v>
      </c>
      <c r="E265" t="n">
        <v>37.44981</v>
      </c>
      <c r="F265" t="inlineStr"/>
      <c r="G265" t="inlineStr"/>
      <c r="H265" t="inlineStr"/>
    </row>
    <row r="266">
      <c r="A266" t="inlineStr">
        <is>
          <t>c10cce68-7219-4eae-bffc-e3215296e414.jpg</t>
        </is>
      </c>
      <c r="B266">
        <f>HYPERLINK("Объекты недвижимости, не соответствующие градостроительным нормам_00-022_Август/c10cce68-7219-4eae-bffc-e3215296e414.jpg","open")</f>
        <v/>
      </c>
      <c r="C266" t="inlineStr">
        <is>
          <t>29ad9edb-d533-4272-a986-be24eb004851</t>
        </is>
      </c>
      <c r="D266" t="n">
        <v>55.73475</v>
      </c>
      <c r="E266" t="n">
        <v>37.53563</v>
      </c>
      <c r="F266" t="inlineStr"/>
      <c r="G266" t="inlineStr"/>
      <c r="H266" t="inlineStr"/>
    </row>
    <row r="267">
      <c r="A267" t="inlineStr">
        <is>
          <t>f92193a6-1fa6-4e13-9463-9c43148b2d50.jpg</t>
        </is>
      </c>
      <c r="B267">
        <f>HYPERLINK("Объекты недвижимости, не соответствующие градостроительным нормам_00-022_Август/f92193a6-1fa6-4e13-9463-9c43148b2d50.jpg","open")</f>
        <v/>
      </c>
      <c r="C267" t="inlineStr">
        <is>
          <t>a1a9db89-3f74-42ef-8fad-ad69705102cd</t>
        </is>
      </c>
      <c r="D267" t="n">
        <v>55.97218</v>
      </c>
      <c r="E267" t="n">
        <v>37.44981</v>
      </c>
      <c r="F267" t="inlineStr"/>
      <c r="G267" t="inlineStr"/>
      <c r="H267" t="inlineStr"/>
    </row>
    <row r="268">
      <c r="A268" t="inlineStr">
        <is>
          <t>9beb9330-4421-4a41-927b-4dd178522f9b.jpg</t>
        </is>
      </c>
      <c r="B268">
        <f>HYPERLINK("Объекты недвижимости, не соответствующие градостроительным нормам_00-022_Август/9beb9330-4421-4a41-927b-4dd178522f9b.jpg","open")</f>
        <v/>
      </c>
      <c r="C268" t="inlineStr">
        <is>
          <t>31a713a9-b910-424b-b847-e0eaa2f70c70</t>
        </is>
      </c>
      <c r="D268" t="n">
        <v>55.8677</v>
      </c>
      <c r="E268" t="n">
        <v>37.48066</v>
      </c>
      <c r="F268" t="inlineStr"/>
      <c r="G268" t="inlineStr"/>
      <c r="H268" t="inlineStr"/>
    </row>
    <row r="269">
      <c r="A269" t="inlineStr">
        <is>
          <t>3697caa2-7b02-4e94-9c60-4705a9fb2f2a.jpg</t>
        </is>
      </c>
      <c r="B269">
        <f>HYPERLINK("Объекты недвижимости, не соответствующие градостроительным нормам_00-022_Август/3697caa2-7b02-4e94-9c60-4705a9fb2f2a.jpg","open")</f>
        <v/>
      </c>
      <c r="C269" t="inlineStr">
        <is>
          <t>cbf95b01-f708-45a3-9ec0-3603469b538e</t>
        </is>
      </c>
      <c r="D269" t="n">
        <v>55.97218</v>
      </c>
      <c r="E269" t="n">
        <v>37.44981</v>
      </c>
      <c r="F269" t="inlineStr"/>
      <c r="G269" t="inlineStr"/>
      <c r="H269" t="inlineStr"/>
    </row>
    <row r="270">
      <c r="A270" t="inlineStr">
        <is>
          <t>da81f4fc-0c27-4ae8-9009-d4f1ccdb3fcf.jpg</t>
        </is>
      </c>
      <c r="B270">
        <f>HYPERLINK("Объекты недвижимости, не соответствующие градостроительным нормам_00-022_Август/da81f4fc-0c27-4ae8-9009-d4f1ccdb3fcf.jpg","open")</f>
        <v/>
      </c>
      <c r="C270" t="inlineStr">
        <is>
          <t>cbf95b01-f708-45a3-9ec0-3603469b538e</t>
        </is>
      </c>
      <c r="D270" t="n">
        <v>55.97218</v>
      </c>
      <c r="E270" t="n">
        <v>37.44981</v>
      </c>
      <c r="F270" t="inlineStr"/>
      <c r="G270" t="inlineStr"/>
      <c r="H270" t="inlineStr"/>
    </row>
    <row r="271">
      <c r="A271" t="inlineStr">
        <is>
          <t>f8d6eb35-bd2b-4c02-bbd2-3c06e37c0143.jpg</t>
        </is>
      </c>
      <c r="B271">
        <f>HYPERLINK("Объекты недвижимости, не соответствующие градостроительным нормам_00-022_Август/f8d6eb35-bd2b-4c02-bbd2-3c06e37c0143.jpg","open")</f>
        <v/>
      </c>
      <c r="C271" t="inlineStr">
        <is>
          <t>cbf95b01-f708-45a3-9ec0-3603469b538e</t>
        </is>
      </c>
      <c r="D271" t="n">
        <v>55.97218</v>
      </c>
      <c r="E271" t="n">
        <v>37.44981</v>
      </c>
      <c r="F271" t="inlineStr"/>
      <c r="G271" t="inlineStr"/>
      <c r="H271" t="inlineStr"/>
    </row>
    <row r="272">
      <c r="A272" t="inlineStr">
        <is>
          <t>6463eebc-38f8-44e4-ba7c-4e56e4766a26.jpg</t>
        </is>
      </c>
      <c r="B272">
        <f>HYPERLINK("Объекты недвижимости, не соответствующие градостроительным нормам_00-022_Август/6463eebc-38f8-44e4-ba7c-4e56e4766a26.jpg","open")</f>
        <v/>
      </c>
      <c r="C272" t="inlineStr">
        <is>
          <t>8cde1fd0-eca1-4510-86ab-3c743b65fdfc</t>
        </is>
      </c>
      <c r="D272" t="n">
        <v>55.72371</v>
      </c>
      <c r="E272" t="n">
        <v>37.71491</v>
      </c>
      <c r="F272" t="inlineStr"/>
      <c r="G272" t="inlineStr"/>
      <c r="H272" t="inlineStr"/>
    </row>
    <row r="273">
      <c r="A273" t="inlineStr">
        <is>
          <t>056c8c7f-b00e-4f8d-806f-0d108e84f202.jpg</t>
        </is>
      </c>
      <c r="B273">
        <f>HYPERLINK("Объекты недвижимости, не соответствующие градостроительным нормам_00-022_Август/056c8c7f-b00e-4f8d-806f-0d108e84f202.jpg","open")</f>
        <v/>
      </c>
      <c r="C273" t="inlineStr">
        <is>
          <t>8cde1fd0-eca1-4510-86ab-3c743b65fdfc</t>
        </is>
      </c>
      <c r="D273" t="n">
        <v>55.72361</v>
      </c>
      <c r="E273" t="n">
        <v>37.71504</v>
      </c>
      <c r="F273" t="inlineStr"/>
      <c r="G273" t="inlineStr"/>
      <c r="H273" t="inlineStr"/>
    </row>
    <row r="274">
      <c r="A274" t="inlineStr">
        <is>
          <t>db7c70d6-3f63-44f9-b05c-176773054130.jpg</t>
        </is>
      </c>
      <c r="B274">
        <f>HYPERLINK("Объекты недвижимости, не соответствующие градостроительным нормам_00-022_Август/db7c70d6-3f63-44f9-b05c-176773054130.jpg","open")</f>
        <v/>
      </c>
      <c r="C274" t="inlineStr">
        <is>
          <t>1c951e11-4940-43c6-a447-394097e5609a</t>
        </is>
      </c>
      <c r="D274" t="n">
        <v>55.72378</v>
      </c>
      <c r="E274" t="n">
        <v>37.71484</v>
      </c>
      <c r="F274" t="inlineStr"/>
      <c r="G274" t="inlineStr"/>
      <c r="H274" t="inlineStr"/>
    </row>
    <row r="275">
      <c r="A275" t="inlineStr">
        <is>
          <t>288a05e8-4ba5-47e8-bc0e-83ef3dd37f6e.jpg</t>
        </is>
      </c>
      <c r="B275">
        <f>HYPERLINK("Объекты недвижимости, не соответствующие градостроительным нормам_00-022_Август/288a05e8-4ba5-47e8-bc0e-83ef3dd37f6e.jpg","open")</f>
        <v/>
      </c>
      <c r="C275" t="inlineStr">
        <is>
          <t>8cde1fd0-eca1-4510-86ab-3c743b65fdfc</t>
        </is>
      </c>
      <c r="D275" t="n">
        <v>55.72345</v>
      </c>
      <c r="E275" t="n">
        <v>37.71549</v>
      </c>
      <c r="F275" t="inlineStr"/>
      <c r="G275" t="inlineStr"/>
      <c r="H275" t="inlineStr"/>
    </row>
    <row r="276">
      <c r="A276" t="inlineStr">
        <is>
          <t>2a81e007-d607-415c-877d-3fb5ac842da2.jpg</t>
        </is>
      </c>
      <c r="B276">
        <f>HYPERLINK("Объекты недвижимости, не соответствующие градостроительным нормам_00-022_Август/2a81e007-d607-415c-877d-3fb5ac842da2.jpg","open")</f>
        <v/>
      </c>
      <c r="C276" t="inlineStr">
        <is>
          <t>caa4772d-6278-4484-a046-ee25514bf521</t>
        </is>
      </c>
      <c r="D276" t="n">
        <v>55.85995</v>
      </c>
      <c r="E276" t="n">
        <v>37.64515</v>
      </c>
      <c r="F276" t="inlineStr"/>
      <c r="G276" t="inlineStr"/>
      <c r="H276" t="inlineStr"/>
    </row>
    <row r="277">
      <c r="A277" t="inlineStr">
        <is>
          <t>a2422421-4963-4c6a-a093-6f0fa9ae82ba.jpg</t>
        </is>
      </c>
      <c r="B277">
        <f>HYPERLINK("Объекты недвижимости, не соответствующие градостроительным нормам_00-022_Август/a2422421-4963-4c6a-a093-6f0fa9ae82ba.jpg","open")</f>
        <v/>
      </c>
      <c r="C277" t="inlineStr">
        <is>
          <t>cbf95b01-f708-45a3-9ec0-3603469b538e</t>
        </is>
      </c>
      <c r="D277" t="n">
        <v>55.97218</v>
      </c>
      <c r="E277" t="n">
        <v>37.44981</v>
      </c>
      <c r="F277" t="inlineStr"/>
      <c r="G277" t="inlineStr"/>
      <c r="H277" t="inlineStr"/>
    </row>
    <row r="278">
      <c r="A278" t="inlineStr">
        <is>
          <t>7459eea1-4dde-4b5e-85f5-c2cbd74815f7.jpg</t>
        </is>
      </c>
      <c r="B278">
        <f>HYPERLINK("Объекты недвижимости, не соответствующие градостроительным нормам_00-022_Август/7459eea1-4dde-4b5e-85f5-c2cbd74815f7.jpg","open")</f>
        <v/>
      </c>
      <c r="C278" t="inlineStr">
        <is>
          <t>cbf95b01-f708-45a3-9ec0-3603469b538e</t>
        </is>
      </c>
      <c r="D278" t="n">
        <v>55.97218</v>
      </c>
      <c r="E278" t="n">
        <v>37.44981</v>
      </c>
      <c r="F278" t="inlineStr"/>
      <c r="G278" t="inlineStr"/>
      <c r="H278" t="inlineStr"/>
    </row>
    <row r="279">
      <c r="A279" t="inlineStr">
        <is>
          <t>25475ea7-dd94-40d5-a532-98ad21eeabb9.jpg</t>
        </is>
      </c>
      <c r="B279">
        <f>HYPERLINK("Объекты недвижимости, не соответствующие градостроительным нормам_00-022_Август/25475ea7-dd94-40d5-a532-98ad21eeabb9.jpg","open")</f>
        <v/>
      </c>
      <c r="C279" t="inlineStr">
        <is>
          <t>685d9054-b74f-49ab-857b-109fd2cec80d</t>
        </is>
      </c>
      <c r="D279" t="n">
        <v>58.85096</v>
      </c>
      <c r="E279" t="n">
        <v>38.3869</v>
      </c>
      <c r="F279" t="inlineStr"/>
      <c r="G279" t="inlineStr"/>
      <c r="H279" t="inlineStr"/>
    </row>
    <row r="280">
      <c r="A280" t="inlineStr">
        <is>
          <t>bfba2d72-3cdc-4754-a40f-30e5b66a05aa.jpg</t>
        </is>
      </c>
      <c r="B280">
        <f>HYPERLINK("Объекты недвижимости, не соответствующие градостроительным нормам_00-022_Август/bfba2d72-3cdc-4754-a40f-30e5b66a05aa.jpg","open")</f>
        <v/>
      </c>
      <c r="C280" t="inlineStr">
        <is>
          <t>cbf95b01-f708-45a3-9ec0-3603469b538e</t>
        </is>
      </c>
      <c r="D280" t="n">
        <v>55.97218</v>
      </c>
      <c r="E280" t="n">
        <v>37.44981</v>
      </c>
      <c r="F280" t="inlineStr"/>
      <c r="G280" t="inlineStr"/>
      <c r="H280" t="inlineStr"/>
    </row>
    <row r="281">
      <c r="A281" t="inlineStr">
        <is>
          <t>0e20414c-6d99-4c1e-8f9e-eb7de353ef48.jpg</t>
        </is>
      </c>
      <c r="B281">
        <f>HYPERLINK("Объекты недвижимости, не соответствующие градостроительным нормам_00-022_Август/0e20414c-6d99-4c1e-8f9e-eb7de353ef48.jpg","open")</f>
        <v/>
      </c>
      <c r="C281" t="inlineStr">
        <is>
          <t>685d9054-b74f-49ab-857b-109fd2cec80d</t>
        </is>
      </c>
      <c r="D281" t="n">
        <v>58.85096</v>
      </c>
      <c r="E281" t="n">
        <v>38.3869</v>
      </c>
      <c r="F281" t="inlineStr"/>
      <c r="G281" t="inlineStr"/>
      <c r="H281" t="inlineStr"/>
    </row>
    <row r="282">
      <c r="A282" t="inlineStr">
        <is>
          <t>a4e6c5d8-8b55-4643-aa63-3ccef55aab02.jpg</t>
        </is>
      </c>
      <c r="B282">
        <f>HYPERLINK("Объекты недвижимости, не соответствующие градостроительным нормам_00-022_Август/a4e6c5d8-8b55-4643-aa63-3ccef55aab02.jpg","open")</f>
        <v/>
      </c>
      <c r="C282" t="inlineStr">
        <is>
          <t>93848fc8-17e7-4748-9ebc-c7e379e11d2f</t>
        </is>
      </c>
      <c r="D282" t="n">
        <v>55.67888</v>
      </c>
      <c r="E282" t="n">
        <v>37.66681</v>
      </c>
      <c r="F282" t="inlineStr"/>
      <c r="G282" t="inlineStr"/>
      <c r="H282" t="inlineStr"/>
    </row>
    <row r="283">
      <c r="A283" t="inlineStr">
        <is>
          <t>590de66d-4f80-4490-b444-4365f5c92214.jpg</t>
        </is>
      </c>
      <c r="B283">
        <f>HYPERLINK("Объекты недвижимости, не соответствующие градостроительным нормам_00-022_Август/590de66d-4f80-4490-b444-4365f5c92214.jpg","open")</f>
        <v/>
      </c>
      <c r="C283" t="inlineStr">
        <is>
          <t>8cde1fd0-eca1-4510-86ab-3c743b65fdfc</t>
        </is>
      </c>
      <c r="D283" t="n">
        <v>55.7284</v>
      </c>
      <c r="E283" t="n">
        <v>37.72654</v>
      </c>
      <c r="F283" t="inlineStr"/>
      <c r="G283" t="inlineStr"/>
      <c r="H283" t="inlineStr"/>
    </row>
    <row r="284">
      <c r="A284" t="inlineStr">
        <is>
          <t>8246bf3f-8466-408e-be44-5cd405905b6d.jpg</t>
        </is>
      </c>
      <c r="B284">
        <f>HYPERLINK("Объекты недвижимости, не соответствующие градостроительным нормам_00-022_Август/8246bf3f-8466-408e-be44-5cd405905b6d.jpg","open")</f>
        <v/>
      </c>
      <c r="C284" t="inlineStr">
        <is>
          <t>1c951e11-4940-43c6-a447-394097e5609a</t>
        </is>
      </c>
      <c r="D284" t="n">
        <v>55.72856</v>
      </c>
      <c r="E284" t="n">
        <v>37.72666</v>
      </c>
      <c r="F284" t="inlineStr"/>
      <c r="G284" t="inlineStr"/>
      <c r="H284" t="inlineStr"/>
    </row>
    <row r="285">
      <c r="A285" t="inlineStr">
        <is>
          <t>f3ad941b-5d8d-42a5-9005-3b86f1fd04c1.jpg</t>
        </is>
      </c>
      <c r="B285">
        <f>HYPERLINK("Объекты недвижимости, не соответствующие градостроительным нормам_00-022_Август/f3ad941b-5d8d-42a5-9005-3b86f1fd04c1.jpg","open")</f>
        <v/>
      </c>
      <c r="C285" t="inlineStr">
        <is>
          <t>a1a9db89-3f74-42ef-8fad-ad69705102cd</t>
        </is>
      </c>
      <c r="D285" t="n">
        <v>55.97218</v>
      </c>
      <c r="E285" t="n">
        <v>37.44981</v>
      </c>
      <c r="F285" t="inlineStr"/>
      <c r="G285" t="inlineStr"/>
      <c r="H285" t="inlineStr"/>
    </row>
    <row r="286">
      <c r="A286" t="inlineStr">
        <is>
          <t>29d28751-2b77-45ad-b22e-2137790ef269.jpg</t>
        </is>
      </c>
      <c r="B286">
        <f>HYPERLINK("Объекты недвижимости, не соответствующие градостроительным нормам_00-022_Август/29d28751-2b77-45ad-b22e-2137790ef269.jpg","open")</f>
        <v/>
      </c>
      <c r="C286" t="inlineStr">
        <is>
          <t>a1a9db89-3f74-42ef-8fad-ad69705102cd</t>
        </is>
      </c>
      <c r="D286" t="n">
        <v>55.97218</v>
      </c>
      <c r="E286" t="n">
        <v>37.44981</v>
      </c>
      <c r="F286" t="inlineStr"/>
      <c r="G286" t="inlineStr"/>
      <c r="H286" t="inlineStr"/>
    </row>
    <row r="287">
      <c r="A287" t="inlineStr">
        <is>
          <t>6c5675c5-6af9-4e63-8490-2eabaa0c3b5b.jpg</t>
        </is>
      </c>
      <c r="B287">
        <f>HYPERLINK("Объекты недвижимости, не соответствующие градостроительным нормам_00-022_Август/6c5675c5-6af9-4e63-8490-2eabaa0c3b5b.jpg","open")</f>
        <v/>
      </c>
      <c r="C287" t="inlineStr">
        <is>
          <t>a1a9db89-3f74-42ef-8fad-ad69705102cd</t>
        </is>
      </c>
      <c r="D287" t="n">
        <v>55.97218</v>
      </c>
      <c r="E287" t="n">
        <v>37.44981</v>
      </c>
      <c r="F287" t="inlineStr"/>
      <c r="G287" t="inlineStr"/>
      <c r="H287" t="inlineStr"/>
    </row>
    <row r="288">
      <c r="A288" t="inlineStr">
        <is>
          <t>6a139e45-a63c-424a-ba59-2505e412d477.jpg</t>
        </is>
      </c>
      <c r="B288">
        <f>HYPERLINK("Объекты недвижимости, не соответствующие градостроительным нормам_00-022_Август/6a139e45-a63c-424a-ba59-2505e412d477.jpg","open")</f>
        <v/>
      </c>
      <c r="C288" t="inlineStr">
        <is>
          <t>cbf95b01-f708-45a3-9ec0-3603469b538e</t>
        </is>
      </c>
      <c r="D288" t="n">
        <v>55.97218</v>
      </c>
      <c r="E288" t="n">
        <v>37.44981</v>
      </c>
      <c r="F288" t="inlineStr"/>
      <c r="G288" t="inlineStr"/>
      <c r="H288" t="inlineStr"/>
    </row>
    <row r="289">
      <c r="A289" t="inlineStr">
        <is>
          <t>c5a42a5a-70e6-4a78-90ce-247b3f1154d7.jpg</t>
        </is>
      </c>
      <c r="B289">
        <f>HYPERLINK("Объекты недвижимости, не соответствующие градостроительным нормам_00-022_Август/c5a42a5a-70e6-4a78-90ce-247b3f1154d7.jpg","open")</f>
        <v/>
      </c>
      <c r="C289" t="inlineStr">
        <is>
          <t>a1a9db89-3f74-42ef-8fad-ad69705102cd</t>
        </is>
      </c>
      <c r="D289" t="n">
        <v>55.97218</v>
      </c>
      <c r="E289" t="n">
        <v>37.44981</v>
      </c>
      <c r="F289" t="inlineStr"/>
      <c r="G289" t="inlineStr"/>
      <c r="H289" t="inlineStr"/>
    </row>
    <row r="290">
      <c r="A290" t="inlineStr">
        <is>
          <t>5ffc967f-6f6c-44d7-baf7-28b54ee50e7b.jpg</t>
        </is>
      </c>
      <c r="B290">
        <f>HYPERLINK("Объекты недвижимости, не соответствующие градостроительным нормам_00-022_Август/5ffc967f-6f6c-44d7-baf7-28b54ee50e7b.jpg","open")</f>
        <v/>
      </c>
      <c r="C290" t="inlineStr">
        <is>
          <t>a1a9db89-3f74-42ef-8fad-ad69705102cd</t>
        </is>
      </c>
      <c r="D290" t="n">
        <v>55.97218</v>
      </c>
      <c r="E290" t="n">
        <v>37.44981</v>
      </c>
      <c r="F290" t="inlineStr"/>
      <c r="G290" t="inlineStr"/>
      <c r="H290" t="inlineStr"/>
    </row>
    <row r="291">
      <c r="A291" t="inlineStr">
        <is>
          <t>5b67f1a6-48a7-4887-a13b-98ae61b2d4e9.jpg</t>
        </is>
      </c>
      <c r="B291">
        <f>HYPERLINK("Объекты недвижимости, не соответствующие градостроительным нормам_00-022_Август/5b67f1a6-48a7-4887-a13b-98ae61b2d4e9.jpg","open")</f>
        <v/>
      </c>
      <c r="C291" t="inlineStr">
        <is>
          <t>cbf95b01-f708-45a3-9ec0-3603469b538e</t>
        </is>
      </c>
      <c r="D291" t="n">
        <v>55.97218</v>
      </c>
      <c r="E291" t="n">
        <v>37.44981</v>
      </c>
      <c r="F291" t="inlineStr"/>
      <c r="G291" t="inlineStr"/>
      <c r="H291" t="inlineStr"/>
    </row>
    <row r="292">
      <c r="A292" t="inlineStr">
        <is>
          <t>adb0a621-b931-4c60-8752-120826dd0c61.jpg</t>
        </is>
      </c>
      <c r="B292">
        <f>HYPERLINK("Объекты недвижимости, не соответствующие градостроительным нормам_00-022_Август/adb0a621-b931-4c60-8752-120826dd0c61.jpg","open")</f>
        <v/>
      </c>
      <c r="C292" t="inlineStr">
        <is>
          <t>cbf95b01-f708-45a3-9ec0-3603469b538e</t>
        </is>
      </c>
      <c r="D292" t="n">
        <v>55.97218</v>
      </c>
      <c r="E292" t="n">
        <v>37.44981</v>
      </c>
      <c r="F292" t="inlineStr"/>
      <c r="G292" t="inlineStr"/>
      <c r="H292" t="inlineStr"/>
    </row>
    <row r="293">
      <c r="A293" t="inlineStr">
        <is>
          <t>772bb776-01bd-46d7-ae21-138da8876b4d.jpg</t>
        </is>
      </c>
      <c r="B293">
        <f>HYPERLINK("Объекты недвижимости, не соответствующие градостроительным нормам_00-022_Август/772bb776-01bd-46d7-ae21-138da8876b4d.jpg","open")</f>
        <v/>
      </c>
      <c r="C293" t="inlineStr">
        <is>
          <t>a1a9db89-3f74-42ef-8fad-ad69705102cd</t>
        </is>
      </c>
      <c r="D293" t="n">
        <v>55.97218</v>
      </c>
      <c r="E293" t="n">
        <v>37.44981</v>
      </c>
      <c r="F293" t="inlineStr"/>
      <c r="G293" t="inlineStr"/>
      <c r="H293" t="inlineStr"/>
    </row>
    <row r="294">
      <c r="A294" t="inlineStr">
        <is>
          <t>4ae74b25-46fd-42fe-a20b-2a70c23d329c.jpg</t>
        </is>
      </c>
      <c r="B294">
        <f>HYPERLINK("Объекты недвижимости, не соответствующие градостроительным нормам_00-022_Август/4ae74b25-46fd-42fe-a20b-2a70c23d329c.jpg","open")</f>
        <v/>
      </c>
      <c r="C294" t="inlineStr">
        <is>
          <t>cbf95b01-f708-45a3-9ec0-3603469b538e</t>
        </is>
      </c>
      <c r="D294" t="n">
        <v>55.97218</v>
      </c>
      <c r="E294" t="n">
        <v>37.44981</v>
      </c>
      <c r="F294" t="inlineStr"/>
      <c r="G294" t="inlineStr"/>
      <c r="H294" t="inlineStr"/>
    </row>
    <row r="295">
      <c r="A295" t="inlineStr">
        <is>
          <t>1c83e06b-f86a-40f7-a932-a9a585504239.jpg</t>
        </is>
      </c>
      <c r="B295">
        <f>HYPERLINK("Объекты недвижимости, не соответствующие градостроительным нормам_00-022_Август/1c83e06b-f86a-40f7-a932-a9a585504239.jpg","open")</f>
        <v/>
      </c>
      <c r="C295" t="inlineStr">
        <is>
          <t>cbf95b01-f708-45a3-9ec0-3603469b538e</t>
        </is>
      </c>
      <c r="D295" t="n">
        <v>55.97218</v>
      </c>
      <c r="E295" t="n">
        <v>37.44981</v>
      </c>
      <c r="F295" t="inlineStr"/>
      <c r="G295" t="inlineStr"/>
      <c r="H295" t="inlineStr"/>
    </row>
    <row r="296">
      <c r="A296" t="inlineStr">
        <is>
          <t>96451ffa-cf15-4075-9b90-3f2c8311fa05.jpg</t>
        </is>
      </c>
      <c r="B296">
        <f>HYPERLINK("Объекты недвижимости, не соответствующие градостроительным нормам_00-022_Август/96451ffa-cf15-4075-9b90-3f2c8311fa05.jpg","open")</f>
        <v/>
      </c>
      <c r="C296" t="inlineStr">
        <is>
          <t>ad64e6b9-1ed5-44d7-a101-4945a1f9dec6</t>
        </is>
      </c>
      <c r="D296" t="n">
        <v>55.53791</v>
      </c>
      <c r="E296" t="n">
        <v>37.53198</v>
      </c>
      <c r="F296" t="inlineStr"/>
      <c r="G296" t="inlineStr"/>
      <c r="H296" t="inlineStr"/>
    </row>
    <row r="297">
      <c r="A297" t="inlineStr">
        <is>
          <t>80ecb606-2939-4ecd-8f48-0eb11123a90d.jpg</t>
        </is>
      </c>
      <c r="B297">
        <f>HYPERLINK("Объекты недвижимости, не соответствующие градостроительным нормам_00-022_Август/80ecb606-2939-4ecd-8f48-0eb11123a90d.jpg","open")</f>
        <v/>
      </c>
      <c r="C297" t="inlineStr">
        <is>
          <t>a1a9db89-3f74-42ef-8fad-ad69705102cd</t>
        </is>
      </c>
      <c r="D297" t="n">
        <v>55.97218</v>
      </c>
      <c r="E297" t="n">
        <v>37.44981</v>
      </c>
      <c r="F297" t="inlineStr"/>
      <c r="G297" t="inlineStr"/>
      <c r="H297" t="inlineStr"/>
    </row>
    <row r="298">
      <c r="A298" t="inlineStr">
        <is>
          <t>0cbd9817-c01f-4523-abc3-3b195aab8dcc.jpg</t>
        </is>
      </c>
      <c r="B298">
        <f>HYPERLINK("Объекты недвижимости, не соответствующие градостроительным нормам_00-022_Август/0cbd9817-c01f-4523-abc3-3b195aab8dcc.jpg","open")</f>
        <v/>
      </c>
      <c r="C298" t="inlineStr">
        <is>
          <t>cbf95b01-f708-45a3-9ec0-3603469b538e</t>
        </is>
      </c>
      <c r="D298" t="n">
        <v>55.97218</v>
      </c>
      <c r="E298" t="n">
        <v>37.44981</v>
      </c>
      <c r="F298" t="inlineStr"/>
      <c r="G298" t="inlineStr"/>
      <c r="H298" t="inlineStr"/>
    </row>
    <row r="299">
      <c r="A299" t="inlineStr">
        <is>
          <t>0c97a2da-faa3-4dcf-a8a5-3399416e8070.jpg</t>
        </is>
      </c>
      <c r="B299">
        <f>HYPERLINK("Объекты недвижимости, не соответствующие градостроительным нормам_00-022_Август/0c97a2da-faa3-4dcf-a8a5-3399416e8070.jpg","open")</f>
        <v/>
      </c>
      <c r="C299" t="inlineStr">
        <is>
          <t>cbf95b01-f708-45a3-9ec0-3603469b538e</t>
        </is>
      </c>
      <c r="D299" t="n">
        <v>55.97218</v>
      </c>
      <c r="E299" t="n">
        <v>37.44981</v>
      </c>
      <c r="F299" t="inlineStr"/>
      <c r="G299" t="inlineStr"/>
      <c r="H299" t="inlineStr"/>
    </row>
    <row r="300">
      <c r="A300" t="inlineStr">
        <is>
          <t>42e0a0e8-2060-44fe-be3b-6abeefeea730.jpg</t>
        </is>
      </c>
      <c r="B300">
        <f>HYPERLINK("Объекты недвижимости, не соответствующие градостроительным нормам_00-022_Август/42e0a0e8-2060-44fe-be3b-6abeefeea730.jpg","open")</f>
        <v/>
      </c>
      <c r="C300" t="inlineStr">
        <is>
          <t>cbf95b01-f708-45a3-9ec0-3603469b538e</t>
        </is>
      </c>
      <c r="D300" t="n">
        <v>55.97218</v>
      </c>
      <c r="E300" t="n">
        <v>37.44981</v>
      </c>
      <c r="F300" t="inlineStr"/>
      <c r="G300" t="inlineStr"/>
      <c r="H300" t="inlineStr"/>
    </row>
    <row r="301">
      <c r="A301" t="inlineStr">
        <is>
          <t>e48a8041-9b1a-4abf-b50f-8193c6cb6775.jpg</t>
        </is>
      </c>
      <c r="B301">
        <f>HYPERLINK("Объекты недвижимости, не соответствующие градостроительным нормам_00-022_Август/e48a8041-9b1a-4abf-b50f-8193c6cb6775.jpg","open")</f>
        <v/>
      </c>
      <c r="C301" t="inlineStr">
        <is>
          <t>55da50d9-6d31-4c29-a85b-6a228578c6de</t>
        </is>
      </c>
      <c r="D301" t="n">
        <v>55.98162</v>
      </c>
      <c r="E301" t="n">
        <v>37.40711</v>
      </c>
      <c r="F301" t="inlineStr"/>
      <c r="G301" t="inlineStr"/>
      <c r="H301" t="inlineStr"/>
    </row>
    <row r="302">
      <c r="A302" t="inlineStr">
        <is>
          <t>3fe8f5a5-b376-4a83-90ff-57b7c09066af.jpg</t>
        </is>
      </c>
      <c r="B302">
        <f>HYPERLINK("Объекты недвижимости, не соответствующие градостроительным нормам_00-022_Август/3fe8f5a5-b376-4a83-90ff-57b7c09066af.jpg","open")</f>
        <v/>
      </c>
      <c r="C302" t="inlineStr">
        <is>
          <t>57aae8a4-582b-4309-8045-c8127a9f86ae</t>
        </is>
      </c>
      <c r="D302" t="n">
        <v>55.7995</v>
      </c>
      <c r="E302" t="n">
        <v>37.79771</v>
      </c>
      <c r="F302" t="inlineStr"/>
      <c r="G302" t="inlineStr"/>
      <c r="H302" t="inlineStr"/>
    </row>
    <row r="303">
      <c r="A303" t="inlineStr">
        <is>
          <t>3624b40a-a990-4be1-abe7-9274239512be.jpg</t>
        </is>
      </c>
      <c r="B303">
        <f>HYPERLINK("Объекты недвижимости, не соответствующие градостроительным нормам_00-022_Август/3624b40a-a990-4be1-abe7-9274239512be.jpg","open")</f>
        <v/>
      </c>
      <c r="C303" t="inlineStr">
        <is>
          <t>cbf95b01-f708-45a3-9ec0-3603469b538e</t>
        </is>
      </c>
      <c r="D303" t="n">
        <v>55.98906</v>
      </c>
      <c r="E303" t="n">
        <v>37.83937</v>
      </c>
      <c r="F303" t="inlineStr"/>
      <c r="G303" t="inlineStr"/>
      <c r="H303" t="inlineStr"/>
    </row>
    <row r="304">
      <c r="A304" t="inlineStr">
        <is>
          <t>b34f96a6-6fc6-4048-8b5a-5439b721cb9a.jpg</t>
        </is>
      </c>
      <c r="B304">
        <f>HYPERLINK("Объекты недвижимости, не соответствующие градостроительным нормам_00-022_Август/b34f96a6-6fc6-4048-8b5a-5439b721cb9a.jpg","open")</f>
        <v/>
      </c>
      <c r="C304" t="inlineStr">
        <is>
          <t>ed2bf0f1-3a66-4913-896e-4420a9796c0b</t>
        </is>
      </c>
      <c r="D304" t="n">
        <v>55.98619</v>
      </c>
      <c r="E304" t="n">
        <v>37.83663</v>
      </c>
      <c r="F304" t="inlineStr"/>
      <c r="G304" t="inlineStr"/>
      <c r="H304" t="inlineStr"/>
    </row>
    <row r="305">
      <c r="A305" t="inlineStr">
        <is>
          <t>1047f8c8-2cde-4ed7-ada3-ad0b5a4fd038.jpg</t>
        </is>
      </c>
      <c r="B305">
        <f>HYPERLINK("Объекты недвижимости, не соответствующие градостроительным нормам_00-022_Август/1047f8c8-2cde-4ed7-ada3-ad0b5a4fd038.jpg","open")</f>
        <v/>
      </c>
      <c r="C305" t="inlineStr">
        <is>
          <t>1a55986c-2c3f-40c0-b3d1-014dce77832e</t>
        </is>
      </c>
      <c r="D305" t="n">
        <v>55.98623</v>
      </c>
      <c r="E305" t="n">
        <v>37.83735</v>
      </c>
      <c r="F305" t="inlineStr"/>
      <c r="G305" t="inlineStr"/>
      <c r="H305" t="inlineStr"/>
    </row>
    <row r="306">
      <c r="A306" t="inlineStr">
        <is>
          <t>f160187e-14d7-4462-b4c2-3ba7ed347971.jpg</t>
        </is>
      </c>
      <c r="B306">
        <f>HYPERLINK("Объекты недвижимости, не соответствующие градостроительным нормам_00-022_Август/f160187e-14d7-4462-b4c2-3ba7ed347971.jpg","open")</f>
        <v/>
      </c>
      <c r="C306" t="inlineStr">
        <is>
          <t>685d9054-b74f-49ab-857b-109fd2cec80d</t>
        </is>
      </c>
      <c r="D306" t="n">
        <v>56.17371</v>
      </c>
      <c r="E306" t="n">
        <v>37.43064</v>
      </c>
      <c r="F306" t="inlineStr"/>
      <c r="G306" t="inlineStr"/>
      <c r="H306" t="inlineStr"/>
    </row>
    <row r="307">
      <c r="A307" t="inlineStr">
        <is>
          <t>0eb007b1-70dc-4d6a-8671-14a523329429.jpg</t>
        </is>
      </c>
      <c r="B307">
        <f>HYPERLINK("Объекты недвижимости, не соответствующие градостроительным нормам_00-022_Август/0eb007b1-70dc-4d6a-8671-14a523329429.jpg","open")</f>
        <v/>
      </c>
      <c r="C307" t="inlineStr">
        <is>
          <t>a1a9db89-3f74-42ef-8fad-ad69705102cd</t>
        </is>
      </c>
      <c r="D307" t="n">
        <v>55.98843</v>
      </c>
      <c r="E307" t="n">
        <v>37.83558</v>
      </c>
      <c r="F307" t="inlineStr"/>
      <c r="G307" t="inlineStr"/>
      <c r="H307" t="inlineStr"/>
    </row>
    <row r="308">
      <c r="A308" t="inlineStr">
        <is>
          <t>073301fa-9601-4dc2-b805-6049b8ffabfd.jpg</t>
        </is>
      </c>
      <c r="B308">
        <f>HYPERLINK("Объекты недвижимости, не соответствующие градостроительным нормам_00-022_Август/073301fa-9601-4dc2-b805-6049b8ffabfd.jpg","open")</f>
        <v/>
      </c>
      <c r="C308" t="inlineStr">
        <is>
          <t>cbf95b01-f708-45a3-9ec0-3603469b538e</t>
        </is>
      </c>
      <c r="D308" t="n">
        <v>55.98843</v>
      </c>
      <c r="E308" t="n">
        <v>37.83558</v>
      </c>
      <c r="F308" t="inlineStr"/>
      <c r="G308" t="inlineStr"/>
      <c r="H308" t="inlineStr"/>
    </row>
    <row r="309">
      <c r="A309" t="inlineStr">
        <is>
          <t>7a02f7a0-614b-4fab-b542-63581d396e19.jpg</t>
        </is>
      </c>
      <c r="B309">
        <f>HYPERLINK("Объекты недвижимости, не соответствующие градостроительным нормам_00-022_Август/7a02f7a0-614b-4fab-b542-63581d396e19.jpg","open")</f>
        <v/>
      </c>
      <c r="C309" t="inlineStr">
        <is>
          <t>cbf95b01-f708-45a3-9ec0-3603469b538e</t>
        </is>
      </c>
      <c r="D309" t="n">
        <v>55.98843</v>
      </c>
      <c r="E309" t="n">
        <v>37.83558</v>
      </c>
      <c r="F309" t="inlineStr"/>
      <c r="G309" t="inlineStr"/>
      <c r="H309" t="inlineStr"/>
    </row>
    <row r="310">
      <c r="A310" t="inlineStr">
        <is>
          <t>813541f6-6bbe-4d6f-bc99-9dcf355a60dc.jpg</t>
        </is>
      </c>
      <c r="B310">
        <f>HYPERLINK("Объекты недвижимости, не соответствующие градостроительным нормам_00-022_Август/813541f6-6bbe-4d6f-bc99-9dcf355a60dc.jpg","open")</f>
        <v/>
      </c>
      <c r="C310" t="inlineStr">
        <is>
          <t>cbf95b01-f708-45a3-9ec0-3603469b538e</t>
        </is>
      </c>
      <c r="D310" t="n">
        <v>55.98843</v>
      </c>
      <c r="E310" t="n">
        <v>37.83558</v>
      </c>
      <c r="F310" t="inlineStr"/>
      <c r="G310" t="inlineStr"/>
      <c r="H310" t="inlineStr"/>
    </row>
    <row r="311">
      <c r="A311" t="inlineStr">
        <is>
          <t>974b68e4-c9e1-4a43-b48a-1d6753015384.jpg</t>
        </is>
      </c>
      <c r="B311">
        <f>HYPERLINK("Объекты недвижимости, не соответствующие градостроительным нормам_00-022_Август/974b68e4-c9e1-4a43-b48a-1d6753015384.jpg","open")</f>
        <v/>
      </c>
      <c r="C311" t="inlineStr">
        <is>
          <t>a1a9db89-3f74-42ef-8fad-ad69705102cd</t>
        </is>
      </c>
      <c r="D311" t="n">
        <v>55.98843</v>
      </c>
      <c r="E311" t="n">
        <v>37.83558</v>
      </c>
      <c r="F311" t="inlineStr"/>
      <c r="G311" t="inlineStr"/>
      <c r="H311" t="inlineStr"/>
    </row>
    <row r="312">
      <c r="A312" t="inlineStr">
        <is>
          <t>a2d0bd2c-d980-4e9a-9ab3-45cfa2b832fc.jpg</t>
        </is>
      </c>
      <c r="B312">
        <f>HYPERLINK("Объекты недвижимости, не соответствующие градостроительным нормам_00-022_Август/a2d0bd2c-d980-4e9a-9ab3-45cfa2b832fc.jpg","open")</f>
        <v/>
      </c>
      <c r="C312" t="inlineStr">
        <is>
          <t>ed2bf0f1-3a66-4913-896e-4420a9796c0b</t>
        </is>
      </c>
      <c r="D312" t="n">
        <v>55.98623</v>
      </c>
      <c r="E312" t="n">
        <v>37.83735</v>
      </c>
      <c r="F312" t="inlineStr"/>
      <c r="G312" t="inlineStr"/>
      <c r="H312" t="inlineStr"/>
    </row>
    <row r="313">
      <c r="A313" t="inlineStr">
        <is>
          <t>b5f89819-e310-4140-8a89-55b93c9814c7.jpg</t>
        </is>
      </c>
      <c r="B313">
        <f>HYPERLINK("Объекты недвижимости, не соответствующие градостроительным нормам_00-022_Август/b5f89819-e310-4140-8a89-55b93c9814c7.jpg","open")</f>
        <v/>
      </c>
      <c r="C313" t="inlineStr">
        <is>
          <t>685d9054-b74f-49ab-857b-109fd2cec80d</t>
        </is>
      </c>
      <c r="D313" t="n">
        <v>56.17435</v>
      </c>
      <c r="E313" t="n">
        <v>37.4322</v>
      </c>
      <c r="F313" t="inlineStr"/>
      <c r="G313" t="inlineStr"/>
      <c r="H313" t="inlineStr"/>
    </row>
    <row r="314">
      <c r="A314" t="inlineStr">
        <is>
          <t>142a07b5-8a5f-48f6-ac20-0c46abe042f9.jpg</t>
        </is>
      </c>
      <c r="B314">
        <f>HYPERLINK("Объекты недвижимости, не соответствующие градостроительным нормам_00-022_Август/142a07b5-8a5f-48f6-ac20-0c46abe042f9.jpg","open")</f>
        <v/>
      </c>
      <c r="C314" t="inlineStr">
        <is>
          <t>a1a9db89-3f74-42ef-8fad-ad69705102cd</t>
        </is>
      </c>
      <c r="D314" t="n">
        <v>56.17642</v>
      </c>
      <c r="E314" t="n">
        <v>37.43167</v>
      </c>
      <c r="F314" t="inlineStr"/>
      <c r="G314" t="inlineStr"/>
      <c r="H314" t="inlineStr"/>
    </row>
    <row r="315">
      <c r="A315" t="inlineStr">
        <is>
          <t>2bb3e6ba-47e4-4802-9523-ca0292a0c45b.jpg</t>
        </is>
      </c>
      <c r="B315">
        <f>HYPERLINK("Объекты недвижимости, не соответствующие градостроительным нормам_00-022_Август/2bb3e6ba-47e4-4802-9523-ca0292a0c45b.jpg","open")</f>
        <v/>
      </c>
      <c r="C315" t="inlineStr">
        <is>
          <t>1a55986c-2c3f-40c0-b3d1-014dce77832e</t>
        </is>
      </c>
      <c r="D315" t="n">
        <v>55.98623</v>
      </c>
      <c r="E315" t="n">
        <v>37.83735</v>
      </c>
      <c r="F315" t="inlineStr"/>
      <c r="G315" t="inlineStr"/>
      <c r="H315" t="inlineStr"/>
    </row>
    <row r="316">
      <c r="A316" t="inlineStr">
        <is>
          <t>c0f4aa5e-61ed-4999-b70b-600553c2f8b1.jpg</t>
        </is>
      </c>
      <c r="B316">
        <f>HYPERLINK("Объекты недвижимости, не соответствующие градостроительным нормам_00-022_Август/c0f4aa5e-61ed-4999-b70b-600553c2f8b1.jpg","open")</f>
        <v/>
      </c>
      <c r="C316" t="inlineStr">
        <is>
          <t>ed2bf0f1-3a66-4913-896e-4420a9796c0b</t>
        </is>
      </c>
      <c r="D316" t="n">
        <v>55.98623</v>
      </c>
      <c r="E316" t="n">
        <v>37.83735</v>
      </c>
      <c r="F316" t="inlineStr"/>
      <c r="G316" t="inlineStr"/>
      <c r="H316" t="inlineStr"/>
    </row>
    <row r="317">
      <c r="A317" t="inlineStr">
        <is>
          <t>049b822d-5d6f-408d-91d8-16aacb035f59.jpg</t>
        </is>
      </c>
      <c r="B317">
        <f>HYPERLINK("Объекты недвижимости, не соответствующие градостроительным нормам_00-022_Август/049b822d-5d6f-408d-91d8-16aacb035f59.jpg","open")</f>
        <v/>
      </c>
      <c r="C317" t="inlineStr">
        <is>
          <t>2181e48f-fa47-41a0-9111-650d196fe00d</t>
        </is>
      </c>
      <c r="D317" t="n">
        <v>56.05699</v>
      </c>
      <c r="E317" t="n">
        <v>37.86549</v>
      </c>
      <c r="F317" t="inlineStr"/>
      <c r="G317" t="inlineStr"/>
      <c r="H317" t="inlineStr"/>
    </row>
    <row r="318">
      <c r="A318" t="inlineStr">
        <is>
          <t>4174e7cd-51dc-4618-838b-f152e5969289.jpg</t>
        </is>
      </c>
      <c r="B318">
        <f>HYPERLINK("Объекты недвижимости, не соответствующие градостроительным нормам_00-022_Август/4174e7cd-51dc-4618-838b-f152e5969289.jpg","open")</f>
        <v/>
      </c>
      <c r="C318" t="inlineStr">
        <is>
          <t>a1a9db89-3f74-42ef-8fad-ad69705102cd</t>
        </is>
      </c>
      <c r="D318" t="n">
        <v>56.17691</v>
      </c>
      <c r="E318" t="n">
        <v>37.4317</v>
      </c>
      <c r="F318" t="inlineStr"/>
      <c r="G318" t="inlineStr"/>
      <c r="H318" t="inlineStr"/>
    </row>
    <row r="319">
      <c r="A319" t="inlineStr">
        <is>
          <t>98008194-07f6-4be8-86d6-9138dfea158c.jpg</t>
        </is>
      </c>
      <c r="B319">
        <f>HYPERLINK("Объекты недвижимости, не соответствующие градостроительным нормам_00-022_Август/98008194-07f6-4be8-86d6-9138dfea158c.jpg","open")</f>
        <v/>
      </c>
      <c r="C319" t="inlineStr">
        <is>
          <t>cbf95b01-f708-45a3-9ec0-3603469b538e</t>
        </is>
      </c>
      <c r="D319" t="n">
        <v>56.17736</v>
      </c>
      <c r="E319" t="n">
        <v>37.4317</v>
      </c>
      <c r="F319" t="inlineStr"/>
      <c r="G319" t="inlineStr"/>
      <c r="H319" t="inlineStr"/>
    </row>
    <row r="320">
      <c r="A320" t="inlineStr">
        <is>
          <t>3eb68205-fc82-4df7-8cd6-6eb2b7dbe062.jpg</t>
        </is>
      </c>
      <c r="B320">
        <f>HYPERLINK("Объекты недвижимости, не соответствующие градостроительным нормам_00-022_Август/3eb68205-fc82-4df7-8cd6-6eb2b7dbe062.jpg","open")</f>
        <v/>
      </c>
      <c r="C320" t="inlineStr">
        <is>
          <t>1231bbc5-e64c-4dc7-9acc-77710f47607a</t>
        </is>
      </c>
      <c r="D320" t="n">
        <v>56.17731</v>
      </c>
      <c r="E320" t="n">
        <v>37.43219</v>
      </c>
      <c r="F320" t="inlineStr"/>
      <c r="G320" t="inlineStr"/>
      <c r="H320" t="inlineStr"/>
    </row>
    <row r="321">
      <c r="A321" t="inlineStr">
        <is>
          <t>bbf847d4-0edb-4ab3-a2ce-3ec4897e3361.jpg</t>
        </is>
      </c>
      <c r="B321">
        <f>HYPERLINK("Объекты недвижимости, не соответствующие градостроительным нормам_00-022_Август/bbf847d4-0edb-4ab3-a2ce-3ec4897e3361.jpg","open")</f>
        <v/>
      </c>
      <c r="C321" t="inlineStr">
        <is>
          <t>1a55986c-2c3f-40c0-b3d1-014dce77832e</t>
        </is>
      </c>
      <c r="D321" t="n">
        <v>55.98623</v>
      </c>
      <c r="E321" t="n">
        <v>37.83735</v>
      </c>
      <c r="F321" t="inlineStr"/>
      <c r="G321" t="inlineStr"/>
      <c r="H321" t="inlineStr"/>
    </row>
    <row r="322">
      <c r="A322" t="inlineStr">
        <is>
          <t>57d31481-cfe7-44b4-b3c0-90bf6f2290da.jpg</t>
        </is>
      </c>
      <c r="B322">
        <f>HYPERLINK("Объекты недвижимости, не соответствующие градостроительным нормам_00-022_Август/57d31481-cfe7-44b4-b3c0-90bf6f2290da.jpg","open")</f>
        <v/>
      </c>
      <c r="C322" t="inlineStr">
        <is>
          <t>ed2bf0f1-3a66-4913-896e-4420a9796c0b</t>
        </is>
      </c>
      <c r="D322" t="n">
        <v>55.98623</v>
      </c>
      <c r="E322" t="n">
        <v>37.83735</v>
      </c>
      <c r="F322" t="inlineStr"/>
      <c r="G322" t="inlineStr"/>
      <c r="H322" t="inlineStr"/>
    </row>
    <row r="323">
      <c r="A323" t="inlineStr">
        <is>
          <t>ba95e1f1-69d1-4ece-8992-8fa36b33f5f2.jpg</t>
        </is>
      </c>
      <c r="B323">
        <f>HYPERLINK("Объекты недвижимости, не соответствующие градостроительным нормам_00-022_Август/ba95e1f1-69d1-4ece-8992-8fa36b33f5f2.jpg","open")</f>
        <v/>
      </c>
      <c r="C323" t="inlineStr">
        <is>
          <t>12e795ad-2aa7-49de-b2da-2c6aa35a4559</t>
        </is>
      </c>
      <c r="D323" t="n">
        <v>55.53791</v>
      </c>
      <c r="E323" t="n">
        <v>37.53122</v>
      </c>
      <c r="F323" t="inlineStr"/>
      <c r="G323" t="inlineStr"/>
      <c r="H323" t="inlineStr"/>
    </row>
    <row r="324">
      <c r="A324" t="inlineStr">
        <is>
          <t>2529c844-d7e5-4b76-b32d-0ffc4b09a41b.jpg</t>
        </is>
      </c>
      <c r="B324">
        <f>HYPERLINK("Объекты недвижимости, не соответствующие градостроительным нормам_00-022_Август/2529c844-d7e5-4b76-b32d-0ffc4b09a41b.jpg","open")</f>
        <v/>
      </c>
      <c r="C324" t="inlineStr">
        <is>
          <t>685d9054-b74f-49ab-857b-109fd2cec80d</t>
        </is>
      </c>
      <c r="D324" t="n">
        <v>56.17934</v>
      </c>
      <c r="E324" t="n">
        <v>37.43335</v>
      </c>
      <c r="F324" t="inlineStr"/>
      <c r="G324" t="inlineStr"/>
      <c r="H324" t="inlineStr"/>
    </row>
    <row r="325">
      <c r="A325" t="inlineStr">
        <is>
          <t>e9e1d161-1d4f-4e92-9ef9-97c640e31729.jpg</t>
        </is>
      </c>
      <c r="B325">
        <f>HYPERLINK("Объекты недвижимости, не соответствующие градостроительным нормам_00-022_Август/e9e1d161-1d4f-4e92-9ef9-97c640e31729.jpg","open")</f>
        <v/>
      </c>
      <c r="C325" t="inlineStr">
        <is>
          <t>ed2bf0f1-3a66-4913-896e-4420a9796c0b</t>
        </is>
      </c>
      <c r="D325" t="n">
        <v>55.98623</v>
      </c>
      <c r="E325" t="n">
        <v>37.83735</v>
      </c>
      <c r="F325" t="inlineStr"/>
      <c r="G325" t="inlineStr"/>
      <c r="H325" t="inlineStr"/>
    </row>
    <row r="326">
      <c r="A326" t="inlineStr">
        <is>
          <t>aba6c080-c807-4c64-bfb6-cdff436dfcbc.jpg</t>
        </is>
      </c>
      <c r="B326">
        <f>HYPERLINK("Объекты недвижимости, не соответствующие градостроительным нормам_00-022_Август/aba6c080-c807-4c64-bfb6-cdff436dfcbc.jpg","open")</f>
        <v/>
      </c>
      <c r="C326" t="inlineStr">
        <is>
          <t>a1a9db89-3f74-42ef-8fad-ad69705102cd</t>
        </is>
      </c>
      <c r="D326" t="n">
        <v>56.17952</v>
      </c>
      <c r="E326" t="n">
        <v>37.43848</v>
      </c>
      <c r="F326" t="inlineStr"/>
      <c r="G326" t="inlineStr"/>
      <c r="H326" t="inlineStr"/>
    </row>
    <row r="327">
      <c r="A327" t="inlineStr">
        <is>
          <t>5613186d-85cd-44dc-a910-ced214accd0f.jpg</t>
        </is>
      </c>
      <c r="B327">
        <f>HYPERLINK("Объекты недвижимости, не соответствующие градостроительным нормам_00-022_Август/5613186d-85cd-44dc-a910-ced214accd0f.jpg","open")</f>
        <v/>
      </c>
      <c r="C327" t="inlineStr">
        <is>
          <t>cbf95b01-f708-45a3-9ec0-3603469b538e</t>
        </is>
      </c>
      <c r="D327" t="n">
        <v>56.17573</v>
      </c>
      <c r="E327" t="n">
        <v>37.43626</v>
      </c>
      <c r="F327" t="inlineStr"/>
      <c r="G327" t="inlineStr"/>
      <c r="H327" t="inlineStr"/>
    </row>
    <row r="328">
      <c r="A328" t="inlineStr">
        <is>
          <t>43e50d0e-98ce-4888-8922-3ca35e976493.jpg</t>
        </is>
      </c>
      <c r="B328">
        <f>HYPERLINK("Объекты недвижимости, не соответствующие градостроительным нормам_00-022_Август/43e50d0e-98ce-4888-8922-3ca35e976493.jpg","open")</f>
        <v/>
      </c>
      <c r="C328" t="inlineStr">
        <is>
          <t>1231bbc5-e64c-4dc7-9acc-77710f47607a</t>
        </is>
      </c>
      <c r="D328" t="n">
        <v>56.17889</v>
      </c>
      <c r="E328" t="n">
        <v>37.4298</v>
      </c>
      <c r="F328" t="inlineStr"/>
      <c r="G328" t="inlineStr"/>
      <c r="H328" t="inlineStr"/>
    </row>
    <row r="329">
      <c r="A329" t="inlineStr">
        <is>
          <t>352b2ab6-b996-4c94-ae18-6cbef2bbc2d3.jpg</t>
        </is>
      </c>
      <c r="B329">
        <f>HYPERLINK("Объекты недвижимости, не соответствующие градостроительным нормам_00-022_Август/352b2ab6-b996-4c94-ae18-6cbef2bbc2d3.jpg","open")</f>
        <v/>
      </c>
      <c r="C329" t="inlineStr">
        <is>
          <t>fce890a6-27da-4062-a046-08262a160ee6</t>
        </is>
      </c>
      <c r="D329" t="n">
        <v>55.98433</v>
      </c>
      <c r="E329" t="n">
        <v>37.42153</v>
      </c>
      <c r="F329" t="inlineStr"/>
      <c r="G329" t="inlineStr"/>
      <c r="H329" t="inlineStr"/>
    </row>
    <row r="330">
      <c r="A330" t="inlineStr">
        <is>
          <t>5b38e81f-6c8c-4bb5-91d9-75b58a31d349.jpg</t>
        </is>
      </c>
      <c r="B330">
        <f>HYPERLINK("Объекты недвижимости, не соответствующие градостроительным нормам_00-022_Август/5b38e81f-6c8c-4bb5-91d9-75b58a31d349.jpg","open")</f>
        <v/>
      </c>
      <c r="C330" t="inlineStr">
        <is>
          <t>a1a9db89-3f74-42ef-8fad-ad69705102cd</t>
        </is>
      </c>
      <c r="D330" t="n">
        <v>56.17537</v>
      </c>
      <c r="E330" t="n">
        <v>37.43338</v>
      </c>
      <c r="F330" t="inlineStr"/>
      <c r="G330" t="inlineStr"/>
      <c r="H330" t="inlineStr"/>
    </row>
    <row r="331">
      <c r="A331" t="inlineStr">
        <is>
          <t>c49b4703-51b8-4685-8427-f49dcabce38a.jpg</t>
        </is>
      </c>
      <c r="B331">
        <f>HYPERLINK("Объекты недвижимости, не соответствующие градостроительным нормам_00-022_Август/c49b4703-51b8-4685-8427-f49dcabce38a.jpg","open")</f>
        <v/>
      </c>
      <c r="C331" t="inlineStr">
        <is>
          <t>cbf95b01-f708-45a3-9ec0-3603469b538e</t>
        </is>
      </c>
      <c r="D331" t="n">
        <v>56.17538</v>
      </c>
      <c r="E331" t="n">
        <v>37.43335</v>
      </c>
      <c r="F331" t="inlineStr"/>
      <c r="G331" t="inlineStr"/>
      <c r="H331" t="inlineStr"/>
    </row>
    <row r="332">
      <c r="A332" t="inlineStr">
        <is>
          <t>29988f13-11fb-46f5-83f1-9bc78279a917.jpg</t>
        </is>
      </c>
      <c r="B332">
        <f>HYPERLINK("Объекты недвижимости, не соответствующие градостроительным нормам_00-022_Август/29988f13-11fb-46f5-83f1-9bc78279a917.jpg","open")</f>
        <v/>
      </c>
      <c r="C332" t="inlineStr">
        <is>
          <t>cbf95b01-f708-45a3-9ec0-3603469b538e</t>
        </is>
      </c>
      <c r="D332" t="n">
        <v>56.17519</v>
      </c>
      <c r="E332" t="n">
        <v>37.43115</v>
      </c>
      <c r="F332" t="inlineStr"/>
      <c r="G332" t="inlineStr"/>
      <c r="H332" t="inlineStr"/>
    </row>
    <row r="333">
      <c r="A333" t="inlineStr">
        <is>
          <t>9495db61-7e87-4842-972e-886f1189c88d.jpg</t>
        </is>
      </c>
      <c r="B333">
        <f>HYPERLINK("Объекты недвижимости, не соответствующие градостроительным нормам_00-022_Август/9495db61-7e87-4842-972e-886f1189c88d.jpg","open")</f>
        <v/>
      </c>
      <c r="C333" t="inlineStr">
        <is>
          <t>936502dd-24a4-4256-9fdf-0d8fb72af3ed</t>
        </is>
      </c>
      <c r="D333" t="n">
        <v>55.7527</v>
      </c>
      <c r="E333" t="n">
        <v>37.64371</v>
      </c>
      <c r="F333" t="inlineStr"/>
      <c r="G333" t="inlineStr"/>
      <c r="H333" t="inlineStr"/>
    </row>
    <row r="334">
      <c r="A334" t="inlineStr">
        <is>
          <t>469372a0-902e-4d9d-bc15-975190c4897d.jpg</t>
        </is>
      </c>
      <c r="B334">
        <f>HYPERLINK("Объекты недвижимости, не соответствующие градостроительным нормам_00-022_Август/469372a0-902e-4d9d-bc15-975190c4897d.jpg","open")</f>
        <v/>
      </c>
      <c r="C334" t="inlineStr">
        <is>
          <t>030e8755-17c1-44eb-9530-707d0d3121cb</t>
        </is>
      </c>
      <c r="D334" t="n">
        <v>55.75207</v>
      </c>
      <c r="E334" t="n">
        <v>37.64324</v>
      </c>
      <c r="F334" t="inlineStr"/>
      <c r="G334" t="inlineStr"/>
      <c r="H334" t="inlineStr"/>
    </row>
    <row r="335">
      <c r="A335" t="inlineStr">
        <is>
          <t>c3861693-b83f-4923-9813-85c803e14c10.jpg</t>
        </is>
      </c>
      <c r="B335">
        <f>HYPERLINK("Объекты недвижимости, не соответствующие градостроительным нормам_00-022_Август/c3861693-b83f-4923-9813-85c803e14c10.jpg","open")</f>
        <v/>
      </c>
      <c r="C335" t="inlineStr">
        <is>
          <t>0dd30d74-4dbc-46a8-b638-91e1431bb398</t>
        </is>
      </c>
      <c r="D335" t="n">
        <v>55.67893</v>
      </c>
      <c r="E335" t="n">
        <v>37.667</v>
      </c>
      <c r="F335" t="inlineStr"/>
      <c r="G335" t="inlineStr"/>
      <c r="H335" t="inlineStr"/>
    </row>
    <row r="336">
      <c r="A336" t="inlineStr">
        <is>
          <t>264b9120-ee72-4db6-a671-6f63a4c7ec75.jpg</t>
        </is>
      </c>
      <c r="B336">
        <f>HYPERLINK("Объекты недвижимости, не соответствующие градостроительным нормам_00-022_Август/264b9120-ee72-4db6-a671-6f63a4c7ec75.jpg","open")</f>
        <v/>
      </c>
      <c r="C336" t="inlineStr">
        <is>
          <t>cbf95b01-f708-45a3-9ec0-3603469b538e</t>
        </is>
      </c>
      <c r="D336" t="n">
        <v>56.17521</v>
      </c>
      <c r="E336" t="n">
        <v>37.43113</v>
      </c>
      <c r="F336" t="inlineStr"/>
      <c r="G336" t="inlineStr"/>
      <c r="H336" t="inlineStr"/>
    </row>
    <row r="337">
      <c r="A337" t="inlineStr">
        <is>
          <t>8da473b3-620d-4647-9827-285b6be9d41b.jpg</t>
        </is>
      </c>
      <c r="B337">
        <f>HYPERLINK("Объекты недвижимости, не соответствующие градостроительным нормам_00-022_Август/8da473b3-620d-4647-9827-285b6be9d41b.jpg","open")</f>
        <v/>
      </c>
      <c r="C337" t="inlineStr">
        <is>
          <t>8cde1fd0-eca1-4510-86ab-3c743b65fdfc</t>
        </is>
      </c>
      <c r="D337" t="n">
        <v>55.72727</v>
      </c>
      <c r="E337" t="n">
        <v>37.73234</v>
      </c>
      <c r="F337" t="inlineStr"/>
      <c r="G337" t="inlineStr"/>
      <c r="H337" t="inlineStr"/>
    </row>
    <row r="338">
      <c r="A338" t="inlineStr">
        <is>
          <t>64680ba9-833b-4061-99a9-5ac7ac93b680.jpg</t>
        </is>
      </c>
      <c r="B338">
        <f>HYPERLINK("Объекты недвижимости, не соответствующие градостроительным нормам_00-022_Август/64680ba9-833b-4061-99a9-5ac7ac93b680.jpg","open")</f>
        <v/>
      </c>
      <c r="C338" t="inlineStr">
        <is>
          <t>93848fc8-17e7-4748-9ebc-c7e379e11d2f</t>
        </is>
      </c>
      <c r="D338" t="n">
        <v>55.67889</v>
      </c>
      <c r="E338" t="n">
        <v>37.66681</v>
      </c>
      <c r="F338" t="inlineStr"/>
      <c r="G338" t="inlineStr"/>
      <c r="H338" t="inlineStr"/>
    </row>
    <row r="339">
      <c r="A339" t="inlineStr">
        <is>
          <t>b3cc23a3-642b-4036-b263-12eb9d8ff573.jpg</t>
        </is>
      </c>
      <c r="B339">
        <f>HYPERLINK("Объекты недвижимости, не соответствующие градостроительным нормам_00-022_Август/b3cc23a3-642b-4036-b263-12eb9d8ff573.jpg","open")</f>
        <v/>
      </c>
      <c r="C339" t="inlineStr">
        <is>
          <t>fce890a6-27da-4062-a046-08262a160ee6</t>
        </is>
      </c>
      <c r="D339" t="n">
        <v>55.98433</v>
      </c>
      <c r="E339" t="n">
        <v>37.42153</v>
      </c>
      <c r="F339" t="inlineStr"/>
      <c r="G339" t="inlineStr"/>
      <c r="H339" t="inlineStr"/>
    </row>
    <row r="340">
      <c r="A340" t="inlineStr">
        <is>
          <t>50c1a583-8261-4aa5-a758-27313d8cac84.jpg</t>
        </is>
      </c>
      <c r="B340">
        <f>HYPERLINK("Объекты недвижимости, не соответствующие градостроительным нормам_00-022_Август/50c1a583-8261-4aa5-a758-27313d8cac84.jpg","open")</f>
        <v/>
      </c>
      <c r="C340" t="inlineStr">
        <is>
          <t>cbf95b01-f708-45a3-9ec0-3603469b538e</t>
        </is>
      </c>
      <c r="D340" t="n">
        <v>56.17586</v>
      </c>
      <c r="E340" t="n">
        <v>37.42693</v>
      </c>
      <c r="F340" t="inlineStr"/>
      <c r="G340" t="inlineStr"/>
      <c r="H340" t="inlineStr"/>
    </row>
    <row r="341">
      <c r="A341" t="inlineStr">
        <is>
          <t>2191e800-b53a-4009-bf26-20c2737c7b0f.jpg</t>
        </is>
      </c>
      <c r="B341">
        <f>HYPERLINK("Объекты недвижимости, не соответствующие градостроительным нормам_00-022_Август/2191e800-b53a-4009-bf26-20c2737c7b0f.jpg","open")</f>
        <v/>
      </c>
      <c r="C341" t="inlineStr">
        <is>
          <t>cbf95b01-f708-45a3-9ec0-3603469b538e</t>
        </is>
      </c>
      <c r="D341" t="n">
        <v>56.17586</v>
      </c>
      <c r="E341" t="n">
        <v>37.42693</v>
      </c>
      <c r="F341" t="inlineStr"/>
      <c r="G341" t="inlineStr"/>
      <c r="H341" t="inlineStr"/>
    </row>
    <row r="342">
      <c r="A342" t="inlineStr">
        <is>
          <t>7fc7ec82-d50a-4915-9f37-e8202efcea47.jpg</t>
        </is>
      </c>
      <c r="B342">
        <f>HYPERLINK("Объекты недвижимости, не соответствующие градостроительным нормам_00-022_Август/7fc7ec82-d50a-4915-9f37-e8202efcea47.jpg","open")</f>
        <v/>
      </c>
      <c r="C342" t="inlineStr">
        <is>
          <t>cbf95b01-f708-45a3-9ec0-3603469b538e</t>
        </is>
      </c>
      <c r="D342" t="n">
        <v>56.17586</v>
      </c>
      <c r="E342" t="n">
        <v>37.42693</v>
      </c>
      <c r="F342" t="inlineStr"/>
      <c r="G342" t="inlineStr"/>
      <c r="H342" t="inlineStr"/>
    </row>
    <row r="343">
      <c r="A343" t="inlineStr">
        <is>
          <t>4851ad79-80e8-4c54-8fe6-d18dea78bdde.jpg</t>
        </is>
      </c>
      <c r="B343">
        <f>HYPERLINK("Объекты недвижимости, не соответствующие градостроительным нормам_00-022_Август/4851ad79-80e8-4c54-8fe6-d18dea78bdde.jpg","open")</f>
        <v/>
      </c>
      <c r="C343" t="inlineStr">
        <is>
          <t>036c664f-5408-4fd0-b479-342c00468eeb</t>
        </is>
      </c>
      <c r="D343" t="n">
        <v>55.65786</v>
      </c>
      <c r="E343" t="n">
        <v>37.41344</v>
      </c>
      <c r="F343" t="inlineStr"/>
      <c r="G343" t="inlineStr"/>
      <c r="H343" t="inlineStr"/>
    </row>
    <row r="344">
      <c r="A344" t="inlineStr">
        <is>
          <t>a0361f61-e632-4f55-9b6e-a4c0f8728a78.jpg</t>
        </is>
      </c>
      <c r="B344">
        <f>HYPERLINK("Объекты недвижимости, не соответствующие градостроительным нормам_00-022_Август/a0361f61-e632-4f55-9b6e-a4c0f8728a78.jpg","open")</f>
        <v/>
      </c>
      <c r="C344" t="inlineStr">
        <is>
          <t>cbf95b01-f708-45a3-9ec0-3603469b538e</t>
        </is>
      </c>
      <c r="D344" t="n">
        <v>56.17586</v>
      </c>
      <c r="E344" t="n">
        <v>37.42693</v>
      </c>
      <c r="F344" t="inlineStr"/>
      <c r="G344" t="inlineStr"/>
      <c r="H344" t="inlineStr"/>
    </row>
    <row r="345">
      <c r="A345" t="inlineStr">
        <is>
          <t>215cd7a6-096f-4f1f-9641-2509f567959e.jpg</t>
        </is>
      </c>
      <c r="B345">
        <f>HYPERLINK("Объекты недвижимости, не соответствующие градостроительным нормам_00-022_Август/215cd7a6-096f-4f1f-9641-2509f567959e.jpg","open")</f>
        <v/>
      </c>
      <c r="C345" t="inlineStr">
        <is>
          <t>cbf95b01-f708-45a3-9ec0-3603469b538e</t>
        </is>
      </c>
      <c r="D345" t="n">
        <v>56.17586</v>
      </c>
      <c r="E345" t="n">
        <v>37.42693</v>
      </c>
      <c r="F345" t="inlineStr"/>
      <c r="G345" t="inlineStr"/>
      <c r="H345" t="inlineStr"/>
    </row>
    <row r="346">
      <c r="A346" t="inlineStr">
        <is>
          <t>4e123850-d16a-4159-a98b-568e65a0b083.jpg</t>
        </is>
      </c>
      <c r="B346">
        <f>HYPERLINK("Объекты недвижимости, не соответствующие градостроительным нормам_00-022_Август/4e123850-d16a-4159-a98b-568e65a0b083.jpg","open")</f>
        <v/>
      </c>
      <c r="C346" t="inlineStr">
        <is>
          <t>a1a9db89-3f74-42ef-8fad-ad69705102cd</t>
        </is>
      </c>
      <c r="D346" t="n">
        <v>56.17586</v>
      </c>
      <c r="E346" t="n">
        <v>37.42693</v>
      </c>
      <c r="F346" t="inlineStr"/>
      <c r="G346" t="inlineStr"/>
      <c r="H346" t="inlineStr"/>
    </row>
    <row r="347">
      <c r="A347" t="inlineStr">
        <is>
          <t>5cb0f710-82d0-4dc4-8b9e-fff8b34f0674.jpg</t>
        </is>
      </c>
      <c r="B347">
        <f>HYPERLINK("Объекты недвижимости, не соответствующие градостроительным нормам_00-022_Август/5cb0f710-82d0-4dc4-8b9e-fff8b34f0674.jpg","open")</f>
        <v/>
      </c>
      <c r="C347" t="inlineStr">
        <is>
          <t>cbf95b01-f708-45a3-9ec0-3603469b538e</t>
        </is>
      </c>
      <c r="D347" t="n">
        <v>56.17586</v>
      </c>
      <c r="E347" t="n">
        <v>37.42693</v>
      </c>
      <c r="F347" t="inlineStr"/>
      <c r="G347" t="inlineStr"/>
      <c r="H347" t="inlineStr"/>
    </row>
    <row r="348">
      <c r="A348" t="inlineStr">
        <is>
          <t>e26a4235-cb01-4dd9-91e5-4829a8333dbe.jpg</t>
        </is>
      </c>
      <c r="B348">
        <f>HYPERLINK("Объекты недвижимости, не соответствующие градостроительным нормам_00-022_Август/e26a4235-cb01-4dd9-91e5-4829a8333dbe.jpg","open")</f>
        <v/>
      </c>
      <c r="C348" t="inlineStr">
        <is>
          <t>a1a9db89-3f74-42ef-8fad-ad69705102cd</t>
        </is>
      </c>
      <c r="D348" t="n">
        <v>56.17586</v>
      </c>
      <c r="E348" t="n">
        <v>37.42693</v>
      </c>
      <c r="F348" t="inlineStr"/>
      <c r="G348" t="inlineStr"/>
      <c r="H348" t="inlineStr"/>
    </row>
    <row r="349">
      <c r="A349" t="inlineStr">
        <is>
          <t>86a25a73-0cfc-4b36-bfa5-3957805df999.jpg</t>
        </is>
      </c>
      <c r="B349">
        <f>HYPERLINK("Объекты недвижимости, не соответствующие градостроительным нормам_00-022_Август/86a25a73-0cfc-4b36-bfa5-3957805df999.jpg","open")</f>
        <v/>
      </c>
      <c r="C349" t="inlineStr">
        <is>
          <t>685d9054-b74f-49ab-857b-109fd2cec80d</t>
        </is>
      </c>
      <c r="D349" t="n">
        <v>56.17889</v>
      </c>
      <c r="E349" t="n">
        <v>37.42435</v>
      </c>
      <c r="F349" t="inlineStr"/>
      <c r="G349" t="inlineStr"/>
      <c r="H349" t="inlineStr"/>
    </row>
    <row r="350">
      <c r="A350" t="inlineStr">
        <is>
          <t>13561f9b-6ccb-418f-8e15-54c1a8ca3028.jpg</t>
        </is>
      </c>
      <c r="B350">
        <f>HYPERLINK("Объекты недвижимости, не соответствующие градостроительным нормам_00-022_Август/13561f9b-6ccb-418f-8e15-54c1a8ca3028.jpg","open")</f>
        <v/>
      </c>
      <c r="C350" t="inlineStr">
        <is>
          <t>036c664f-5408-4fd0-b479-342c00468eeb</t>
        </is>
      </c>
      <c r="D350" t="n">
        <v>55.65786</v>
      </c>
      <c r="E350" t="n">
        <v>37.42057</v>
      </c>
      <c r="F350" t="inlineStr"/>
      <c r="G350" t="inlineStr"/>
      <c r="H350" t="inlineStr"/>
    </row>
    <row r="351">
      <c r="A351" t="inlineStr">
        <is>
          <t>4bd884a6-0264-4bf5-8880-e954c128d454.jpg</t>
        </is>
      </c>
      <c r="B351">
        <f>HYPERLINK("Объекты недвижимости, не соответствующие градостроительным нормам_00-022_Август/4bd884a6-0264-4bf5-8880-e954c128d454.jpg","open")</f>
        <v/>
      </c>
      <c r="C351" t="inlineStr">
        <is>
          <t>a1a9db89-3f74-42ef-8fad-ad69705102cd</t>
        </is>
      </c>
      <c r="D351" t="n">
        <v>56.17586</v>
      </c>
      <c r="E351" t="n">
        <v>37.42693</v>
      </c>
      <c r="F351" t="inlineStr"/>
      <c r="G351" t="inlineStr"/>
      <c r="H351" t="inlineStr"/>
    </row>
    <row r="352">
      <c r="A352" t="inlineStr">
        <is>
          <t>6b317dcb-f09b-41a8-8df8-efb1d0a8d27b.jpg</t>
        </is>
      </c>
      <c r="B352">
        <f>HYPERLINK("Объекты недвижимости, не соответствующие градостроительным нормам_00-022_Август/6b317dcb-f09b-41a8-8df8-efb1d0a8d27b.jpg","open")</f>
        <v/>
      </c>
      <c r="C352" t="inlineStr">
        <is>
          <t>1231bbc5-e64c-4dc7-9acc-77710f47607a</t>
        </is>
      </c>
      <c r="D352" t="n">
        <v>56.17889</v>
      </c>
      <c r="E352" t="n">
        <v>37.42435</v>
      </c>
      <c r="F352" t="inlineStr"/>
      <c r="G352" t="inlineStr"/>
      <c r="H352" t="inlineStr"/>
    </row>
    <row r="353">
      <c r="A353" t="inlineStr">
        <is>
          <t>f3b0ebf7-6917-4e2c-b5b3-aeedff1fd9c6.jpg</t>
        </is>
      </c>
      <c r="B353">
        <f>HYPERLINK("Объекты недвижимости, не соответствующие градостроительным нормам_00-022_Август/f3b0ebf7-6917-4e2c-b5b3-aeedff1fd9c6.jpg","open")</f>
        <v/>
      </c>
      <c r="C353" t="inlineStr">
        <is>
          <t>936502dd-24a4-4256-9fdf-0d8fb72af3ed</t>
        </is>
      </c>
      <c r="D353" t="n">
        <v>55.70311</v>
      </c>
      <c r="E353" t="n">
        <v>37.59551</v>
      </c>
      <c r="F353" t="inlineStr"/>
      <c r="G353" t="inlineStr"/>
      <c r="H353" t="inlineStr"/>
    </row>
    <row r="354">
      <c r="A354" t="inlineStr">
        <is>
          <t>7738a6bc-b6ed-42df-a7b8-affedcb4a675.jpg</t>
        </is>
      </c>
      <c r="B354">
        <f>HYPERLINK("Объекты недвижимости, не соответствующие градостроительным нормам_00-022_Август/7738a6bc-b6ed-42df-a7b8-affedcb4a675.jpg","open")</f>
        <v/>
      </c>
      <c r="C354" t="inlineStr">
        <is>
          <t>1c951e11-4940-43c6-a447-394097e5609a</t>
        </is>
      </c>
      <c r="D354" t="n">
        <v>55.72615</v>
      </c>
      <c r="E354" t="n">
        <v>37.73748</v>
      </c>
      <c r="F354" t="inlineStr"/>
      <c r="G354" t="inlineStr"/>
      <c r="H354" t="inlineStr"/>
    </row>
    <row r="355">
      <c r="A355" t="inlineStr">
        <is>
          <t>93499508-b95f-49c5-94a1-456803461a5e.jpg</t>
        </is>
      </c>
      <c r="B355">
        <f>HYPERLINK("Объекты недвижимости, не соответствующие градостроительным нормам_00-022_Август/93499508-b95f-49c5-94a1-456803461a5e.jpg","open")</f>
        <v/>
      </c>
      <c r="C355" t="inlineStr">
        <is>
          <t>1231bbc5-e64c-4dc7-9acc-77710f47607a</t>
        </is>
      </c>
      <c r="D355" t="n">
        <v>56.17889</v>
      </c>
      <c r="E355" t="n">
        <v>37.42435</v>
      </c>
      <c r="F355" t="inlineStr"/>
      <c r="G355" t="inlineStr"/>
      <c r="H355" t="inlineStr"/>
    </row>
    <row r="356">
      <c r="A356" t="inlineStr">
        <is>
          <t>15021c2a-6158-46da-a753-77217392a438.jpg</t>
        </is>
      </c>
      <c r="B356">
        <f>HYPERLINK("Объекты недвижимости, не соответствующие градостроительным нормам_00-022_Август/15021c2a-6158-46da-a753-77217392a438.jpg","open")</f>
        <v/>
      </c>
      <c r="C356" t="inlineStr">
        <is>
          <t>685d9054-b74f-49ab-857b-109fd2cec80d</t>
        </is>
      </c>
      <c r="D356" t="n">
        <v>56.17889</v>
      </c>
      <c r="E356" t="n">
        <v>37.42435</v>
      </c>
      <c r="F356" t="inlineStr"/>
      <c r="G356" t="inlineStr"/>
      <c r="H356" t="inlineStr"/>
    </row>
    <row r="357">
      <c r="A357" t="inlineStr">
        <is>
          <t>5d37237b-8029-4e24-b26e-9815d00074ea.jpg</t>
        </is>
      </c>
      <c r="B357">
        <f>HYPERLINK("Объекты недвижимости, не соответствующие градостроительным нормам_00-022_Август/5d37237b-8029-4e24-b26e-9815d00074ea.jpg","open")</f>
        <v/>
      </c>
      <c r="C357" t="inlineStr">
        <is>
          <t>9f88688f-4c81-42a8-b76a-3c3e7edf869e</t>
        </is>
      </c>
      <c r="D357" t="n">
        <v>55.78229</v>
      </c>
      <c r="E357" t="n">
        <v>37.67104</v>
      </c>
      <c r="F357" t="inlineStr"/>
      <c r="G357" t="inlineStr"/>
      <c r="H357" t="inlineStr"/>
    </row>
    <row r="358">
      <c r="A358" t="inlineStr">
        <is>
          <t>cc2b012c-39cb-4be6-8275-31182336c19b.jpg</t>
        </is>
      </c>
      <c r="B358">
        <f>HYPERLINK("Объекты недвижимости, не соответствующие градостроительным нормам_00-022_Август/cc2b012c-39cb-4be6-8275-31182336c19b.jpg","open")</f>
        <v/>
      </c>
      <c r="C358" t="inlineStr">
        <is>
          <t>ed2bf0f1-3a66-4913-896e-4420a9796c0b</t>
        </is>
      </c>
      <c r="D358" t="n">
        <v>56.17795</v>
      </c>
      <c r="E358" t="n">
        <v>37.42515</v>
      </c>
      <c r="F358" t="inlineStr"/>
      <c r="G358" t="inlineStr"/>
      <c r="H358" t="inlineStr"/>
    </row>
    <row r="359">
      <c r="A359" t="inlineStr">
        <is>
          <t>205e1b45-a1fb-42d2-b71b-632ce187d4af.jpg</t>
        </is>
      </c>
      <c r="B359">
        <f>HYPERLINK("Объекты недвижимости, не соответствующие градостроительным нормам_00-022_Август/205e1b45-a1fb-42d2-b71b-632ce187d4af.jpg","open")</f>
        <v/>
      </c>
      <c r="C359" t="inlineStr">
        <is>
          <t>1c951e11-4940-43c6-a447-394097e5609a</t>
        </is>
      </c>
      <c r="D359" t="n">
        <v>55.72622</v>
      </c>
      <c r="E359" t="n">
        <v>37.74117</v>
      </c>
      <c r="F359" t="inlineStr"/>
      <c r="G359" t="inlineStr"/>
      <c r="H359" t="inlineStr"/>
    </row>
    <row r="360">
      <c r="A360" t="inlineStr">
        <is>
          <t>3092a244-8206-412f-abed-7cfd1a8f47c7.jpg</t>
        </is>
      </c>
      <c r="B360">
        <f>HYPERLINK("Объекты недвижимости, не соответствующие градостроительным нормам_00-022_Август/3092a244-8206-412f-abed-7cfd1a8f47c7.jpg","open")</f>
        <v/>
      </c>
      <c r="C360" t="inlineStr">
        <is>
          <t>8cde1fd0-eca1-4510-86ab-3c743b65fdfc</t>
        </is>
      </c>
      <c r="D360" t="n">
        <v>55.7262</v>
      </c>
      <c r="E360" t="n">
        <v>37.74108</v>
      </c>
      <c r="F360" t="inlineStr"/>
      <c r="G360" t="inlineStr"/>
      <c r="H360" t="inlineStr"/>
    </row>
    <row r="361">
      <c r="A361" t="inlineStr">
        <is>
          <t>c5d0513c-155f-4200-85f0-54e8142ca47b.jpg</t>
        </is>
      </c>
      <c r="B361">
        <f>HYPERLINK("Объекты недвижимости, не соответствующие градостроительным нормам_00-022_Август/c5d0513c-155f-4200-85f0-54e8142ca47b.jpg","open")</f>
        <v/>
      </c>
      <c r="C361" t="inlineStr">
        <is>
          <t>1c951e11-4940-43c6-a447-394097e5609a</t>
        </is>
      </c>
      <c r="D361" t="n">
        <v>55.72606</v>
      </c>
      <c r="E361" t="n">
        <v>37.74004</v>
      </c>
      <c r="F361" t="inlineStr"/>
      <c r="G361" t="inlineStr"/>
      <c r="H361" t="inlineStr"/>
    </row>
    <row r="362">
      <c r="A362" t="inlineStr">
        <is>
          <t>2247897e-f56b-4fcf-9661-9be1143f5f6d.jpg</t>
        </is>
      </c>
      <c r="B362">
        <f>HYPERLINK("Объекты недвижимости, не соответствующие градостроительным нормам_00-022_Август/2247897e-f56b-4fcf-9661-9be1143f5f6d.jpg","open")</f>
        <v/>
      </c>
      <c r="C362" t="inlineStr">
        <is>
          <t>8cde1fd0-eca1-4510-86ab-3c743b65fdfc</t>
        </is>
      </c>
      <c r="D362" t="n">
        <v>55.72606</v>
      </c>
      <c r="E362" t="n">
        <v>37.73999</v>
      </c>
      <c r="F362" t="inlineStr"/>
      <c r="G362" t="inlineStr"/>
      <c r="H362" t="inlineStr"/>
    </row>
    <row r="363">
      <c r="A363" t="inlineStr">
        <is>
          <t>ffc94f76-0b5b-4bf1-9303-88d0d4faf3f2.jpg</t>
        </is>
      </c>
      <c r="B363">
        <f>HYPERLINK("Объекты недвижимости, не соответствующие градостроительным нормам_00-022_Август/ffc94f76-0b5b-4bf1-9303-88d0d4faf3f2.jpg","open")</f>
        <v/>
      </c>
      <c r="C363" t="inlineStr">
        <is>
          <t>1a55986c-2c3f-40c0-b3d1-014dce77832e</t>
        </is>
      </c>
      <c r="D363" t="n">
        <v>56.17795</v>
      </c>
      <c r="E363" t="n">
        <v>37.42515</v>
      </c>
      <c r="F363" t="inlineStr"/>
      <c r="G363" t="inlineStr"/>
      <c r="H363" t="inlineStr"/>
    </row>
    <row r="364">
      <c r="A364" t="inlineStr">
        <is>
          <t>0909ccfb-d243-47cc-b453-fbb6fafbe7a8.jpg</t>
        </is>
      </c>
      <c r="B364">
        <f>HYPERLINK("Объекты недвижимости, не соответствующие градостроительным нормам_00-022_Август/0909ccfb-d243-47cc-b453-fbb6fafbe7a8.jpg","open")</f>
        <v/>
      </c>
      <c r="C364" t="inlineStr">
        <is>
          <t>acedacc2-0d8b-4fc1-9622-25621a89d071</t>
        </is>
      </c>
      <c r="D364" t="n">
        <v>55.80185</v>
      </c>
      <c r="E364" t="n">
        <v>37.79441</v>
      </c>
      <c r="F364" t="inlineStr"/>
      <c r="G364" t="inlineStr"/>
      <c r="H364" t="inlineStr"/>
    </row>
    <row r="365">
      <c r="A365" t="inlineStr">
        <is>
          <t>ebf9a9cd-ff3e-491d-8db3-27f6436aad95.jpg</t>
        </is>
      </c>
      <c r="B365">
        <f>HYPERLINK("Объекты недвижимости, не соответствующие градостроительным нормам_00-022_Август/ebf9a9cd-ff3e-491d-8db3-27f6436aad95.jpg","open")</f>
        <v/>
      </c>
      <c r="C365" t="inlineStr">
        <is>
          <t>99f3abba-c55b-49f0-9de5-9f88e9597cc0</t>
        </is>
      </c>
      <c r="D365" t="n">
        <v>55.67804</v>
      </c>
      <c r="E365" t="n">
        <v>37.6268</v>
      </c>
      <c r="F365" t="inlineStr"/>
      <c r="G365" t="inlineStr"/>
      <c r="H365" t="inlineStr"/>
    </row>
    <row r="366">
      <c r="A366" t="inlineStr">
        <is>
          <t>4038035b-9a37-4b19-a68c-fe228c084fad.jpg</t>
        </is>
      </c>
      <c r="B366">
        <f>HYPERLINK("Объекты недвижимости, не соответствующие градостроительным нормам_00-022_Август/4038035b-9a37-4b19-a68c-fe228c084fad.jpg","open")</f>
        <v/>
      </c>
      <c r="C366" t="inlineStr">
        <is>
          <t>b0429a31-0c70-4b9f-8ea5-73929d82f89e</t>
        </is>
      </c>
      <c r="D366" t="n">
        <v>55.67804</v>
      </c>
      <c r="E366" t="n">
        <v>37.62678</v>
      </c>
      <c r="F366" t="inlineStr"/>
      <c r="G366" t="inlineStr"/>
      <c r="H366" t="inlineStr"/>
    </row>
    <row r="367">
      <c r="A367" t="inlineStr">
        <is>
          <t>b26abf45-e226-4471-8d3e-ccad23adab78.jpg</t>
        </is>
      </c>
      <c r="B367">
        <f>HYPERLINK("Объекты недвижимости, не соответствующие градостроительным нормам_00-022_Август/b26abf45-e226-4471-8d3e-ccad23adab78.jpg","open")</f>
        <v/>
      </c>
      <c r="C367" t="inlineStr">
        <is>
          <t>8cde1fd0-eca1-4510-86ab-3c743b65fdfc</t>
        </is>
      </c>
      <c r="D367" t="n">
        <v>55.72547</v>
      </c>
      <c r="E367" t="n">
        <v>37.73655</v>
      </c>
      <c r="F367" t="inlineStr"/>
      <c r="G367" t="inlineStr"/>
      <c r="H367" t="inlineStr"/>
    </row>
    <row r="368">
      <c r="A368" t="inlineStr">
        <is>
          <t>7e6d4dd3-6a7d-4190-b42b-a452340aae78.jpg</t>
        </is>
      </c>
      <c r="B368">
        <f>HYPERLINK("Объекты недвижимости, не соответствующие градостроительным нормам_00-022_Август/7e6d4dd3-6a7d-4190-b42b-a452340aae78.jpg","open")</f>
        <v/>
      </c>
      <c r="C368" t="inlineStr">
        <is>
          <t>99f3abba-c55b-49f0-9de5-9f88e9597cc0</t>
        </is>
      </c>
      <c r="D368" t="n">
        <v>55.67807</v>
      </c>
      <c r="E368" t="n">
        <v>37.62685</v>
      </c>
      <c r="F368" t="inlineStr"/>
      <c r="G368" t="inlineStr"/>
      <c r="H368" t="inlineStr"/>
    </row>
    <row r="369">
      <c r="A369" t="inlineStr">
        <is>
          <t>3483097b-d6c7-40b7-9c16-7d8dc9956d15.jpg</t>
        </is>
      </c>
      <c r="B369">
        <f>HYPERLINK("Объекты недвижимости, не соответствующие градостроительным нормам_00-022_Август/3483097b-d6c7-40b7-9c16-7d8dc9956d15.jpg","open")</f>
        <v/>
      </c>
      <c r="C369" t="inlineStr">
        <is>
          <t>b0429a31-0c70-4b9f-8ea5-73929d82f89e</t>
        </is>
      </c>
      <c r="D369" t="n">
        <v>55.67807</v>
      </c>
      <c r="E369" t="n">
        <v>37.62682</v>
      </c>
      <c r="F369" t="inlineStr"/>
      <c r="G369" t="inlineStr"/>
      <c r="H369" t="inlineStr"/>
    </row>
    <row r="370">
      <c r="A370" t="inlineStr">
        <is>
          <t>f49467db-6bfd-4c20-afca-f6b9c851f1a6.jpg</t>
        </is>
      </c>
      <c r="B370">
        <f>HYPERLINK("Объекты недвижимости, не соответствующие градостроительным нормам_00-022_Август/f49467db-6bfd-4c20-afca-f6b9c851f1a6.jpg","open")</f>
        <v/>
      </c>
      <c r="C370" t="inlineStr">
        <is>
          <t>8cde1fd0-eca1-4510-86ab-3c743b65fdfc</t>
        </is>
      </c>
      <c r="D370" t="n">
        <v>55.72509</v>
      </c>
      <c r="E370" t="n">
        <v>37.73397</v>
      </c>
      <c r="F370" t="inlineStr"/>
      <c r="G370" t="inlineStr"/>
      <c r="H370" t="inlineStr"/>
    </row>
    <row r="371">
      <c r="A371" t="inlineStr">
        <is>
          <t>ec16ab5b-7cfd-43ea-80c6-0b6695c21fde.jpg</t>
        </is>
      </c>
      <c r="B371">
        <f>HYPERLINK("Объекты недвижимости, не соответствующие градостроительным нормам_00-022_Август/ec16ab5b-7cfd-43ea-80c6-0b6695c21fde.jpg","open")</f>
        <v/>
      </c>
      <c r="C371" t="inlineStr">
        <is>
          <t>8cde1fd0-eca1-4510-86ab-3c743b65fdfc</t>
        </is>
      </c>
      <c r="D371" t="n">
        <v>55.72502</v>
      </c>
      <c r="E371" t="n">
        <v>37.73352</v>
      </c>
      <c r="F371" t="inlineStr"/>
      <c r="G371" t="inlineStr"/>
      <c r="H371" t="inlineStr"/>
    </row>
    <row r="372">
      <c r="A372" t="inlineStr">
        <is>
          <t>2af3b9c3-7110-4a56-a0cb-22e9ef1b01c8.jpg</t>
        </is>
      </c>
      <c r="B372">
        <f>HYPERLINK("Объекты недвижимости, не соответствующие градостроительным нормам_00-022_Август/2af3b9c3-7110-4a56-a0cb-22e9ef1b01c8.jpg","open")</f>
        <v/>
      </c>
      <c r="C372" t="inlineStr">
        <is>
          <t>fce890a6-27da-4062-a046-08262a160ee6</t>
        </is>
      </c>
      <c r="D372" t="n">
        <v>55.78229</v>
      </c>
      <c r="E372" t="n">
        <v>37.67104</v>
      </c>
      <c r="F372" t="inlineStr"/>
      <c r="G372" t="inlineStr"/>
      <c r="H372" t="inlineStr"/>
    </row>
    <row r="373">
      <c r="A373" t="inlineStr">
        <is>
          <t>05c9a79b-5677-4cc4-9b8b-94d3d92ee017.jpg</t>
        </is>
      </c>
      <c r="B373">
        <f>HYPERLINK("Объекты недвижимости, не соответствующие градостроительным нормам_00-022_Август/05c9a79b-5677-4cc4-9b8b-94d3d92ee017.jpg","open")</f>
        <v/>
      </c>
      <c r="C373" t="inlineStr">
        <is>
          <t>fce890a6-27da-4062-a046-08262a160ee6</t>
        </is>
      </c>
      <c r="D373" t="n">
        <v>55.78229</v>
      </c>
      <c r="E373" t="n">
        <v>37.67104</v>
      </c>
      <c r="F373" t="inlineStr"/>
      <c r="G373" t="inlineStr"/>
      <c r="H373" t="inlineStr"/>
    </row>
    <row r="374">
      <c r="A374" t="inlineStr">
        <is>
          <t>0930ab2f-08db-4cc4-b7de-86b1c8def07b.jpg</t>
        </is>
      </c>
      <c r="B374">
        <f>HYPERLINK("Объекты недвижимости, не соответствующие градостроительным нормам_00-022_Август/0930ab2f-08db-4cc4-b7de-86b1c8def07b.jpg","open")</f>
        <v/>
      </c>
      <c r="C374" t="inlineStr">
        <is>
          <t>936502dd-24a4-4256-9fdf-0d8fb72af3ed</t>
        </is>
      </c>
      <c r="D374" t="n">
        <v>55.70961</v>
      </c>
      <c r="E374" t="n">
        <v>37.60277</v>
      </c>
      <c r="F374" t="inlineStr"/>
      <c r="G374" t="inlineStr"/>
      <c r="H374" t="inlineStr"/>
    </row>
    <row r="375">
      <c r="A375" t="inlineStr">
        <is>
          <t>0bc83f0f-4330-44b4-a66c-7f5262241c95.jpg</t>
        </is>
      </c>
      <c r="B375">
        <f>HYPERLINK("Объекты недвижимости, не соответствующие градостроительным нормам_00-022_Август/0bc83f0f-4330-44b4-a66c-7f5262241c95.jpg","open")</f>
        <v/>
      </c>
      <c r="C375" t="inlineStr">
        <is>
          <t>cbf95b01-f708-45a3-9ec0-3603469b538e</t>
        </is>
      </c>
      <c r="D375" t="n">
        <v>56.16693</v>
      </c>
      <c r="E375" t="n">
        <v>37.42778</v>
      </c>
      <c r="F375" t="inlineStr"/>
      <c r="G375" t="inlineStr"/>
      <c r="H375" t="inlineStr"/>
    </row>
    <row r="376">
      <c r="A376" t="inlineStr">
        <is>
          <t>93062ba8-a0eb-4e01-a92d-2be758741692.jpg</t>
        </is>
      </c>
      <c r="B376">
        <f>HYPERLINK("Объекты недвижимости, не соответствующие градостроительным нормам_00-022_Август/93062ba8-a0eb-4e01-a92d-2be758741692.jpg","open")</f>
        <v/>
      </c>
      <c r="C376" t="inlineStr">
        <is>
          <t>ed2bf0f1-3a66-4913-896e-4420a9796c0b</t>
        </is>
      </c>
      <c r="D376" t="n">
        <v>55.96834</v>
      </c>
      <c r="E376" t="n">
        <v>37.42805</v>
      </c>
      <c r="F376" t="inlineStr"/>
      <c r="G376" t="inlineStr"/>
      <c r="H376" t="inlineStr"/>
    </row>
    <row r="377">
      <c r="A377" t="inlineStr">
        <is>
          <t>ddfd590f-9bc3-4770-ad96-263cb00bf4a5.jpg</t>
        </is>
      </c>
      <c r="B377">
        <f>HYPERLINK("Объекты недвижимости, не соответствующие градостроительным нормам_00-022_Август/ddfd590f-9bc3-4770-ad96-263cb00bf4a5.jpg","open")</f>
        <v/>
      </c>
      <c r="C377" t="inlineStr">
        <is>
          <t>cbf95b01-f708-45a3-9ec0-3603469b538e</t>
        </is>
      </c>
      <c r="D377" t="n">
        <v>56.16693</v>
      </c>
      <c r="E377" t="n">
        <v>37.42778</v>
      </c>
      <c r="F377" t="inlineStr"/>
      <c r="G377" t="inlineStr"/>
      <c r="H377" t="inlineStr"/>
    </row>
    <row r="378">
      <c r="A378" t="inlineStr">
        <is>
          <t>9e464697-075b-45d0-aaaa-8461e838159e.jpg</t>
        </is>
      </c>
      <c r="B378">
        <f>HYPERLINK("Объекты недвижимости, не соответствующие градостроительным нормам_00-022_Август/9e464697-075b-45d0-aaaa-8461e838159e.jpg","open")</f>
        <v/>
      </c>
      <c r="C378" t="inlineStr">
        <is>
          <t>cbf95b01-f708-45a3-9ec0-3603469b538e</t>
        </is>
      </c>
      <c r="D378" t="n">
        <v>56.16693</v>
      </c>
      <c r="E378" t="n">
        <v>37.42778</v>
      </c>
      <c r="F378" t="inlineStr"/>
      <c r="G378" t="inlineStr"/>
      <c r="H378" t="inlineStr"/>
    </row>
    <row r="379">
      <c r="A379" t="inlineStr">
        <is>
          <t>31a6e25b-68f3-4552-a6ef-56be70c08ef6.jpg</t>
        </is>
      </c>
      <c r="B379">
        <f>HYPERLINK("Объекты недвижимости, не соответствующие градостроительным нормам_00-022_Август/31a6e25b-68f3-4552-a6ef-56be70c08ef6.jpg","open")</f>
        <v/>
      </c>
      <c r="C379" t="inlineStr">
        <is>
          <t>cbf95b01-f708-45a3-9ec0-3603469b538e</t>
        </is>
      </c>
      <c r="D379" t="n">
        <v>56.16693</v>
      </c>
      <c r="E379" t="n">
        <v>37.42778</v>
      </c>
      <c r="F379" t="inlineStr"/>
      <c r="G379" t="inlineStr"/>
      <c r="H379" t="inlineStr"/>
    </row>
    <row r="380">
      <c r="A380" t="inlineStr">
        <is>
          <t>9c61b58b-ea3f-44c4-a6b2-34c215d9dd33.jpg</t>
        </is>
      </c>
      <c r="B380">
        <f>HYPERLINK("Объекты недвижимости, не соответствующие градостроительным нормам_00-022_Август/9c61b58b-ea3f-44c4-a6b2-34c215d9dd33.jpg","open")</f>
        <v/>
      </c>
      <c r="C380" t="inlineStr">
        <is>
          <t>cbf95b01-f708-45a3-9ec0-3603469b538e</t>
        </is>
      </c>
      <c r="D380" t="n">
        <v>56.16693</v>
      </c>
      <c r="E380" t="n">
        <v>37.42778</v>
      </c>
      <c r="F380" t="inlineStr"/>
      <c r="G380" t="inlineStr"/>
      <c r="H380" t="inlineStr"/>
    </row>
    <row r="381">
      <c r="A381" t="inlineStr">
        <is>
          <t>53e60b67-942b-4506-bbfc-4989a1694a16.jpg</t>
        </is>
      </c>
      <c r="B381">
        <f>HYPERLINK("Объекты недвижимости, не соответствующие градостроительным нормам_00-022_Август/53e60b67-942b-4506-bbfc-4989a1694a16.jpg","open")</f>
        <v/>
      </c>
      <c r="C381" t="inlineStr">
        <is>
          <t>cbf95b01-f708-45a3-9ec0-3603469b538e</t>
        </is>
      </c>
      <c r="D381" t="n">
        <v>56.16693</v>
      </c>
      <c r="E381" t="n">
        <v>37.42778</v>
      </c>
      <c r="F381" t="inlineStr"/>
      <c r="G381" t="inlineStr"/>
      <c r="H381" t="inlineStr"/>
    </row>
    <row r="382">
      <c r="A382" t="inlineStr">
        <is>
          <t>57104e08-3971-4607-b584-c07dda6f26ee.jpg</t>
        </is>
      </c>
      <c r="B382">
        <f>HYPERLINK("Объекты недвижимости, не соответствующие градостроительным нормам_00-022_Август/57104e08-3971-4607-b584-c07dda6f26ee.jpg","open")</f>
        <v/>
      </c>
      <c r="C382" t="inlineStr">
        <is>
          <t>a1a9db89-3f74-42ef-8fad-ad69705102cd</t>
        </is>
      </c>
      <c r="D382" t="n">
        <v>56.16693</v>
      </c>
      <c r="E382" t="n">
        <v>37.42778</v>
      </c>
      <c r="F382" t="inlineStr"/>
      <c r="G382" t="inlineStr"/>
      <c r="H382" t="inlineStr"/>
    </row>
    <row r="383">
      <c r="A383" t="inlineStr">
        <is>
          <t>919a4c6b-fa2e-4dc6-9dc4-6253fb3f3f43.jpg</t>
        </is>
      </c>
      <c r="B383">
        <f>HYPERLINK("Объекты недвижимости, не соответствующие градостроительным нормам_00-022_Август/919a4c6b-fa2e-4dc6-9dc4-6253fb3f3f43.jpg","open")</f>
        <v/>
      </c>
      <c r="C383" t="inlineStr">
        <is>
          <t>cbf95b01-f708-45a3-9ec0-3603469b538e</t>
        </is>
      </c>
      <c r="D383" t="n">
        <v>56.16693</v>
      </c>
      <c r="E383" t="n">
        <v>37.42778</v>
      </c>
      <c r="F383" t="inlineStr"/>
      <c r="G383" t="inlineStr"/>
      <c r="H383" t="inlineStr"/>
    </row>
    <row r="384">
      <c r="A384" t="inlineStr">
        <is>
          <t>08fe13fe-91d7-4e5d-b45d-ee57947e0bc5.jpg</t>
        </is>
      </c>
      <c r="B384">
        <f>HYPERLINK("Объекты недвижимости, не соответствующие градостроительным нормам_00-022_Август/08fe13fe-91d7-4e5d-b45d-ee57947e0bc5.jpg","open")</f>
        <v/>
      </c>
      <c r="C384" t="inlineStr">
        <is>
          <t>cbf95b01-f708-45a3-9ec0-3603469b538e</t>
        </is>
      </c>
      <c r="D384" t="n">
        <v>56.16693</v>
      </c>
      <c r="E384" t="n">
        <v>37.42778</v>
      </c>
      <c r="F384" t="inlineStr"/>
      <c r="G384" t="inlineStr"/>
      <c r="H384" t="inlineStr"/>
    </row>
    <row r="385">
      <c r="A385" t="inlineStr">
        <is>
          <t>b04185cd-1253-40da-afee-ea4bf3f295b9.jpg</t>
        </is>
      </c>
      <c r="B385">
        <f>HYPERLINK("Объекты недвижимости, не соответствующие градостроительным нормам_00-022_Август/b04185cd-1253-40da-afee-ea4bf3f295b9.jpg","open")</f>
        <v/>
      </c>
      <c r="C385" t="inlineStr">
        <is>
          <t>cbf95b01-f708-45a3-9ec0-3603469b538e</t>
        </is>
      </c>
      <c r="D385" t="n">
        <v>56.16693</v>
      </c>
      <c r="E385" t="n">
        <v>37.42778</v>
      </c>
      <c r="F385" t="inlineStr"/>
      <c r="G385" t="inlineStr"/>
      <c r="H385" t="inlineStr"/>
    </row>
    <row r="386">
      <c r="A386" t="inlineStr">
        <is>
          <t>4ed2d2fb-33f2-4bff-af62-3ede9e14a25e.jpg</t>
        </is>
      </c>
      <c r="B386">
        <f>HYPERLINK("Объекты недвижимости, не соответствующие градостроительным нормам_00-022_Август/4ed2d2fb-33f2-4bff-af62-3ede9e14a25e.jpg","open")</f>
        <v/>
      </c>
      <c r="C386" t="inlineStr">
        <is>
          <t>8cde1fd0-eca1-4510-86ab-3c743b65fdfc</t>
        </is>
      </c>
      <c r="D386" t="n">
        <v>55.72861</v>
      </c>
      <c r="E386" t="n">
        <v>37.75056</v>
      </c>
      <c r="F386" t="inlineStr"/>
      <c r="G386" t="inlineStr"/>
      <c r="H386" t="inlineStr"/>
    </row>
    <row r="387">
      <c r="A387" t="inlineStr">
        <is>
          <t>9a98c3e9-800e-4fac-a301-7e350aebc0ef.jpg</t>
        </is>
      </c>
      <c r="B387">
        <f>HYPERLINK("Объекты недвижимости, не соответствующие градостроительным нормам_00-022_Август/9a98c3e9-800e-4fac-a301-7e350aebc0ef.jpg","open")</f>
        <v/>
      </c>
      <c r="C387" t="inlineStr">
        <is>
          <t>1c951e11-4940-43c6-a447-394097e5609a</t>
        </is>
      </c>
      <c r="D387" t="n">
        <v>55.7285</v>
      </c>
      <c r="E387" t="n">
        <v>37.75102</v>
      </c>
      <c r="F387" t="inlineStr"/>
      <c r="G387" t="inlineStr"/>
      <c r="H387" t="inlineStr"/>
    </row>
    <row r="388">
      <c r="A388" t="inlineStr">
        <is>
          <t>d0d536de-763d-4b25-b946-e9fe4f4ecc2b.jpg</t>
        </is>
      </c>
      <c r="B388">
        <f>HYPERLINK("Объекты недвижимости, не соответствующие градостроительным нормам_00-022_Август/d0d536de-763d-4b25-b946-e9fe4f4ecc2b.jpg","open")</f>
        <v/>
      </c>
      <c r="C388" t="inlineStr">
        <is>
          <t>1c951e11-4940-43c6-a447-394097e5609a</t>
        </is>
      </c>
      <c r="D388" t="n">
        <v>55.72826</v>
      </c>
      <c r="E388" t="n">
        <v>37.75197</v>
      </c>
      <c r="F388" t="inlineStr"/>
      <c r="G388" t="inlineStr"/>
      <c r="H388" t="inlineStr"/>
    </row>
    <row r="389">
      <c r="A389" t="inlineStr">
        <is>
          <t>94525f5f-fd89-4aa9-adbe-9855c0adf9c0.jpg</t>
        </is>
      </c>
      <c r="B389">
        <f>HYPERLINK("Объекты недвижимости, не соответствующие градостроительным нормам_00-022_Август/94525f5f-fd89-4aa9-adbe-9855c0adf9c0.jpg","open")</f>
        <v/>
      </c>
      <c r="C389" t="inlineStr">
        <is>
          <t>8cde1fd0-eca1-4510-86ab-3c743b65fdfc</t>
        </is>
      </c>
      <c r="D389" t="n">
        <v>55.72839</v>
      </c>
      <c r="E389" t="n">
        <v>37.75177</v>
      </c>
      <c r="F389" t="inlineStr"/>
      <c r="G389" t="inlineStr"/>
      <c r="H389" t="inlineStr"/>
    </row>
    <row r="390">
      <c r="A390" t="inlineStr">
        <is>
          <t>552d9840-5573-4f66-8012-e65ca91303b7.jpg</t>
        </is>
      </c>
      <c r="B390">
        <f>HYPERLINK("Объекты недвижимости, не соответствующие градостроительным нормам_00-022_Август/552d9840-5573-4f66-8012-e65ca91303b7.jpg","open")</f>
        <v/>
      </c>
      <c r="C390" t="inlineStr">
        <is>
          <t>1c951e11-4940-43c6-a447-394097e5609a</t>
        </is>
      </c>
      <c r="D390" t="n">
        <v>55.72846</v>
      </c>
      <c r="E390" t="n">
        <v>37.75153</v>
      </c>
      <c r="F390" t="inlineStr"/>
      <c r="G390" t="inlineStr"/>
      <c r="H390" t="inlineStr"/>
    </row>
    <row r="391">
      <c r="A391" t="inlineStr">
        <is>
          <t>ec5ae977-dc8d-4961-8ba9-7da9794e594b.jpg</t>
        </is>
      </c>
      <c r="B391">
        <f>HYPERLINK("Объекты недвижимости, не соответствующие градостроительным нормам_00-022_Август/ec5ae977-dc8d-4961-8ba9-7da9794e594b.jpg","open")</f>
        <v/>
      </c>
      <c r="C391" t="inlineStr">
        <is>
          <t>8cde1fd0-eca1-4510-86ab-3c743b65fdfc</t>
        </is>
      </c>
      <c r="D391" t="n">
        <v>55.72849</v>
      </c>
      <c r="E391" t="n">
        <v>37.75142</v>
      </c>
      <c r="F391" t="inlineStr"/>
      <c r="G391" t="inlineStr"/>
      <c r="H391" t="inlineStr"/>
    </row>
    <row r="392">
      <c r="A392" t="inlineStr">
        <is>
          <t>28f54e60-40c8-4622-ab05-8d45e9df14f4.jpg</t>
        </is>
      </c>
      <c r="B392">
        <f>HYPERLINK("Объекты недвижимости, не соответствующие градостроительным нормам_00-022_Август/28f54e60-40c8-4622-ab05-8d45e9df14f4.jpg","open")</f>
        <v/>
      </c>
      <c r="C392" t="inlineStr">
        <is>
          <t>1c951e11-4940-43c6-a447-394097e5609a</t>
        </is>
      </c>
      <c r="D392" t="n">
        <v>55.72853</v>
      </c>
      <c r="E392" t="n">
        <v>37.75131</v>
      </c>
      <c r="F392" t="inlineStr"/>
      <c r="G392" t="inlineStr"/>
      <c r="H392" t="inlineStr"/>
    </row>
    <row r="393">
      <c r="A393" t="inlineStr">
        <is>
          <t>5add50a7-1c8c-4ee5-b449-2a6533aec36e.jpg</t>
        </is>
      </c>
      <c r="B393">
        <f>HYPERLINK("Объекты недвижимости, не соответствующие градостроительным нормам_00-022_Август/5add50a7-1c8c-4ee5-b449-2a6533aec36e.jpg","open")</f>
        <v/>
      </c>
      <c r="C393" t="inlineStr">
        <is>
          <t>8cde1fd0-eca1-4510-86ab-3c743b65fdfc</t>
        </is>
      </c>
      <c r="D393" t="n">
        <v>55.72857</v>
      </c>
      <c r="E393" t="n">
        <v>37.75119</v>
      </c>
      <c r="F393" t="inlineStr"/>
      <c r="G393" t="inlineStr"/>
      <c r="H393" t="inlineStr"/>
    </row>
    <row r="394">
      <c r="A394" t="inlineStr">
        <is>
          <t>e5798c1b-9106-41b5-b3f7-e31c19d4cdd9.jpg</t>
        </is>
      </c>
      <c r="B394">
        <f>HYPERLINK("Объекты недвижимости, не соответствующие градостроительным нормам_00-022_Август/e5798c1b-9106-41b5-b3f7-e31c19d4cdd9.jpg","open")</f>
        <v/>
      </c>
      <c r="C394" t="inlineStr">
        <is>
          <t>1c951e11-4940-43c6-a447-394097e5609a</t>
        </is>
      </c>
      <c r="D394" t="n">
        <v>55.7286</v>
      </c>
      <c r="E394" t="n">
        <v>37.75108</v>
      </c>
      <c r="F394" t="inlineStr"/>
      <c r="G394" t="inlineStr"/>
      <c r="H394" t="inlineStr"/>
    </row>
    <row r="395">
      <c r="A395" t="inlineStr">
        <is>
          <t>2045e467-e59f-4fb1-83d9-9afcaeae5563.jpg</t>
        </is>
      </c>
      <c r="B395">
        <f>HYPERLINK("Объекты недвижимости, не соответствующие градостроительным нормам_00-022_Август/2045e467-e59f-4fb1-83d9-9afcaeae5563.jpg","open")</f>
        <v/>
      </c>
      <c r="C395" t="inlineStr">
        <is>
          <t>cbf95b01-f708-45a3-9ec0-3603469b538e</t>
        </is>
      </c>
      <c r="D395" t="n">
        <v>56.16693</v>
      </c>
      <c r="E395" t="n">
        <v>37.42778</v>
      </c>
      <c r="F395" t="inlineStr"/>
      <c r="G395" t="inlineStr"/>
      <c r="H395" t="inlineStr"/>
    </row>
    <row r="396">
      <c r="A396" t="inlineStr">
        <is>
          <t>043c36d1-871c-4115-b227-a783bd72621f.jpg</t>
        </is>
      </c>
      <c r="B396">
        <f>HYPERLINK("Объекты недвижимости, не соответствующие градостроительным нормам_00-022_Август/043c36d1-871c-4115-b227-a783bd72621f.jpg","open")</f>
        <v/>
      </c>
      <c r="C396" t="inlineStr">
        <is>
          <t>cbf95b01-f708-45a3-9ec0-3603469b538e</t>
        </is>
      </c>
      <c r="D396" t="n">
        <v>56.16693</v>
      </c>
      <c r="E396" t="n">
        <v>37.42778</v>
      </c>
      <c r="F396" t="inlineStr"/>
      <c r="G396" t="inlineStr"/>
      <c r="H396" t="inlineStr"/>
    </row>
    <row r="397">
      <c r="A397" t="inlineStr">
        <is>
          <t>fd61b654-07ee-417c-abad-fce1d2f28c38.jpg</t>
        </is>
      </c>
      <c r="B397">
        <f>HYPERLINK("Объекты недвижимости, не соответствующие градостроительным нормам_00-022_Август/fd61b654-07ee-417c-abad-fce1d2f28c38.jpg","open")</f>
        <v/>
      </c>
      <c r="C397" t="inlineStr">
        <is>
          <t>db8b536c-32f2-4d9a-ae08-679d227e61f1</t>
        </is>
      </c>
      <c r="D397" t="n">
        <v>55.6823</v>
      </c>
      <c r="E397" t="n">
        <v>37.56875</v>
      </c>
      <c r="F397" t="inlineStr"/>
      <c r="G397" t="inlineStr"/>
      <c r="H397" t="inlineStr"/>
    </row>
    <row r="398">
      <c r="A398" t="inlineStr">
        <is>
          <t>4a419ce4-ac17-4894-b577-286e367ce813.jpg</t>
        </is>
      </c>
      <c r="B398">
        <f>HYPERLINK("Объекты недвижимости, не соответствующие градостроительным нормам_00-022_Август/4a419ce4-ac17-4894-b577-286e367ce813.jpg","open")</f>
        <v/>
      </c>
      <c r="C398" t="inlineStr">
        <is>
          <t>8cde1fd0-eca1-4510-86ab-3c743b65fdfc</t>
        </is>
      </c>
      <c r="D398" t="n">
        <v>55.73182</v>
      </c>
      <c r="E398" t="n">
        <v>37.73941</v>
      </c>
      <c r="F398" t="inlineStr"/>
      <c r="G398" t="inlineStr"/>
      <c r="H398" t="inlineStr"/>
    </row>
    <row r="399">
      <c r="A399" t="inlineStr">
        <is>
          <t>010ce175-99b6-40b3-81a6-f551a9987115.jpg</t>
        </is>
      </c>
      <c r="B399">
        <f>HYPERLINK("Объекты недвижимости, не соответствующие градостроительным нормам_00-022_Август/010ce175-99b6-40b3-81a6-f551a9987115.jpg","open")</f>
        <v/>
      </c>
      <c r="C399" t="inlineStr">
        <is>
          <t>1c951e11-4940-43c6-a447-394097e5609a</t>
        </is>
      </c>
      <c r="D399" t="n">
        <v>55.73192</v>
      </c>
      <c r="E399" t="n">
        <v>37.73948</v>
      </c>
      <c r="F399" t="inlineStr"/>
      <c r="G399" t="inlineStr"/>
      <c r="H399" t="inlineStr"/>
    </row>
    <row r="400">
      <c r="A400" t="inlineStr">
        <is>
          <t>3b0788a7-145e-42bf-be65-4aad44be0153.jpg</t>
        </is>
      </c>
      <c r="B400">
        <f>HYPERLINK("Объекты недвижимости, не соответствующие градостроительным нормам_00-022_Август/3b0788a7-145e-42bf-be65-4aad44be0153.jpg","open")</f>
        <v/>
      </c>
      <c r="C400" t="inlineStr">
        <is>
          <t>685d9054-b74f-49ab-857b-109fd2cec80d</t>
        </is>
      </c>
      <c r="D400" t="n">
        <v>56.17889</v>
      </c>
      <c r="E400" t="n">
        <v>37.42435</v>
      </c>
      <c r="F400" t="inlineStr"/>
      <c r="G400" t="inlineStr"/>
      <c r="H400" t="inlineStr"/>
    </row>
    <row r="401">
      <c r="A401" t="inlineStr">
        <is>
          <t>43e28db7-e8a5-4e89-9c0e-3a66ad448670.jpg</t>
        </is>
      </c>
      <c r="B401">
        <f>HYPERLINK("Объекты недвижимости, не соответствующие градостроительным нормам_00-022_Август/43e28db7-e8a5-4e89-9c0e-3a66ad448670.jpg","open")</f>
        <v/>
      </c>
      <c r="C401" t="inlineStr">
        <is>
          <t>ed2bf0f1-3a66-4913-896e-4420a9796c0b</t>
        </is>
      </c>
      <c r="D401" t="n">
        <v>55.96834</v>
      </c>
      <c r="E401" t="n">
        <v>37.42805</v>
      </c>
      <c r="F401" t="inlineStr"/>
      <c r="G401" t="inlineStr"/>
      <c r="H401" t="inlineStr"/>
    </row>
    <row r="402">
      <c r="A402" t="inlineStr">
        <is>
          <t>5e15b134-c742-40b3-a342-8e619ff03118.jpg</t>
        </is>
      </c>
      <c r="B402">
        <f>HYPERLINK("Объекты недвижимости, не соответствующие градостроительным нормам_00-022_Август/5e15b134-c742-40b3-a342-8e619ff03118.jpg","open")</f>
        <v/>
      </c>
      <c r="C402" t="inlineStr">
        <is>
          <t>b0b7ea82-53be-40d0-b992-e2fd18611d5c</t>
        </is>
      </c>
      <c r="D402" t="n">
        <v>55.70437</v>
      </c>
      <c r="E402" t="n">
        <v>37.76036</v>
      </c>
      <c r="F402" t="inlineStr"/>
      <c r="G402" t="inlineStr"/>
      <c r="H402" t="inlineStr"/>
    </row>
    <row r="403">
      <c r="A403" t="inlineStr">
        <is>
          <t>9711d802-5cb6-4630-a22b-c47bf8d86566.jpg</t>
        </is>
      </c>
      <c r="B403">
        <f>HYPERLINK("Объекты недвижимости, не соответствующие градостроительным нормам_00-022_Август/9711d802-5cb6-4630-a22b-c47bf8d86566.jpg","open")</f>
        <v/>
      </c>
      <c r="C403" t="inlineStr">
        <is>
          <t>ed2bf0f1-3a66-4913-896e-4420a9796c0b</t>
        </is>
      </c>
      <c r="D403" t="n">
        <v>55.96834</v>
      </c>
      <c r="E403" t="n">
        <v>37.42805</v>
      </c>
      <c r="F403" t="inlineStr"/>
      <c r="G403" t="inlineStr"/>
      <c r="H403" t="inlineStr"/>
    </row>
    <row r="404">
      <c r="A404" t="inlineStr">
        <is>
          <t>a3581ae6-e017-49c7-904c-5b5c7603fff8.jpg</t>
        </is>
      </c>
      <c r="B404">
        <f>HYPERLINK("Объекты недвижимости, не соответствующие градостроительным нормам_00-022_Август/a3581ae6-e017-49c7-904c-5b5c7603fff8.jpg","open")</f>
        <v/>
      </c>
      <c r="C404" t="inlineStr">
        <is>
          <t>685d9054-b74f-49ab-857b-109fd2cec80d</t>
        </is>
      </c>
      <c r="D404" t="n">
        <v>56.17889</v>
      </c>
      <c r="E404" t="n">
        <v>37.42435</v>
      </c>
      <c r="F404" t="inlineStr"/>
      <c r="G404" t="inlineStr"/>
      <c r="H404" t="inlineStr"/>
    </row>
    <row r="405">
      <c r="A405" t="inlineStr">
        <is>
          <t>f184739c-1235-4728-8fc0-9084cf2ee059.jpg</t>
        </is>
      </c>
      <c r="B405">
        <f>HYPERLINK("Объекты недвижимости, не соответствующие градостроительным нормам_00-022_Август/f184739c-1235-4728-8fc0-9084cf2ee059.jpg","open")</f>
        <v/>
      </c>
      <c r="C405" t="inlineStr">
        <is>
          <t>db8b536c-32f2-4d9a-ae08-679d227e61f1</t>
        </is>
      </c>
      <c r="D405" t="n">
        <v>55.6823</v>
      </c>
      <c r="E405" t="n">
        <v>37.56875</v>
      </c>
      <c r="F405" t="inlineStr"/>
      <c r="G405" t="inlineStr"/>
      <c r="H405" t="inlineStr"/>
    </row>
    <row r="406">
      <c r="A406" t="inlineStr">
        <is>
          <t>c76f45af-6284-4992-b531-07deccff8cd8.jpg</t>
        </is>
      </c>
      <c r="B406">
        <f>HYPERLINK("Объекты недвижимости, не соответствующие градостроительным нормам_00-022_Август/c76f45af-6284-4992-b531-07deccff8cd8.jpg","open")</f>
        <v/>
      </c>
      <c r="C406" t="inlineStr">
        <is>
          <t>8cde1fd0-eca1-4510-86ab-3c743b65fdfc</t>
        </is>
      </c>
      <c r="D406" t="n">
        <v>55.73188</v>
      </c>
      <c r="E406" t="n">
        <v>37.73927</v>
      </c>
      <c r="F406" t="inlineStr"/>
      <c r="G406" t="inlineStr"/>
      <c r="H406" t="inlineStr"/>
    </row>
    <row r="407">
      <c r="A407" t="inlineStr">
        <is>
          <t>5541f841-c41a-454e-8fa4-f0820d706c9a.jpg</t>
        </is>
      </c>
      <c r="B407">
        <f>HYPERLINK("Объекты недвижимости, не соответствующие градостроительным нормам_00-022_Август/5541f841-c41a-454e-8fa4-f0820d706c9a.jpg","open")</f>
        <v/>
      </c>
      <c r="C407" t="inlineStr">
        <is>
          <t>1c951e11-4940-43c6-a447-394097e5609a</t>
        </is>
      </c>
      <c r="D407" t="n">
        <v>55.73188</v>
      </c>
      <c r="E407" t="n">
        <v>37.73927</v>
      </c>
      <c r="F407" t="inlineStr"/>
      <c r="G407" t="inlineStr"/>
      <c r="H407" t="inlineStr"/>
    </row>
    <row r="408">
      <c r="A408" t="inlineStr">
        <is>
          <t>fdb80794-5ee6-40ac-82c0-985304c4d68f.jpg</t>
        </is>
      </c>
      <c r="B408">
        <f>HYPERLINK("Объекты недвижимости, не соответствующие градостроительным нормам_00-022_Август/fdb80794-5ee6-40ac-82c0-985304c4d68f.jpg","open")</f>
        <v/>
      </c>
      <c r="C408" t="inlineStr">
        <is>
          <t>685d9054-b74f-49ab-857b-109fd2cec80d</t>
        </is>
      </c>
      <c r="D408" t="n">
        <v>56.17889</v>
      </c>
      <c r="E408" t="n">
        <v>37.42435</v>
      </c>
      <c r="F408" t="inlineStr"/>
      <c r="G408" t="inlineStr"/>
      <c r="H408" t="inlineStr"/>
    </row>
    <row r="409">
      <c r="A409" t="inlineStr">
        <is>
          <t>e0ae588f-5ad2-409b-8963-d1fc54b703c6.jpg</t>
        </is>
      </c>
      <c r="B409">
        <f>HYPERLINK("Объекты недвижимости, не соответствующие градостроительным нормам_00-022_Август/e0ae588f-5ad2-409b-8963-d1fc54b703c6.jpg","open")</f>
        <v/>
      </c>
      <c r="C409" t="inlineStr">
        <is>
          <t>c008bda0-324b-4c90-9c2f-36cfc930e0b5</t>
        </is>
      </c>
      <c r="D409" t="n">
        <v>55.18113</v>
      </c>
      <c r="E409" t="n">
        <v>35.59201</v>
      </c>
      <c r="F409" t="inlineStr"/>
      <c r="G409" t="inlineStr"/>
      <c r="H409" t="inlineStr"/>
    </row>
    <row r="410">
      <c r="A410" t="inlineStr">
        <is>
          <t>fb87f61b-2f1d-40da-afca-d6aa905477fe.jpg</t>
        </is>
      </c>
      <c r="B410">
        <f>HYPERLINK("Объекты недвижимости, не соответствующие градостроительным нормам_00-022_Август/fb87f61b-2f1d-40da-afca-d6aa905477fe.jpg","open")</f>
        <v/>
      </c>
      <c r="C410" t="inlineStr">
        <is>
          <t>29ad9edb-d533-4272-a986-be24eb004851</t>
        </is>
      </c>
      <c r="D410" t="n">
        <v>55.18113</v>
      </c>
      <c r="E410" t="n">
        <v>35.59201</v>
      </c>
      <c r="F410" t="inlineStr"/>
      <c r="G410" t="inlineStr"/>
      <c r="H410" t="inlineStr"/>
    </row>
    <row r="411">
      <c r="A411" t="inlineStr">
        <is>
          <t>434ee8bc-8f37-4bda-bde4-4ec8b2a7f1d4.jpg</t>
        </is>
      </c>
      <c r="B411">
        <f>HYPERLINK("Объекты недвижимости, не соответствующие градостроительным нормам_00-022_Август/434ee8bc-8f37-4bda-bde4-4ec8b2a7f1d4.jpg","open")</f>
        <v/>
      </c>
      <c r="C411" t="inlineStr">
        <is>
          <t>29ad9edb-d533-4272-a986-be24eb004851</t>
        </is>
      </c>
      <c r="D411" t="n">
        <v>55.18113</v>
      </c>
      <c r="E411" t="n">
        <v>35.59201</v>
      </c>
      <c r="F411" t="inlineStr"/>
      <c r="G411" t="inlineStr"/>
      <c r="H411" t="inlineStr"/>
    </row>
    <row r="412">
      <c r="A412" t="inlineStr">
        <is>
          <t>4dd0b1b3-d04a-44c3-bbee-f5bac21346e6.jpg</t>
        </is>
      </c>
      <c r="B412">
        <f>HYPERLINK("Объекты недвижимости, не соответствующие градостроительным нормам_00-022_Август/4dd0b1b3-d04a-44c3-bbee-f5bac21346e6.jpg","open")</f>
        <v/>
      </c>
      <c r="C412" t="inlineStr">
        <is>
          <t>29ad9edb-d533-4272-a986-be24eb004851</t>
        </is>
      </c>
      <c r="D412" t="n">
        <v>55.18113</v>
      </c>
      <c r="E412" t="n">
        <v>35.59201</v>
      </c>
      <c r="F412" t="inlineStr"/>
      <c r="G412" t="inlineStr"/>
      <c r="H412" t="inlineStr"/>
    </row>
    <row r="413">
      <c r="A413" t="inlineStr">
        <is>
          <t>ea5b3bfe-f88f-4119-84d5-121ef386ce52.jpg</t>
        </is>
      </c>
      <c r="B413">
        <f>HYPERLINK("Объекты недвижимости, не соответствующие градостроительным нормам_00-022_Август/ea5b3bfe-f88f-4119-84d5-121ef386ce52.jpg","open")</f>
        <v/>
      </c>
      <c r="C413" t="inlineStr">
        <is>
          <t>e26f5fc2-1353-4f29-85f3-87c56419161c</t>
        </is>
      </c>
      <c r="D413" t="n">
        <v>44.68996</v>
      </c>
      <c r="E413" t="n">
        <v>49.77535</v>
      </c>
      <c r="F413" t="inlineStr"/>
      <c r="G413" t="inlineStr"/>
      <c r="H413" t="inlineStr"/>
    </row>
    <row r="414">
      <c r="A414" t="inlineStr">
        <is>
          <t>90462fe6-8a3c-456e-9437-81113b32f348.jpg</t>
        </is>
      </c>
      <c r="B414">
        <f>HYPERLINK("Объекты недвижимости, не соответствующие градостроительным нормам_00-022_Август/90462fe6-8a3c-456e-9437-81113b32f348.jpg","open")</f>
        <v/>
      </c>
      <c r="C414" t="inlineStr">
        <is>
          <t>2acfb2da-e3f6-464c-bd17-4b713522c142</t>
        </is>
      </c>
      <c r="D414" t="n">
        <v>55.80827</v>
      </c>
      <c r="E414" t="n">
        <v>37.65484</v>
      </c>
      <c r="F414" t="inlineStr"/>
      <c r="G414" t="inlineStr"/>
      <c r="H414" t="inlineStr"/>
    </row>
    <row r="415">
      <c r="A415" t="inlineStr">
        <is>
          <t>30239451-6dd4-4a25-b22d-73419fa39b8b.jpg</t>
        </is>
      </c>
      <c r="B415">
        <f>HYPERLINK("Объекты недвижимости, не соответствующие градостроительным нормам_00-022_Август/30239451-6dd4-4a25-b22d-73419fa39b8b.jpg","open")</f>
        <v/>
      </c>
      <c r="C415" t="inlineStr">
        <is>
          <t>91248771-2c4d-44f3-b3cf-d536bd4ae73c</t>
        </is>
      </c>
      <c r="D415" t="n">
        <v>55.77742</v>
      </c>
      <c r="E415" t="n">
        <v>37.71817</v>
      </c>
      <c r="F415" t="inlineStr"/>
      <c r="G415" t="inlineStr"/>
      <c r="H415" t="inlineStr"/>
    </row>
    <row r="416">
      <c r="A416" t="inlineStr">
        <is>
          <t>47835734-99dc-476a-8a96-bef7c2ec8efe.jpg</t>
        </is>
      </c>
      <c r="B416">
        <f>HYPERLINK("Объекты недвижимости, не соответствующие градостроительным нормам_00-022_Август/47835734-99dc-476a-8a96-bef7c2ec8efe.jpg","open")</f>
        <v/>
      </c>
      <c r="C416" t="inlineStr">
        <is>
          <t>61936922-4d4b-458e-80ea-6d4c450aa1d5</t>
        </is>
      </c>
      <c r="D416" t="n">
        <v>55.64376</v>
      </c>
      <c r="E416" t="n">
        <v>37.33846</v>
      </c>
      <c r="F416" t="inlineStr"/>
      <c r="G416" t="inlineStr"/>
      <c r="H416" t="inlineStr"/>
    </row>
    <row r="417">
      <c r="A417" t="inlineStr">
        <is>
          <t>d7f13153-d90c-468a-9494-0f45e86dda85.jpg</t>
        </is>
      </c>
      <c r="B417">
        <f>HYPERLINK("Объекты недвижимости, не соответствующие градостроительным нормам_00-022_Август/d7f13153-d90c-468a-9494-0f45e86dda85.jpg","open")</f>
        <v/>
      </c>
      <c r="C417" t="inlineStr">
        <is>
          <t>789f6c51-64ee-4078-b7bd-443af8b8b68a</t>
        </is>
      </c>
      <c r="D417" t="n">
        <v>55.8089</v>
      </c>
      <c r="E417" t="n">
        <v>37.65512</v>
      </c>
      <c r="F417" t="inlineStr"/>
      <c r="G417" t="inlineStr"/>
      <c r="H417" t="inlineStr"/>
    </row>
    <row r="418">
      <c r="A418" t="inlineStr">
        <is>
          <t>9e5152c7-bcf5-410d-85f9-76986c66708a.jpg</t>
        </is>
      </c>
      <c r="B418">
        <f>HYPERLINK("Объекты недвижимости, не соответствующие градостроительным нормам_00-022_Август/9e5152c7-bcf5-410d-85f9-76986c66708a.jpg","open")</f>
        <v/>
      </c>
      <c r="C418" t="inlineStr">
        <is>
          <t>2acfb2da-e3f6-464c-bd17-4b713522c142</t>
        </is>
      </c>
      <c r="D418" t="n">
        <v>55.80891</v>
      </c>
      <c r="E418" t="n">
        <v>37.65511</v>
      </c>
      <c r="F418" t="inlineStr"/>
      <c r="G418" t="inlineStr"/>
      <c r="H418" t="inlineStr"/>
    </row>
    <row r="419">
      <c r="A419" t="inlineStr">
        <is>
          <t>56b212b4-9d2e-4234-a4e8-0e0a876ca009.jpg</t>
        </is>
      </c>
      <c r="B419">
        <f>HYPERLINK("Объекты недвижимости, не соответствующие градостроительным нормам_00-022_Август/56b212b4-9d2e-4234-a4e8-0e0a876ca009.jpg","open")</f>
        <v/>
      </c>
      <c r="C419" t="inlineStr">
        <is>
          <t>91248771-2c4d-44f3-b3cf-d536bd4ae73c</t>
        </is>
      </c>
      <c r="D419" t="n">
        <v>55.77809</v>
      </c>
      <c r="E419" t="n">
        <v>37.71932</v>
      </c>
      <c r="F419" t="inlineStr"/>
      <c r="G419" t="inlineStr"/>
      <c r="H419" t="inlineStr"/>
    </row>
    <row r="420">
      <c r="A420" t="inlineStr">
        <is>
          <t>83c76eca-c1bf-4439-9bda-36d459ee7c42.jpg</t>
        </is>
      </c>
      <c r="B420">
        <f>HYPERLINK("Объекты недвижимости, не соответствующие градостроительным нормам_00-022_Август/83c76eca-c1bf-4439-9bda-36d459ee7c42.jpg","open")</f>
        <v/>
      </c>
      <c r="C420" t="inlineStr">
        <is>
          <t>8cde1fd0-eca1-4510-86ab-3c743b65fdfc</t>
        </is>
      </c>
      <c r="D420" t="n">
        <v>55.7323</v>
      </c>
      <c r="E420" t="n">
        <v>37.75972</v>
      </c>
      <c r="F420" t="inlineStr"/>
      <c r="G420" t="inlineStr"/>
      <c r="H420" t="inlineStr"/>
    </row>
    <row r="421">
      <c r="A421" t="inlineStr">
        <is>
          <t>fc5cbdc9-dd43-4f58-9d0b-7a5840c6c5d0.jpg</t>
        </is>
      </c>
      <c r="B421">
        <f>HYPERLINK("Объекты недвижимости, не соответствующие градостроительным нормам_00-022_Август/fc5cbdc9-dd43-4f58-9d0b-7a5840c6c5d0.jpg","open")</f>
        <v/>
      </c>
      <c r="C421" t="inlineStr">
        <is>
          <t>1c951e11-4940-43c6-a447-394097e5609a</t>
        </is>
      </c>
      <c r="D421" t="n">
        <v>55.73213</v>
      </c>
      <c r="E421" t="n">
        <v>37.75837</v>
      </c>
      <c r="F421" t="inlineStr"/>
      <c r="G421" t="inlineStr"/>
      <c r="H421" t="inlineStr"/>
    </row>
    <row r="422">
      <c r="A422" t="inlineStr">
        <is>
          <t>9e0a611e-78f2-4200-9f71-2deebea87ed8.jpg</t>
        </is>
      </c>
      <c r="B422">
        <f>HYPERLINK("Объекты недвижимости, не соответствующие градостроительным нормам_00-022_Август/9e0a611e-78f2-4200-9f71-2deebea87ed8.jpg","open")</f>
        <v/>
      </c>
      <c r="C422" t="inlineStr">
        <is>
          <t>8cde1fd0-eca1-4510-86ab-3c743b65fdfc</t>
        </is>
      </c>
      <c r="D422" t="n">
        <v>55.73127</v>
      </c>
      <c r="E422" t="n">
        <v>37.7553</v>
      </c>
      <c r="F422" t="inlineStr"/>
      <c r="G422" t="inlineStr"/>
      <c r="H422" t="inlineStr"/>
    </row>
    <row r="423">
      <c r="A423" t="inlineStr">
        <is>
          <t>b184a495-8fbe-425e-b8b4-04adb4d4b908.jpg</t>
        </is>
      </c>
      <c r="B423">
        <f>HYPERLINK("Объекты недвижимости, не соответствующие градостроительным нормам_00-022_Август/b184a495-8fbe-425e-b8b4-04adb4d4b908.jpg","open")</f>
        <v/>
      </c>
      <c r="C423" t="inlineStr">
        <is>
          <t>e26f5fc2-1353-4f29-85f3-87c56419161c</t>
        </is>
      </c>
      <c r="D423" t="n">
        <v>55.7714</v>
      </c>
      <c r="E423" t="n">
        <v>37.70597</v>
      </c>
      <c r="F423" t="inlineStr"/>
      <c r="G423" t="inlineStr"/>
      <c r="H423" t="inlineStr"/>
    </row>
    <row r="424">
      <c r="A424" t="inlineStr">
        <is>
          <t>efb063fe-795c-46c5-8a78-efaf9ca3a29e.jpg</t>
        </is>
      </c>
      <c r="B424">
        <f>HYPERLINK("Объекты недвижимости, не соответствующие градостроительным нормам_00-022_Август/efb063fe-795c-46c5-8a78-efaf9ca3a29e.jpg","open")</f>
        <v/>
      </c>
      <c r="C424" t="inlineStr">
        <is>
          <t>1a55986c-2c3f-40c0-b3d1-014dce77832e</t>
        </is>
      </c>
      <c r="D424" t="n">
        <v>55.76892</v>
      </c>
      <c r="E424" t="n">
        <v>37.52559</v>
      </c>
      <c r="F424" t="inlineStr"/>
      <c r="G424" t="inlineStr"/>
      <c r="H424" t="inlineStr"/>
    </row>
    <row r="425">
      <c r="A425" t="inlineStr">
        <is>
          <t>9a44c164-bda5-43d1-89ee-841ce508f8b5.jpg</t>
        </is>
      </c>
      <c r="B425">
        <f>HYPERLINK("Объекты недвижимости, не соответствующие градостроительным нормам_00-022_Август/9a44c164-bda5-43d1-89ee-841ce508f8b5.jpg","open")</f>
        <v/>
      </c>
      <c r="C425" t="inlineStr">
        <is>
          <t>1c951e11-4940-43c6-a447-394097e5609a</t>
        </is>
      </c>
      <c r="D425" t="n">
        <v>55.72896</v>
      </c>
      <c r="E425" t="n">
        <v>37.75359</v>
      </c>
      <c r="F425" t="inlineStr"/>
      <c r="G425" t="inlineStr"/>
      <c r="H425" t="inlineStr"/>
    </row>
    <row r="426">
      <c r="A426" t="inlineStr">
        <is>
          <t>4bd11a91-f018-4c39-8f2c-15a6fd775773.jpg</t>
        </is>
      </c>
      <c r="B426">
        <f>HYPERLINK("Объекты недвижимости, не соответствующие градостроительным нормам_00-022_Август/4bd11a91-f018-4c39-8f2c-15a6fd775773.jpg","open")</f>
        <v/>
      </c>
      <c r="C426" t="inlineStr">
        <is>
          <t>8cde1fd0-eca1-4510-86ab-3c743b65fdfc</t>
        </is>
      </c>
      <c r="D426" t="n">
        <v>55.7288</v>
      </c>
      <c r="E426" t="n">
        <v>37.75362</v>
      </c>
      <c r="F426" t="inlineStr"/>
      <c r="G426" t="inlineStr"/>
      <c r="H426" t="inlineStr"/>
    </row>
    <row r="427">
      <c r="A427" t="inlineStr">
        <is>
          <t>0c219471-a858-4113-98c1-919c17c81eb8.jpg</t>
        </is>
      </c>
      <c r="B427">
        <f>HYPERLINK("Объекты недвижимости, не соответствующие градостроительным нормам_00-022_Август/0c219471-a858-4113-98c1-919c17c81eb8.jpg","open")</f>
        <v/>
      </c>
      <c r="C427" t="inlineStr">
        <is>
          <t>1a55986c-2c3f-40c0-b3d1-014dce77832e</t>
        </is>
      </c>
      <c r="D427" t="n">
        <v>55.77045</v>
      </c>
      <c r="E427" t="n">
        <v>37.5204</v>
      </c>
      <c r="F427" t="inlineStr"/>
      <c r="G427" t="inlineStr"/>
      <c r="H427" t="inlineStr"/>
    </row>
    <row r="428">
      <c r="A428" t="inlineStr">
        <is>
          <t>c16ae11d-ec6d-4c86-9462-3f42d8ab6741.jpg</t>
        </is>
      </c>
      <c r="B428">
        <f>HYPERLINK("Объекты недвижимости, не соответствующие градостроительным нормам_00-022_Август/c16ae11d-ec6d-4c86-9462-3f42d8ab6741.jpg","open")</f>
        <v/>
      </c>
      <c r="C428" t="inlineStr">
        <is>
          <t>ed2bf0f1-3a66-4913-896e-4420a9796c0b</t>
        </is>
      </c>
      <c r="D428" t="n">
        <v>55.77078</v>
      </c>
      <c r="E428" t="n">
        <v>37.51916</v>
      </c>
      <c r="F428" t="inlineStr"/>
      <c r="G428" t="inlineStr"/>
      <c r="H428" t="inlineStr"/>
    </row>
    <row r="429">
      <c r="A429" t="inlineStr">
        <is>
          <t>d39486c0-afb0-47ec-b5b9-67698c332a10.jpg</t>
        </is>
      </c>
      <c r="B429">
        <f>HYPERLINK("Объекты недвижимости, не соответствующие градостроительным нормам_00-022_Август/d39486c0-afb0-47ec-b5b9-67698c332a10.jpg","open")</f>
        <v/>
      </c>
      <c r="C429" t="inlineStr">
        <is>
          <t>685d9054-b74f-49ab-857b-109fd2cec80d</t>
        </is>
      </c>
      <c r="D429" t="n">
        <v>56.17889</v>
      </c>
      <c r="E429" t="n">
        <v>37.42435</v>
      </c>
      <c r="F429" t="inlineStr"/>
      <c r="G429" t="inlineStr"/>
      <c r="H429" t="inlineStr"/>
    </row>
    <row r="430">
      <c r="A430" t="inlineStr">
        <is>
          <t>0d9ab78b-2cbe-4403-8a69-38e66c56f61d.jpg</t>
        </is>
      </c>
      <c r="B430">
        <f>HYPERLINK("Объекты недвижимости, не соответствующие градостроительным нормам_00-022_Август/0d9ab78b-2cbe-4403-8a69-38e66c56f61d.jpg","open")</f>
        <v/>
      </c>
      <c r="C430" t="inlineStr">
        <is>
          <t>1a55986c-2c3f-40c0-b3d1-014dce77832e</t>
        </is>
      </c>
      <c r="D430" t="n">
        <v>55.7718</v>
      </c>
      <c r="E430" t="n">
        <v>37.51539</v>
      </c>
      <c r="F430" t="inlineStr"/>
      <c r="G430" t="inlineStr"/>
      <c r="H430" t="inlineStr"/>
    </row>
    <row r="431">
      <c r="A431" t="inlineStr">
        <is>
          <t>69d7f3ec-7847-47eb-8243-99ae841141b3.jpg</t>
        </is>
      </c>
      <c r="B431">
        <f>HYPERLINK("Объекты недвижимости, не соответствующие градостроительным нормам_00-022_Август/69d7f3ec-7847-47eb-8243-99ae841141b3.jpg","open")</f>
        <v/>
      </c>
      <c r="C431" t="inlineStr">
        <is>
          <t>ed2bf0f1-3a66-4913-896e-4420a9796c0b</t>
        </is>
      </c>
      <c r="D431" t="n">
        <v>55.77182</v>
      </c>
      <c r="E431" t="n">
        <v>37.51533</v>
      </c>
      <c r="F431" t="inlineStr"/>
      <c r="G431" t="inlineStr"/>
      <c r="H431" t="inlineStr"/>
    </row>
    <row r="432">
      <c r="A432" t="inlineStr">
        <is>
          <t>ae897163-a2c8-4936-bb4b-9192acafbb5e.jpg</t>
        </is>
      </c>
      <c r="B432">
        <f>HYPERLINK("Объекты недвижимости, не соответствующие градостроительным нормам_00-022_Август/ae897163-a2c8-4936-bb4b-9192acafbb5e.jpg","open")</f>
        <v/>
      </c>
      <c r="C432" t="inlineStr">
        <is>
          <t>1a55986c-2c3f-40c0-b3d1-014dce77832e</t>
        </is>
      </c>
      <c r="D432" t="n">
        <v>55.77176</v>
      </c>
      <c r="E432" t="n">
        <v>37.51303</v>
      </c>
      <c r="F432" t="inlineStr"/>
      <c r="G432" t="inlineStr"/>
      <c r="H432" t="inlineStr"/>
    </row>
    <row r="433">
      <c r="A433" t="inlineStr">
        <is>
          <t>1c39b89e-3b36-4aec-af26-4f7b9d5946da.jpg</t>
        </is>
      </c>
      <c r="B433">
        <f>HYPERLINK("Объекты недвижимости, не соответствующие градостроительным нормам_00-022_Август/1c39b89e-3b36-4aec-af26-4f7b9d5946da.jpg","open")</f>
        <v/>
      </c>
      <c r="C433" t="inlineStr">
        <is>
          <t>ed2bf0f1-3a66-4913-896e-4420a9796c0b</t>
        </is>
      </c>
      <c r="D433" t="n">
        <v>55.7716</v>
      </c>
      <c r="E433" t="n">
        <v>37.51316</v>
      </c>
      <c r="F433" t="inlineStr"/>
      <c r="G433" t="inlineStr"/>
      <c r="H433" t="inlineStr"/>
    </row>
    <row r="434">
      <c r="A434" t="inlineStr">
        <is>
          <t>239da140-20b4-4faf-8f00-51848d2a07e1.jpg</t>
        </is>
      </c>
      <c r="B434">
        <f>HYPERLINK("Объекты недвижимости, не соответствующие градостроительным нормам_00-022_Август/239da140-20b4-4faf-8f00-51848d2a07e1.jpg","open")</f>
        <v/>
      </c>
      <c r="C434" t="inlineStr">
        <is>
          <t>8cde1fd0-eca1-4510-86ab-3c743b65fdfc</t>
        </is>
      </c>
      <c r="D434" t="n">
        <v>55.73191</v>
      </c>
      <c r="E434" t="n">
        <v>37.75662</v>
      </c>
      <c r="F434" t="inlineStr"/>
      <c r="G434" t="inlineStr"/>
      <c r="H434" t="inlineStr"/>
    </row>
    <row r="435">
      <c r="A435" t="inlineStr">
        <is>
          <t>5b8f981e-5b6f-4f9c-bb2e-fb1eead1e858.jpg</t>
        </is>
      </c>
      <c r="B435">
        <f>HYPERLINK("Объекты недвижимости, не соответствующие градостроительным нормам_00-022_Август/5b8f981e-5b6f-4f9c-bb2e-fb1eead1e858.jpg","open")</f>
        <v/>
      </c>
      <c r="C435" t="inlineStr">
        <is>
          <t>91248771-2c4d-44f3-b3cf-d536bd4ae73c</t>
        </is>
      </c>
      <c r="D435" t="n">
        <v>55.7793</v>
      </c>
      <c r="E435" t="n">
        <v>37.72091</v>
      </c>
      <c r="F435" t="inlineStr"/>
      <c r="G435" t="inlineStr"/>
      <c r="H435" t="inlineStr"/>
    </row>
    <row r="436">
      <c r="A436" t="inlineStr">
        <is>
          <t>683dbb7d-9e26-4a69-9c39-d0cba51cfb14.jpg</t>
        </is>
      </c>
      <c r="B436">
        <f>HYPERLINK("Объекты недвижимости, не соответствующие градостроительным нормам_00-022_Август/683dbb7d-9e26-4a69-9c39-d0cba51cfb14.jpg","open")</f>
        <v/>
      </c>
      <c r="C436" t="inlineStr">
        <is>
          <t>8cde1fd0-eca1-4510-86ab-3c743b65fdfc</t>
        </is>
      </c>
      <c r="D436" t="n">
        <v>55.73159</v>
      </c>
      <c r="E436" t="n">
        <v>37.75652</v>
      </c>
      <c r="F436" t="inlineStr"/>
      <c r="G436" t="inlineStr"/>
      <c r="H436" t="inlineStr"/>
    </row>
    <row r="437">
      <c r="A437" t="inlineStr">
        <is>
          <t>9fdc1a83-724e-4536-889f-f4d551a27c7b.jpg</t>
        </is>
      </c>
      <c r="B437">
        <f>HYPERLINK("Объекты недвижимости, не соответствующие градостроительным нормам_00-022_Август/9fdc1a83-724e-4536-889f-f4d551a27c7b.jpg","open")</f>
        <v/>
      </c>
      <c r="C437" t="inlineStr">
        <is>
          <t>8cde1fd0-eca1-4510-86ab-3c743b65fdfc</t>
        </is>
      </c>
      <c r="D437" t="n">
        <v>55.73151</v>
      </c>
      <c r="E437" t="n">
        <v>37.75656</v>
      </c>
      <c r="F437" t="inlineStr"/>
      <c r="G437" t="inlineStr"/>
      <c r="H437" t="inlineStr"/>
    </row>
    <row r="438">
      <c r="A438" t="inlineStr">
        <is>
          <t>bbdb43fd-26d0-4e82-8408-e077f06e9375.jpg</t>
        </is>
      </c>
      <c r="B438">
        <f>HYPERLINK("Объекты недвижимости, не соответствующие градостроительным нормам_00-022_Август/bbdb43fd-26d0-4e82-8408-e077f06e9375.jpg","open")</f>
        <v/>
      </c>
      <c r="C438" t="inlineStr">
        <is>
          <t>8cde1fd0-eca1-4510-86ab-3c743b65fdfc</t>
        </is>
      </c>
      <c r="D438" t="n">
        <v>55.73151</v>
      </c>
      <c r="E438" t="n">
        <v>37.75657</v>
      </c>
      <c r="F438" t="inlineStr"/>
      <c r="G438" t="inlineStr"/>
      <c r="H438" t="inlineStr"/>
    </row>
    <row r="439">
      <c r="A439" t="inlineStr">
        <is>
          <t>0f705ba0-a10c-4ef5-b0cb-d62e49096ba2.jpg</t>
        </is>
      </c>
      <c r="B439">
        <f>HYPERLINK("Объекты недвижимости, не соответствующие градостроительным нормам_00-022_Август/0f705ba0-a10c-4ef5-b0cb-d62e49096ba2.jpg","open")</f>
        <v/>
      </c>
      <c r="C439" t="inlineStr">
        <is>
          <t>57aae8a4-582b-4309-8045-c8127a9f86ae</t>
        </is>
      </c>
      <c r="D439" t="n">
        <v>55.79956</v>
      </c>
      <c r="E439" t="n">
        <v>37.7923</v>
      </c>
      <c r="F439" t="inlineStr"/>
      <c r="G439" t="inlineStr"/>
      <c r="H439" t="inlineStr"/>
    </row>
    <row r="440">
      <c r="A440" t="inlineStr">
        <is>
          <t>8b4feb78-347a-46ec-a8c6-a09f827a4db3.jpg</t>
        </is>
      </c>
      <c r="B440">
        <f>HYPERLINK("Объекты недвижимости, не соответствующие градостроительным нормам_00-022_Август/8b4feb78-347a-46ec-a8c6-a09f827a4db3.jpg","open")</f>
        <v/>
      </c>
      <c r="C440" t="inlineStr">
        <is>
          <t>91248771-2c4d-44f3-b3cf-d536bd4ae73c</t>
        </is>
      </c>
      <c r="D440" t="n">
        <v>55.7793</v>
      </c>
      <c r="E440" t="n">
        <v>37.72091</v>
      </c>
      <c r="F440" t="inlineStr"/>
      <c r="G440" t="inlineStr"/>
      <c r="H440" t="inlineStr"/>
    </row>
    <row r="441">
      <c r="A441" t="inlineStr">
        <is>
          <t>bf974503-2376-4f47-beb1-022aeb14cb19.jpg</t>
        </is>
      </c>
      <c r="B441">
        <f>HYPERLINK("Объекты недвижимости, не соответствующие градостроительным нормам_00-022_Август/bf974503-2376-4f47-beb1-022aeb14cb19.jpg","open")</f>
        <v/>
      </c>
      <c r="C441" t="inlineStr">
        <is>
          <t>ed2bf0f1-3a66-4913-896e-4420a9796c0b</t>
        </is>
      </c>
      <c r="D441" t="n">
        <v>55.77488</v>
      </c>
      <c r="E441" t="n">
        <v>37.5206</v>
      </c>
      <c r="F441" t="inlineStr"/>
      <c r="G441" t="inlineStr"/>
      <c r="H441" t="inlineStr"/>
    </row>
    <row r="442">
      <c r="A442" t="inlineStr">
        <is>
          <t>f307cde1-1707-4b3c-a7d8-f0eaa06515f7.jpg</t>
        </is>
      </c>
      <c r="B442">
        <f>HYPERLINK("Объекты недвижимости, не соответствующие градостроительным нормам_00-022_Август/f307cde1-1707-4b3c-a7d8-f0eaa06515f7.jpg","open")</f>
        <v/>
      </c>
      <c r="C442" t="inlineStr">
        <is>
          <t>12e795ad-2aa7-49de-b2da-2c6aa35a4559</t>
        </is>
      </c>
      <c r="D442" t="n">
        <v>55.54171</v>
      </c>
      <c r="E442" t="n">
        <v>37.54399</v>
      </c>
      <c r="F442" t="inlineStr"/>
      <c r="G442" t="inlineStr"/>
      <c r="H442" t="inlineStr"/>
    </row>
    <row r="443">
      <c r="A443" t="inlineStr">
        <is>
          <t>5e6f2baf-7877-492b-8625-e5aef575165a.jpg</t>
        </is>
      </c>
      <c r="B443">
        <f>HYPERLINK("Объекты недвижимости, не соответствующие градостроительным нормам_00-022_Август/5e6f2baf-7877-492b-8625-e5aef575165a.jpg","open")</f>
        <v/>
      </c>
      <c r="C443" t="inlineStr">
        <is>
          <t>5e5b9944-4f9e-4223-bf96-0bc0c8a93dfa</t>
        </is>
      </c>
      <c r="D443" t="n">
        <v>55.97202</v>
      </c>
      <c r="E443" t="n">
        <v>37.43104</v>
      </c>
      <c r="F443" t="inlineStr"/>
      <c r="G443" t="inlineStr"/>
      <c r="H443" t="inlineStr"/>
    </row>
    <row r="444">
      <c r="A444" t="inlineStr">
        <is>
          <t>2fa4cdd4-a50f-4fdd-acee-cb43d3443201.jpg</t>
        </is>
      </c>
      <c r="B444">
        <f>HYPERLINK("Объекты недвижимости, не соответствующие градостроительным нормам_00-022_Август/2fa4cdd4-a50f-4fdd-acee-cb43d3443201.jpg","open")</f>
        <v/>
      </c>
      <c r="C444" t="inlineStr">
        <is>
          <t>5e5b9944-4f9e-4223-bf96-0bc0c8a93dfa</t>
        </is>
      </c>
      <c r="D444" t="n">
        <v>55.97202</v>
      </c>
      <c r="E444" t="n">
        <v>37.43104</v>
      </c>
      <c r="F444" t="inlineStr"/>
      <c r="G444" t="inlineStr"/>
      <c r="H444" t="inlineStr"/>
    </row>
    <row r="445">
      <c r="A445" t="inlineStr">
        <is>
          <t>eba88c63-da4b-44db-93a4-d0878be9452d.jpg</t>
        </is>
      </c>
      <c r="B445">
        <f>HYPERLINK("Объекты недвижимости, не соответствующие градостроительным нормам_00-022_Август/eba88c63-da4b-44db-93a4-d0878be9452d.jpg","open")</f>
        <v/>
      </c>
      <c r="C445" t="inlineStr">
        <is>
          <t>5e5b9944-4f9e-4223-bf96-0bc0c8a93dfa</t>
        </is>
      </c>
      <c r="D445" t="n">
        <v>55.97303</v>
      </c>
      <c r="E445" t="n">
        <v>37.40107</v>
      </c>
      <c r="F445" t="inlineStr"/>
      <c r="G445" t="inlineStr"/>
      <c r="H445" t="inlineStr"/>
    </row>
    <row r="446">
      <c r="A446" t="inlineStr">
        <is>
          <t>45057e5f-a0a3-4c90-8909-216178486eb8.jpg</t>
        </is>
      </c>
      <c r="B446">
        <f>HYPERLINK("Объекты недвижимости, не соответствующие градостроительным нормам_00-022_Август/45057e5f-a0a3-4c90-8909-216178486eb8.jpg","open")</f>
        <v/>
      </c>
      <c r="C446" t="inlineStr">
        <is>
          <t>1a55986c-2c3f-40c0-b3d1-014dce77832e</t>
        </is>
      </c>
      <c r="D446" t="n">
        <v>55.77328</v>
      </c>
      <c r="E446" t="n">
        <v>37.52272</v>
      </c>
      <c r="F446" t="inlineStr"/>
      <c r="G446" t="inlineStr"/>
      <c r="H446" t="inlineStr"/>
    </row>
    <row r="447">
      <c r="A447" t="inlineStr">
        <is>
          <t>093e51ac-c4cb-4271-a42b-20ebd3fca27b.jpg</t>
        </is>
      </c>
      <c r="B447">
        <f>HYPERLINK("Объекты недвижимости, не соответствующие градостроительным нормам_00-022_Август/093e51ac-c4cb-4271-a42b-20ebd3fca27b.jpg","open")</f>
        <v/>
      </c>
      <c r="C447" t="inlineStr">
        <is>
          <t>ed2bf0f1-3a66-4913-896e-4420a9796c0b</t>
        </is>
      </c>
      <c r="D447" t="n">
        <v>55.77306</v>
      </c>
      <c r="E447" t="n">
        <v>37.52366</v>
      </c>
      <c r="F447" t="inlineStr"/>
      <c r="G447" t="inlineStr"/>
      <c r="H447" t="inlineStr"/>
    </row>
    <row r="448">
      <c r="A448" t="inlineStr">
        <is>
          <t>b28e068a-c2a3-4fbe-bc80-17d18983e0ef.jpg</t>
        </is>
      </c>
      <c r="B448">
        <f>HYPERLINK("Объекты недвижимости, не соответствующие градостроительным нормам_00-022_Август/b28e068a-c2a3-4fbe-bc80-17d18983e0ef.jpg","open")</f>
        <v/>
      </c>
      <c r="C448" t="inlineStr">
        <is>
          <t>8b2675e2-7f40-47a9-a462-7c9feecd299c</t>
        </is>
      </c>
      <c r="D448" t="n">
        <v>55.58665</v>
      </c>
      <c r="E448" t="n">
        <v>37.47267</v>
      </c>
      <c r="F448" t="inlineStr"/>
      <c r="G448" t="inlineStr"/>
      <c r="H448" t="inlineStr"/>
    </row>
    <row r="449">
      <c r="A449" t="inlineStr">
        <is>
          <t>a17886ef-1459-499b-b9df-2ae119ad4140.jpg</t>
        </is>
      </c>
      <c r="B449">
        <f>HYPERLINK("Объекты недвижимости, не соответствующие градостроительным нормам_00-022_Август/a17886ef-1459-499b-b9df-2ae119ad4140.jpg","open")</f>
        <v/>
      </c>
      <c r="C449" t="inlineStr">
        <is>
          <t>1a55986c-2c3f-40c0-b3d1-014dce77832e</t>
        </is>
      </c>
      <c r="D449" t="n">
        <v>55.77029</v>
      </c>
      <c r="E449" t="n">
        <v>37.5243</v>
      </c>
      <c r="F449" t="inlineStr"/>
      <c r="G449" t="inlineStr"/>
      <c r="H449" t="inlineStr"/>
    </row>
    <row r="450">
      <c r="A450" t="inlineStr">
        <is>
          <t>b143c729-c1dd-494b-8498-4f6e8a931d5e.jpg</t>
        </is>
      </c>
      <c r="B450">
        <f>HYPERLINK("Объекты недвижимости, не соответствующие градостроительным нормам_00-022_Август/b143c729-c1dd-494b-8498-4f6e8a931d5e.jpg","open")</f>
        <v/>
      </c>
      <c r="C450" t="inlineStr">
        <is>
          <t>b0429a31-0c70-4b9f-8ea5-73929d82f89e</t>
        </is>
      </c>
      <c r="D450" t="n">
        <v>55.67677</v>
      </c>
      <c r="E450" t="n">
        <v>37.62888</v>
      </c>
      <c r="F450" t="inlineStr"/>
      <c r="G450" t="inlineStr"/>
      <c r="H450" t="inlineStr"/>
    </row>
    <row r="451">
      <c r="A451" t="inlineStr">
        <is>
          <t>21f41026-733e-4f8a-8db9-ddbab54c0d43.jpg</t>
        </is>
      </c>
      <c r="B451">
        <f>HYPERLINK("Объекты недвижимости, не соответствующие градостроительным нормам_00-022_Август/21f41026-733e-4f8a-8db9-ddbab54c0d43.jpg","open")</f>
        <v/>
      </c>
      <c r="C451" t="inlineStr">
        <is>
          <t>1a55986c-2c3f-40c0-b3d1-014dce77832e</t>
        </is>
      </c>
      <c r="D451" t="n">
        <v>55.77214</v>
      </c>
      <c r="E451" t="n">
        <v>37.52584</v>
      </c>
      <c r="F451" t="inlineStr"/>
      <c r="G451" t="inlineStr"/>
      <c r="H451" t="inlineStr"/>
    </row>
    <row r="452">
      <c r="A452" t="inlineStr">
        <is>
          <t>677a23fd-5f41-4509-847e-71023e043d56.jpg</t>
        </is>
      </c>
      <c r="B452">
        <f>HYPERLINK("Объекты недвижимости, не соответствующие градостроительным нормам_00-022_Август/677a23fd-5f41-4509-847e-71023e043d56.jpg","open")</f>
        <v/>
      </c>
      <c r="C452" t="inlineStr">
        <is>
          <t>b0429a31-0c70-4b9f-8ea5-73929d82f89e</t>
        </is>
      </c>
      <c r="D452" t="n">
        <v>55.67683</v>
      </c>
      <c r="E452" t="n">
        <v>37.62886</v>
      </c>
      <c r="F452" t="inlineStr"/>
      <c r="G452" t="inlineStr"/>
      <c r="H452" t="inlineStr"/>
    </row>
    <row r="453">
      <c r="A453" t="inlineStr">
        <is>
          <t>2a128e8b-7952-44d3-913f-5d0ea2ab442a.jpg</t>
        </is>
      </c>
      <c r="B453">
        <f>HYPERLINK("Объекты недвижимости, не соответствующие градостроительным нормам_00-022_Август/2a128e8b-7952-44d3-913f-5d0ea2ab442a.jpg","open")</f>
        <v/>
      </c>
      <c r="C453" t="inlineStr">
        <is>
          <t>8cde1fd0-eca1-4510-86ab-3c743b65fdfc</t>
        </is>
      </c>
      <c r="D453" t="n">
        <v>55.73441</v>
      </c>
      <c r="E453" t="n">
        <v>37.70831</v>
      </c>
      <c r="F453" t="inlineStr"/>
      <c r="G453" t="inlineStr"/>
      <c r="H453" t="inlineStr"/>
    </row>
    <row r="454">
      <c r="A454" t="inlineStr">
        <is>
          <t>055421b1-2e19-4ccc-9260-a4b7baa90a6f.jpg</t>
        </is>
      </c>
      <c r="B454">
        <f>HYPERLINK("Объекты недвижимости, не соответствующие градостроительным нормам_00-022_Август/055421b1-2e19-4ccc-9260-a4b7baa90a6f.jpg","open")</f>
        <v/>
      </c>
      <c r="C454" t="inlineStr">
        <is>
          <t>a28f597e-d1cd-4d3b-b572-c86d033412e9</t>
        </is>
      </c>
      <c r="D454" t="n">
        <v>55.65028</v>
      </c>
      <c r="E454" t="n">
        <v>37.4116</v>
      </c>
      <c r="F454" t="inlineStr"/>
      <c r="G454" t="inlineStr"/>
      <c r="H454" t="inlineStr"/>
    </row>
    <row r="455">
      <c r="A455" t="inlineStr">
        <is>
          <t>dc674587-7ef0-4989-baf1-7b3d4617a2ed.jpg</t>
        </is>
      </c>
      <c r="B455">
        <f>HYPERLINK("Объекты недвижимости, не соответствующие градостроительным нормам_00-022_Август/dc674587-7ef0-4989-baf1-7b3d4617a2ed.jpg","open")</f>
        <v/>
      </c>
      <c r="C455" t="inlineStr">
        <is>
          <t>29ad9edb-d533-4272-a986-be24eb004851</t>
        </is>
      </c>
      <c r="D455" t="n">
        <v>55.35536</v>
      </c>
      <c r="E455" t="n">
        <v>42.3546</v>
      </c>
      <c r="F455" t="inlineStr"/>
      <c r="G455" t="inlineStr"/>
      <c r="H455" t="inlineStr"/>
    </row>
    <row r="456">
      <c r="A456" t="inlineStr">
        <is>
          <t>2cc2d80a-ba08-4430-98cc-a1635193e542.jpg</t>
        </is>
      </c>
      <c r="B456">
        <f>HYPERLINK("Объекты недвижимости, не соответствующие градостроительным нормам_00-022_Август/2cc2d80a-ba08-4430-98cc-a1635193e542.jpg","open")</f>
        <v/>
      </c>
      <c r="C456" t="inlineStr">
        <is>
          <t>8cde1fd0-eca1-4510-86ab-3c743b65fdfc</t>
        </is>
      </c>
      <c r="D456" t="n">
        <v>55.737</v>
      </c>
      <c r="E456" t="n">
        <v>37.70482</v>
      </c>
      <c r="F456" t="inlineStr"/>
      <c r="G456" t="inlineStr"/>
      <c r="H456" t="inlineStr"/>
    </row>
    <row r="457">
      <c r="A457" t="inlineStr">
        <is>
          <t>838582cd-69cf-4350-96b5-79343e336b38.jpg</t>
        </is>
      </c>
      <c r="B457">
        <f>HYPERLINK("Объекты недвижимости, не соответствующие градостроительным нормам_00-022_Август/838582cd-69cf-4350-96b5-79343e336b38.jpg","open")</f>
        <v/>
      </c>
      <c r="C457" t="inlineStr">
        <is>
          <t>29ad9edb-d533-4272-a986-be24eb004851</t>
        </is>
      </c>
      <c r="D457" t="n">
        <v>55.35536</v>
      </c>
      <c r="E457" t="n">
        <v>42.3546</v>
      </c>
      <c r="F457" t="inlineStr"/>
      <c r="G457" t="inlineStr"/>
      <c r="H457" t="inlineStr"/>
    </row>
    <row r="458">
      <c r="A458" t="inlineStr">
        <is>
          <t>7053a5da-32ff-4060-bc5e-510754243556.jpg</t>
        </is>
      </c>
      <c r="B458">
        <f>HYPERLINK("Объекты недвижимости, не соответствующие градостроительным нормам_00-022_Август/7053a5da-32ff-4060-bc5e-510754243556.jpg","open")</f>
        <v/>
      </c>
      <c r="C458" t="inlineStr">
        <is>
          <t>acedacc2-0d8b-4fc1-9622-25621a89d071</t>
        </is>
      </c>
      <c r="D458" t="n">
        <v>55.80021</v>
      </c>
      <c r="E458" t="n">
        <v>37.78857</v>
      </c>
      <c r="F458" t="inlineStr"/>
      <c r="G458" t="inlineStr"/>
      <c r="H458" t="inlineStr"/>
    </row>
    <row r="459">
      <c r="A459" t="inlineStr">
        <is>
          <t>794643d7-27fa-4670-81d9-f2e5ea136f5e.jpg</t>
        </is>
      </c>
      <c r="B459">
        <f>HYPERLINK("Объекты недвижимости, не соответствующие градостроительным нормам_00-022_Август/794643d7-27fa-4670-81d9-f2e5ea136f5e.jpg","open")</f>
        <v/>
      </c>
      <c r="C459" t="inlineStr">
        <is>
          <t>29ad9edb-d533-4272-a986-be24eb004851</t>
        </is>
      </c>
      <c r="D459" t="n">
        <v>55.35536</v>
      </c>
      <c r="E459" t="n">
        <v>42.3546</v>
      </c>
      <c r="F459" t="inlineStr"/>
      <c r="G459" t="inlineStr"/>
      <c r="H459" t="inlineStr"/>
    </row>
    <row r="460">
      <c r="A460" t="inlineStr">
        <is>
          <t>4a91a8c2-d44e-4a36-b7ba-237875e7b619.jpg</t>
        </is>
      </c>
      <c r="B460">
        <f>HYPERLINK("Объекты недвижимости, не соответствующие градостроительным нормам_00-022_Август/4a91a8c2-d44e-4a36-b7ba-237875e7b619.jpg","open")</f>
        <v/>
      </c>
      <c r="C460" t="inlineStr">
        <is>
          <t>c008bda0-324b-4c90-9c2f-36cfc930e0b5</t>
        </is>
      </c>
      <c r="D460" t="n">
        <v>55.35536</v>
      </c>
      <c r="E460" t="n">
        <v>42.3546</v>
      </c>
      <c r="F460" t="inlineStr"/>
      <c r="G460" t="inlineStr"/>
      <c r="H460" t="inlineStr"/>
    </row>
    <row r="461">
      <c r="A461" t="inlineStr">
        <is>
          <t>c7704ece-dba4-4cfe-b46a-17fbb757ef4e.jpg</t>
        </is>
      </c>
      <c r="B461">
        <f>HYPERLINK("Объекты недвижимости, не соответствующие градостроительным нормам_00-022_Август/c7704ece-dba4-4cfe-b46a-17fbb757ef4e.jpg","open")</f>
        <v/>
      </c>
      <c r="C461" t="inlineStr">
        <is>
          <t>1c951e11-4940-43c6-a447-394097e5609a</t>
        </is>
      </c>
      <c r="D461" t="n">
        <v>55.73548</v>
      </c>
      <c r="E461" t="n">
        <v>37.7131</v>
      </c>
      <c r="F461" t="inlineStr"/>
      <c r="G461" t="inlineStr"/>
      <c r="H461" t="inlineStr"/>
    </row>
    <row r="462">
      <c r="A462" t="inlineStr">
        <is>
          <t>8bbf8c1d-7761-4c80-bdaf-550b58632817.jpg</t>
        </is>
      </c>
      <c r="B462">
        <f>HYPERLINK("Объекты недвижимости, не соответствующие градостроительным нормам_00-022_Август/8bbf8c1d-7761-4c80-bdaf-550b58632817.jpg","open")</f>
        <v/>
      </c>
      <c r="C462" t="inlineStr">
        <is>
          <t>1c951e11-4940-43c6-a447-394097e5609a</t>
        </is>
      </c>
      <c r="D462" t="n">
        <v>55.73611</v>
      </c>
      <c r="E462" t="n">
        <v>37.71101</v>
      </c>
      <c r="F462" t="inlineStr"/>
      <c r="G462" t="inlineStr"/>
      <c r="H462" t="inlineStr"/>
    </row>
    <row r="463">
      <c r="A463" t="inlineStr">
        <is>
          <t>3757955f-c646-4b04-8c8d-da3c0b53efd7.jpg</t>
        </is>
      </c>
      <c r="B463">
        <f>HYPERLINK("Объекты недвижимости, не соответствующие градостроительным нормам_00-022_Август/3757955f-c646-4b04-8c8d-da3c0b53efd7.jpg","open")</f>
        <v/>
      </c>
      <c r="C463" t="inlineStr">
        <is>
          <t>cbf95b01-f708-45a3-9ec0-3603469b538e</t>
        </is>
      </c>
      <c r="D463" t="n">
        <v>55.8371</v>
      </c>
      <c r="E463" t="n">
        <v>37.66145</v>
      </c>
      <c r="F463" t="inlineStr"/>
      <c r="G463" t="inlineStr"/>
      <c r="H463" t="inlineStr"/>
    </row>
    <row r="464">
      <c r="A464" t="inlineStr">
        <is>
          <t>584922bf-5c67-49f0-a8a4-f06241a60948.jpg</t>
        </is>
      </c>
      <c r="B464">
        <f>HYPERLINK("Объекты недвижимости, не соответствующие градостроительным нормам_00-022_Август/584922bf-5c67-49f0-a8a4-f06241a60948.jpg","open")</f>
        <v/>
      </c>
      <c r="C464" t="inlineStr">
        <is>
          <t>8cde1fd0-eca1-4510-86ab-3c743b65fdfc</t>
        </is>
      </c>
      <c r="D464" t="n">
        <v>55.74292</v>
      </c>
      <c r="E464" t="n">
        <v>37.70736</v>
      </c>
      <c r="F464" t="inlineStr"/>
      <c r="G464" t="inlineStr"/>
      <c r="H464" t="inlineStr"/>
    </row>
    <row r="465">
      <c r="A465" t="inlineStr">
        <is>
          <t>b534f431-6d6e-4f4d-934a-5787ca64f14e.jpg</t>
        </is>
      </c>
      <c r="B465">
        <f>HYPERLINK("Объекты недвижимости, не соответствующие градостроительным нормам_00-022_Август/b534f431-6d6e-4f4d-934a-5787ca64f14e.jpg","open")</f>
        <v/>
      </c>
      <c r="C465" t="inlineStr">
        <is>
          <t>ed2bf0f1-3a66-4913-896e-4420a9796c0b</t>
        </is>
      </c>
      <c r="D465" t="n">
        <v>55.77087</v>
      </c>
      <c r="E465" t="n">
        <v>37.5383</v>
      </c>
      <c r="F465" t="inlineStr"/>
      <c r="G465" t="inlineStr"/>
      <c r="H465" t="inlineStr"/>
    </row>
    <row r="466">
      <c r="A466" t="inlineStr">
        <is>
          <t>f524d07a-2cc2-485a-a6c3-179237e60ce0.jpg</t>
        </is>
      </c>
      <c r="B466">
        <f>HYPERLINK("Объекты недвижимости, не соответствующие градостроительным нормам_00-022_Август/f524d07a-2cc2-485a-a6c3-179237e60ce0.jpg","open")</f>
        <v/>
      </c>
      <c r="C466" t="inlineStr">
        <is>
          <t>31a713a9-b910-424b-b847-e0eaa2f70c70</t>
        </is>
      </c>
      <c r="D466" t="n">
        <v>55.85449</v>
      </c>
      <c r="E466" t="n">
        <v>37.51589</v>
      </c>
      <c r="F466" t="inlineStr"/>
      <c r="G466" t="inlineStr"/>
      <c r="H466" t="inlineStr"/>
    </row>
    <row r="467">
      <c r="A467" t="inlineStr">
        <is>
          <t>ff78cf57-37d2-46ea-83b9-5d11b06de8ec.jpg</t>
        </is>
      </c>
      <c r="B467">
        <f>HYPERLINK("Объекты недвижимости, не соответствующие градостроительным нормам_00-022_Август/ff78cf57-37d2-46ea-83b9-5d11b06de8ec.jpg","open")</f>
        <v/>
      </c>
      <c r="C467" t="inlineStr">
        <is>
          <t>cbf95b01-f708-45a3-9ec0-3603469b538e</t>
        </is>
      </c>
      <c r="D467" t="n">
        <v>55.83411</v>
      </c>
      <c r="E467" t="n">
        <v>37.65017</v>
      </c>
      <c r="F467" t="inlineStr"/>
      <c r="G467" t="inlineStr"/>
      <c r="H467" t="inlineStr"/>
    </row>
    <row r="468">
      <c r="A468" t="inlineStr">
        <is>
          <t>bf99ad47-968d-4bd7-9d27-e77680d8fcd8.jpg</t>
        </is>
      </c>
      <c r="B468">
        <f>HYPERLINK("Объекты недвижимости, не соответствующие градостроительным нормам_00-022_Август/bf99ad47-968d-4bd7-9d27-e77680d8fcd8.jpg","open")</f>
        <v/>
      </c>
      <c r="C468" t="inlineStr">
        <is>
          <t>cbf95b01-f708-45a3-9ec0-3603469b538e</t>
        </is>
      </c>
      <c r="D468" t="n">
        <v>55.834</v>
      </c>
      <c r="E468" t="n">
        <v>37.64989</v>
      </c>
      <c r="F468" t="inlineStr"/>
      <c r="G468" t="inlineStr"/>
      <c r="H468" t="inlineStr"/>
    </row>
    <row r="469">
      <c r="A469" t="inlineStr">
        <is>
          <t>4e9a2338-a536-45a3-9a3c-5ed1259b2719.jpg</t>
        </is>
      </c>
      <c r="B469">
        <f>HYPERLINK("Объекты недвижимости, не соответствующие градостроительным нормам_00-022_Август/4e9a2338-a536-45a3-9a3c-5ed1259b2719.jpg","open")</f>
        <v/>
      </c>
      <c r="C469" t="inlineStr">
        <is>
          <t>1c951e11-4940-43c6-a447-394097e5609a</t>
        </is>
      </c>
      <c r="D469" t="n">
        <v>55.74353</v>
      </c>
      <c r="E469" t="n">
        <v>37.70162</v>
      </c>
      <c r="F469" t="inlineStr"/>
      <c r="G469" t="inlineStr"/>
      <c r="H469" t="inlineStr"/>
    </row>
    <row r="470">
      <c r="A470" t="inlineStr">
        <is>
          <t>6a1c06d4-0d29-4e5f-bc8c-18e8770c5332.jpg</t>
        </is>
      </c>
      <c r="B470">
        <f>HYPERLINK("Объекты недвижимости, не соответствующие градостроительным нормам_00-022_Август/6a1c06d4-0d29-4e5f-bc8c-18e8770c5332.jpg","open")</f>
        <v/>
      </c>
      <c r="C470" t="inlineStr">
        <is>
          <t>8cde1fd0-eca1-4510-86ab-3c743b65fdfc</t>
        </is>
      </c>
      <c r="D470" t="n">
        <v>55.73431</v>
      </c>
      <c r="E470" t="n">
        <v>37.69728</v>
      </c>
      <c r="F470" t="inlineStr"/>
      <c r="G470" t="inlineStr"/>
      <c r="H470" t="inlineStr"/>
    </row>
    <row r="471">
      <c r="A471" t="inlineStr">
        <is>
          <t>ff55f0f0-eb1a-4b15-bf7f-29d60ba3ae5e.jpg</t>
        </is>
      </c>
      <c r="B471">
        <f>HYPERLINK("Объекты недвижимости, не соответствующие градостроительным нормам_00-022_Август/ff55f0f0-eb1a-4b15-bf7f-29d60ba3ae5e.jpg","open")</f>
        <v/>
      </c>
      <c r="C471" t="inlineStr">
        <is>
          <t>ed2bf0f1-3a66-4913-896e-4420a9796c0b</t>
        </is>
      </c>
      <c r="D471" t="n">
        <v>55.77285</v>
      </c>
      <c r="E471" t="n">
        <v>37.54281</v>
      </c>
      <c r="F471" t="inlineStr"/>
      <c r="G471" t="inlineStr"/>
      <c r="H471" t="inlineStr"/>
    </row>
    <row r="472">
      <c r="A472" t="inlineStr">
        <is>
          <t>9a6fa76a-b354-408e-bde7-f00fae1c46d8.jpg</t>
        </is>
      </c>
      <c r="B472">
        <f>HYPERLINK("Объекты недвижимости, не соответствующие градостроительным нормам_00-022_Август/9a6fa76a-b354-408e-bde7-f00fae1c46d8.jpg","open")</f>
        <v/>
      </c>
      <c r="C472" t="inlineStr">
        <is>
          <t>8cde1fd0-eca1-4510-86ab-3c743b65fdfc</t>
        </is>
      </c>
      <c r="D472" t="n">
        <v>55.7336</v>
      </c>
      <c r="E472" t="n">
        <v>37.69991</v>
      </c>
      <c r="F472" t="inlineStr"/>
      <c r="G472" t="inlineStr"/>
      <c r="H472" t="inlineStr"/>
    </row>
    <row r="473">
      <c r="A473" t="inlineStr">
        <is>
          <t>17dd5642-57f3-48e5-8596-c3ca78825e9a.jpg</t>
        </is>
      </c>
      <c r="B473">
        <f>HYPERLINK("Объекты недвижимости, не соответствующие градостроительным нормам_00-022_Август/17dd5642-57f3-48e5-8596-c3ca78825e9a.jpg","open")</f>
        <v/>
      </c>
      <c r="C473" t="inlineStr">
        <is>
          <t>1a55986c-2c3f-40c0-b3d1-014dce77832e</t>
        </is>
      </c>
      <c r="D473" t="n">
        <v>55.77285</v>
      </c>
      <c r="E473" t="n">
        <v>37.54285</v>
      </c>
      <c r="F473" t="inlineStr"/>
      <c r="G473" t="inlineStr"/>
      <c r="H473" t="inlineStr"/>
    </row>
    <row r="474">
      <c r="A474" t="inlineStr">
        <is>
          <t>e9618c8b-f6b1-4a23-bba0-08bdd14d1648.jpg</t>
        </is>
      </c>
      <c r="B474">
        <f>HYPERLINK("Объекты недвижимости, не соответствующие градостроительным нормам_00-022_Август/e9618c8b-f6b1-4a23-bba0-08bdd14d1648.jpg","open")</f>
        <v/>
      </c>
      <c r="C474" t="inlineStr">
        <is>
          <t>1c951e11-4940-43c6-a447-394097e5609a</t>
        </is>
      </c>
      <c r="D474" t="n">
        <v>55.74069</v>
      </c>
      <c r="E474" t="n">
        <v>37.70112</v>
      </c>
      <c r="F474" t="inlineStr"/>
      <c r="G474" t="inlineStr"/>
      <c r="H474" t="inlineStr"/>
    </row>
    <row r="475">
      <c r="A475" t="inlineStr">
        <is>
          <t>4b720b01-8421-4a07-89d2-ae734596ce76.jpg</t>
        </is>
      </c>
      <c r="B475">
        <f>HYPERLINK("Объекты недвижимости, не соответствующие градостроительным нормам_00-022_Август/4b720b01-8421-4a07-89d2-ae734596ce76.jpg","open")</f>
        <v/>
      </c>
      <c r="C475" t="inlineStr">
        <is>
          <t>ed2bf0f1-3a66-4913-896e-4420a9796c0b</t>
        </is>
      </c>
      <c r="D475" t="n">
        <v>55.7727</v>
      </c>
      <c r="E475" t="n">
        <v>37.54229</v>
      </c>
      <c r="F475" t="inlineStr"/>
      <c r="G475" t="inlineStr"/>
      <c r="H475" t="inlineStr"/>
    </row>
    <row r="476">
      <c r="A476" t="inlineStr">
        <is>
          <t>69f6f963-52d8-4d71-8820-8efc704e80c3.jpg</t>
        </is>
      </c>
      <c r="B476">
        <f>HYPERLINK("Объекты недвижимости, не соответствующие градостроительным нормам_00-022_Август/69f6f963-52d8-4d71-8820-8efc704e80c3.jpg","open")</f>
        <v/>
      </c>
      <c r="C476" t="inlineStr">
        <is>
          <t>1c951e11-4940-43c6-a447-394097e5609a</t>
        </is>
      </c>
      <c r="D476" t="n">
        <v>55.74046</v>
      </c>
      <c r="E476" t="n">
        <v>37.70157</v>
      </c>
      <c r="F476" t="inlineStr"/>
      <c r="G476" t="inlineStr"/>
      <c r="H476" t="inlineStr"/>
    </row>
    <row r="477">
      <c r="A477" t="inlineStr">
        <is>
          <t>1d69077d-2a1b-4be3-8b93-025f3d862350.jpg</t>
        </is>
      </c>
      <c r="B477">
        <f>HYPERLINK("Объекты недвижимости, не соответствующие градостроительным нормам_00-022_Август/1d69077d-2a1b-4be3-8b93-025f3d862350.jpg","open")</f>
        <v/>
      </c>
      <c r="C477" t="inlineStr">
        <is>
          <t>8cde1fd0-eca1-4510-86ab-3c743b65fdfc</t>
        </is>
      </c>
      <c r="D477" t="n">
        <v>55.74046</v>
      </c>
      <c r="E477" t="n">
        <v>37.70156</v>
      </c>
      <c r="F477" t="inlineStr"/>
      <c r="G477" t="inlineStr"/>
      <c r="H477" t="inlineStr"/>
    </row>
    <row r="478">
      <c r="A478" t="inlineStr">
        <is>
          <t>7524329d-aae2-4e5a-9f71-48101dd6de75.jpg</t>
        </is>
      </c>
      <c r="B478">
        <f>HYPERLINK("Объекты недвижимости, не соответствующие градостроительным нормам_00-022_Август/7524329d-aae2-4e5a-9f71-48101dd6de75.jpg","open")</f>
        <v/>
      </c>
      <c r="C478" t="inlineStr">
        <is>
          <t>8cde1fd0-eca1-4510-86ab-3c743b65fdfc</t>
        </is>
      </c>
      <c r="D478" t="n">
        <v>55.74047</v>
      </c>
      <c r="E478" t="n">
        <v>37.70066</v>
      </c>
      <c r="F478" t="inlineStr"/>
      <c r="G478" t="inlineStr"/>
      <c r="H478" t="inlineStr"/>
    </row>
    <row r="479">
      <c r="A479" t="inlineStr">
        <is>
          <t>48c36a05-46b2-4d6b-8e72-fbaeeca2e129.jpg</t>
        </is>
      </c>
      <c r="B479">
        <f>HYPERLINK("Объекты недвижимости, не соответствующие градостроительным нормам_00-022_Август/48c36a05-46b2-4d6b-8e72-fbaeeca2e129.jpg","open")</f>
        <v/>
      </c>
      <c r="C479" t="inlineStr">
        <is>
          <t>1c951e11-4940-43c6-a447-394097e5609a</t>
        </is>
      </c>
      <c r="D479" t="n">
        <v>55.74047</v>
      </c>
      <c r="E479" t="n">
        <v>37.70066</v>
      </c>
      <c r="F479" t="inlineStr"/>
      <c r="G479" t="inlineStr"/>
      <c r="H479" t="inlineStr"/>
    </row>
    <row r="480">
      <c r="A480" t="inlineStr">
        <is>
          <t>aaf03e6e-b103-4c12-bd95-9c1113f8ff31.jpg</t>
        </is>
      </c>
      <c r="B480">
        <f>HYPERLINK("Объекты недвижимости, не соответствующие градостроительным нормам_00-022_Август/aaf03e6e-b103-4c12-bd95-9c1113f8ff31.jpg","open")</f>
        <v/>
      </c>
      <c r="C480" t="inlineStr">
        <is>
          <t>1c951e11-4940-43c6-a447-394097e5609a</t>
        </is>
      </c>
      <c r="D480" t="n">
        <v>55.74048</v>
      </c>
      <c r="E480" t="n">
        <v>37.70054</v>
      </c>
      <c r="F480" t="inlineStr"/>
      <c r="G480" t="inlineStr"/>
      <c r="H480" t="inlineStr"/>
    </row>
    <row r="481">
      <c r="A481" t="inlineStr">
        <is>
          <t>693e3ae2-f0e7-4927-bfbc-bd79f09f16a9.jpg</t>
        </is>
      </c>
      <c r="B481">
        <f>HYPERLINK("Объекты недвижимости, не соответствующие градостроительным нормам_00-022_Август/693e3ae2-f0e7-4927-bfbc-bd79f09f16a9.jpg","open")</f>
        <v/>
      </c>
      <c r="C481" t="inlineStr">
        <is>
          <t>8cde1fd0-eca1-4510-86ab-3c743b65fdfc</t>
        </is>
      </c>
      <c r="D481" t="n">
        <v>55.74048</v>
      </c>
      <c r="E481" t="n">
        <v>37.70054</v>
      </c>
      <c r="F481" t="inlineStr"/>
      <c r="G481" t="inlineStr"/>
      <c r="H481" t="inlineStr"/>
    </row>
    <row r="482">
      <c r="A482" t="inlineStr">
        <is>
          <t>6196add0-7806-4378-89ca-c2339bb631e4.jpg</t>
        </is>
      </c>
      <c r="B482">
        <f>HYPERLINK("Объекты недвижимости, не соответствующие градостроительным нормам_00-022_Август/6196add0-7806-4378-89ca-c2339bb631e4.jpg","open")</f>
        <v/>
      </c>
      <c r="C482" t="inlineStr">
        <is>
          <t>1c951e11-4940-43c6-a447-394097e5609a</t>
        </is>
      </c>
      <c r="D482" t="n">
        <v>55.74047</v>
      </c>
      <c r="E482" t="n">
        <v>37.7005</v>
      </c>
      <c r="F482" t="inlineStr"/>
      <c r="G482" t="inlineStr"/>
      <c r="H482" t="inlineStr"/>
    </row>
    <row r="483">
      <c r="A483" t="inlineStr">
        <is>
          <t>493c7410-af1c-458a-96a3-6f32556d93f9.jpg</t>
        </is>
      </c>
      <c r="B483">
        <f>HYPERLINK("Объекты недвижимости, не соответствующие градостроительным нормам_00-022_Август/493c7410-af1c-458a-96a3-6f32556d93f9.jpg","open")</f>
        <v/>
      </c>
      <c r="C483" t="inlineStr">
        <is>
          <t>1c951e11-4940-43c6-a447-394097e5609a</t>
        </is>
      </c>
      <c r="D483" t="n">
        <v>55.74047</v>
      </c>
      <c r="E483" t="n">
        <v>37.70048</v>
      </c>
      <c r="F483" t="inlineStr"/>
      <c r="G483" t="inlineStr"/>
      <c r="H483" t="inlineStr"/>
    </row>
    <row r="484">
      <c r="A484" t="inlineStr">
        <is>
          <t>8ae56397-0144-4364-ad48-5d40f9a950c9.jpg</t>
        </is>
      </c>
      <c r="B484">
        <f>HYPERLINK("Объекты недвижимости, не соответствующие градостроительным нормам_00-022_Август/8ae56397-0144-4364-ad48-5d40f9a950c9.jpg","open")</f>
        <v/>
      </c>
      <c r="C484" t="inlineStr">
        <is>
          <t>8cde1fd0-eca1-4510-86ab-3c743b65fdfc</t>
        </is>
      </c>
      <c r="D484" t="n">
        <v>55.74039</v>
      </c>
      <c r="E484" t="n">
        <v>37.70039</v>
      </c>
      <c r="F484" t="inlineStr"/>
      <c r="G484" t="inlineStr"/>
      <c r="H484" t="inlineStr"/>
    </row>
    <row r="485">
      <c r="A485" t="inlineStr">
        <is>
          <t>003b18a6-9a1a-400e-9cbd-a2f5aeda559e.jpg</t>
        </is>
      </c>
      <c r="B485">
        <f>HYPERLINK("Объекты недвижимости, не соответствующие градостроительным нормам_00-022_Август/003b18a6-9a1a-400e-9cbd-a2f5aeda559e.jpg","open")</f>
        <v/>
      </c>
      <c r="C485" t="inlineStr">
        <is>
          <t>8cde1fd0-eca1-4510-86ab-3c743b65fdfc</t>
        </is>
      </c>
      <c r="D485" t="n">
        <v>55.7399</v>
      </c>
      <c r="E485" t="n">
        <v>37.70028</v>
      </c>
      <c r="F485" t="inlineStr"/>
      <c r="G485" t="inlineStr"/>
      <c r="H485" t="inlineStr"/>
    </row>
    <row r="486">
      <c r="A486" t="inlineStr">
        <is>
          <t>7460cf36-8c4a-4b10-b5ec-deba84efee8e.jpg</t>
        </is>
      </c>
      <c r="B486">
        <f>HYPERLINK("Объекты недвижимости, не соответствующие градостроительным нормам_00-022_Август/7460cf36-8c4a-4b10-b5ec-deba84efee8e.jpg","open")</f>
        <v/>
      </c>
      <c r="C486" t="inlineStr">
        <is>
          <t>8cde1fd0-eca1-4510-86ab-3c743b65fdfc</t>
        </is>
      </c>
      <c r="D486" t="n">
        <v>55.73963</v>
      </c>
      <c r="E486" t="n">
        <v>37.70024</v>
      </c>
      <c r="F486" t="inlineStr"/>
      <c r="G486" t="inlineStr"/>
      <c r="H486" t="inlineStr"/>
    </row>
    <row r="487">
      <c r="A487" t="inlineStr">
        <is>
          <t>fcf87ab4-f851-4184-88a6-2d56155ccd31.jpg</t>
        </is>
      </c>
      <c r="B487">
        <f>HYPERLINK("Объекты недвижимости, не соответствующие градостроительным нормам_00-022_Август/fcf87ab4-f851-4184-88a6-2d56155ccd31.jpg","open")</f>
        <v/>
      </c>
      <c r="C487" t="inlineStr">
        <is>
          <t>c008bda0-324b-4c90-9c2f-36cfc930e0b5</t>
        </is>
      </c>
      <c r="D487" t="n">
        <v>55.96306</v>
      </c>
      <c r="E487" t="n">
        <v>37.90525</v>
      </c>
      <c r="F487" t="inlineStr"/>
      <c r="G487" t="inlineStr"/>
      <c r="H487" t="inlineStr"/>
    </row>
    <row r="488">
      <c r="A488" t="inlineStr">
        <is>
          <t>3c160477-5fad-4bbb-a48b-ab3cbe3a6048.jpg</t>
        </is>
      </c>
      <c r="B488">
        <f>HYPERLINK("Объекты недвижимости, не соответствующие градостроительным нормам_00-022_Август/3c160477-5fad-4bbb-a48b-ab3cbe3a6048.jpg","open")</f>
        <v/>
      </c>
      <c r="C488" t="inlineStr">
        <is>
          <t>29ad9edb-d533-4272-a986-be24eb004851</t>
        </is>
      </c>
      <c r="D488" t="n">
        <v>55.96293</v>
      </c>
      <c r="E488" t="n">
        <v>37.90561</v>
      </c>
      <c r="F488" t="inlineStr"/>
      <c r="G488" t="inlineStr"/>
      <c r="H488" t="inlineStr"/>
    </row>
    <row r="489">
      <c r="A489" t="inlineStr">
        <is>
          <t>cf9a7f28-f6f6-45e8-a91e-32c55aa38197.jpg</t>
        </is>
      </c>
      <c r="B489">
        <f>HYPERLINK("Объекты недвижимости, не соответствующие градостроительным нормам_00-022_Август/cf9a7f28-f6f6-45e8-a91e-32c55aa38197.jpg","open")</f>
        <v/>
      </c>
      <c r="C489" t="inlineStr">
        <is>
          <t>ed2bf0f1-3a66-4913-896e-4420a9796c0b</t>
        </is>
      </c>
      <c r="D489" t="n">
        <v>55.77351</v>
      </c>
      <c r="E489" t="n">
        <v>37.54116</v>
      </c>
      <c r="F489" t="inlineStr"/>
      <c r="G489" t="inlineStr"/>
      <c r="H489" t="inlineStr"/>
    </row>
    <row r="490">
      <c r="A490" t="inlineStr">
        <is>
          <t>04acf93a-0b43-4dee-9bae-8d801c29a09f.jpg</t>
        </is>
      </c>
      <c r="B490">
        <f>HYPERLINK("Объекты недвижимости, не соответствующие градостроительным нормам_00-022_Август/04acf93a-0b43-4dee-9bae-8d801c29a09f.jpg","open")</f>
        <v/>
      </c>
      <c r="C490" t="inlineStr">
        <is>
          <t>1a55986c-2c3f-40c0-b3d1-014dce77832e</t>
        </is>
      </c>
      <c r="D490" t="n">
        <v>55.77336</v>
      </c>
      <c r="E490" t="n">
        <v>37.54103</v>
      </c>
      <c r="F490" t="inlineStr"/>
      <c r="G490" t="inlineStr"/>
      <c r="H490" t="inlineStr"/>
    </row>
    <row r="491">
      <c r="A491" t="inlineStr">
        <is>
          <t>3970ed7d-d383-4ed9-aabe-9cc2acf48d87.jpg</t>
        </is>
      </c>
      <c r="B491">
        <f>HYPERLINK("Объекты недвижимости, не соответствующие градостроительным нормам_00-022_Август/3970ed7d-d383-4ed9-aabe-9cc2acf48d87.jpg","open")</f>
        <v/>
      </c>
      <c r="C491" t="inlineStr">
        <is>
          <t>cbf95b01-f708-45a3-9ec0-3603469b538e</t>
        </is>
      </c>
      <c r="D491" t="n">
        <v>55.97114</v>
      </c>
      <c r="E491" t="n">
        <v>37.99351</v>
      </c>
      <c r="F491" t="inlineStr"/>
      <c r="G491" t="inlineStr"/>
      <c r="H491" t="inlineStr"/>
    </row>
    <row r="492">
      <c r="A492" t="inlineStr">
        <is>
          <t>538669ae-2713-43bf-9a91-274113439616.jpg</t>
        </is>
      </c>
      <c r="B492">
        <f>HYPERLINK("Объекты недвижимости, не соответствующие градостроительным нормам_00-022_Август/538669ae-2713-43bf-9a91-274113439616.jpg","open")</f>
        <v/>
      </c>
      <c r="C492" t="inlineStr">
        <is>
          <t>8cde1fd0-eca1-4510-86ab-3c743b65fdfc</t>
        </is>
      </c>
      <c r="D492" t="n">
        <v>55.73883</v>
      </c>
      <c r="E492" t="n">
        <v>37.70571</v>
      </c>
      <c r="F492" t="inlineStr"/>
      <c r="G492" t="inlineStr"/>
      <c r="H492" t="inlineStr"/>
    </row>
    <row r="493">
      <c r="A493" t="inlineStr">
        <is>
          <t>c86bcccc-ca9b-4686-b12c-a5c047595e64.jpg</t>
        </is>
      </c>
      <c r="B493">
        <f>HYPERLINK("Объекты недвижимости, не соответствующие градостроительным нормам_00-022_Август/c86bcccc-ca9b-4686-b12c-a5c047595e64.jpg","open")</f>
        <v/>
      </c>
      <c r="C493" t="inlineStr">
        <is>
          <t>a28f597e-d1cd-4d3b-b572-c86d033412e9</t>
        </is>
      </c>
      <c r="D493" t="n">
        <v>55.65059</v>
      </c>
      <c r="E493" t="n">
        <v>37.41205</v>
      </c>
      <c r="F493" t="inlineStr"/>
      <c r="G493" t="inlineStr"/>
      <c r="H493" t="inlineStr"/>
    </row>
    <row r="494">
      <c r="A494" t="inlineStr">
        <is>
          <t>c392bb45-4c50-431b-a3c3-a81cc9b1216a.jpg</t>
        </is>
      </c>
      <c r="B494">
        <f>HYPERLINK("Объекты недвижимости, не соответствующие градостроительным нормам_00-022_Август/c392bb45-4c50-431b-a3c3-a81cc9b1216a.jpg","open")</f>
        <v/>
      </c>
      <c r="C494" t="inlineStr">
        <is>
          <t>29ad9edb-d533-4272-a986-be24eb004851</t>
        </is>
      </c>
      <c r="D494" t="n">
        <v>56.0035</v>
      </c>
      <c r="E494" t="n">
        <v>38.01192</v>
      </c>
      <c r="F494" t="inlineStr"/>
      <c r="G494" t="inlineStr"/>
      <c r="H494" t="inlineStr"/>
    </row>
    <row r="495">
      <c r="A495" t="inlineStr">
        <is>
          <t>0b00198e-faf7-4bb6-9774-9e1311c55c5d.jpg</t>
        </is>
      </c>
      <c r="B495">
        <f>HYPERLINK("Объекты недвижимости, не соответствующие градостроительным нормам_00-022_Август/0b00198e-faf7-4bb6-9774-9e1311c55c5d.jpg","open")</f>
        <v/>
      </c>
      <c r="C495" t="inlineStr">
        <is>
          <t>cbf95b01-f708-45a3-9ec0-3603469b538e</t>
        </is>
      </c>
      <c r="D495" t="n">
        <v>56.17725</v>
      </c>
      <c r="E495" t="n">
        <v>37.42749</v>
      </c>
      <c r="F495" t="inlineStr"/>
      <c r="G495" t="inlineStr"/>
      <c r="H495" t="inlineStr"/>
    </row>
    <row r="496">
      <c r="A496" t="inlineStr">
        <is>
          <t>1313904e-bcfe-4848-a624-324bfd7354af.jpg</t>
        </is>
      </c>
      <c r="B496">
        <f>HYPERLINK("Объекты недвижимости, не соответствующие градостроительным нормам_00-022_Август/1313904e-bcfe-4848-a624-324bfd7354af.jpg","open")</f>
        <v/>
      </c>
      <c r="C496" t="inlineStr">
        <is>
          <t>1c951e11-4940-43c6-a447-394097e5609a</t>
        </is>
      </c>
      <c r="D496" t="n">
        <v>55.74335</v>
      </c>
      <c r="E496" t="n">
        <v>37.71068</v>
      </c>
      <c r="F496" t="inlineStr"/>
      <c r="G496" t="inlineStr"/>
      <c r="H496" t="inlineStr"/>
    </row>
    <row r="497">
      <c r="A497" t="inlineStr">
        <is>
          <t>eac0e5b2-ee8a-41e9-9a52-2136c472c835.jpg</t>
        </is>
      </c>
      <c r="B497">
        <f>HYPERLINK("Объекты недвижимости, не соответствующие градостроительным нормам_00-022_Август/eac0e5b2-ee8a-41e9-9a52-2136c472c835.jpg","open")</f>
        <v/>
      </c>
      <c r="C497" t="inlineStr">
        <is>
          <t>8cde1fd0-eca1-4510-86ab-3c743b65fdfc</t>
        </is>
      </c>
      <c r="D497" t="n">
        <v>55.74335</v>
      </c>
      <c r="E497" t="n">
        <v>37.71068</v>
      </c>
      <c r="F497" t="inlineStr"/>
      <c r="G497" t="inlineStr"/>
      <c r="H497" t="inlineStr"/>
    </row>
    <row r="498">
      <c r="A498" t="inlineStr">
        <is>
          <t>3afef276-3482-4871-8a04-7978efc37218.jpg</t>
        </is>
      </c>
      <c r="B498">
        <f>HYPERLINK("Объекты недвижимости, не соответствующие градостроительным нормам_00-022_Август/3afef276-3482-4871-8a04-7978efc37218.jpg","open")</f>
        <v/>
      </c>
      <c r="C498" t="inlineStr">
        <is>
          <t>cbf95b01-f708-45a3-9ec0-3603469b538e</t>
        </is>
      </c>
      <c r="D498" t="n">
        <v>56.17744</v>
      </c>
      <c r="E498" t="n">
        <v>37.42797</v>
      </c>
      <c r="F498" t="inlineStr"/>
      <c r="G498" t="inlineStr"/>
      <c r="H498" t="inlineStr"/>
    </row>
    <row r="499">
      <c r="A499" t="inlineStr">
        <is>
          <t>b78926ab-e528-450d-99f0-32fb99b315ca.jpg</t>
        </is>
      </c>
      <c r="B499">
        <f>HYPERLINK("Объекты недвижимости, не соответствующие градостроительным нормам_00-022_Август/b78926ab-e528-450d-99f0-32fb99b315ca.jpg","open")</f>
        <v/>
      </c>
      <c r="C499" t="inlineStr">
        <is>
          <t>cbf95b01-f708-45a3-9ec0-3603469b538e</t>
        </is>
      </c>
      <c r="D499" t="n">
        <v>56.1776</v>
      </c>
      <c r="E499" t="n">
        <v>37.42809</v>
      </c>
      <c r="F499" t="inlineStr"/>
      <c r="G499" t="inlineStr"/>
      <c r="H499" t="inlineStr"/>
    </row>
    <row r="500">
      <c r="A500" t="inlineStr">
        <is>
          <t>49e5214e-a655-465a-8449-52214bbf1849.jpg</t>
        </is>
      </c>
      <c r="B500">
        <f>HYPERLINK("Объекты недвижимости, не соответствующие градостроительным нормам_00-022_Август/49e5214e-a655-465a-8449-52214bbf1849.jpg","open")</f>
        <v/>
      </c>
      <c r="C500" t="inlineStr">
        <is>
          <t>ed2bf0f1-3a66-4913-896e-4420a9796c0b</t>
        </is>
      </c>
      <c r="D500" t="n">
        <v>55.77475</v>
      </c>
      <c r="E500" t="n">
        <v>37.55492</v>
      </c>
      <c r="F500" t="inlineStr"/>
      <c r="G500" t="inlineStr"/>
      <c r="H500" t="inlineStr"/>
    </row>
    <row r="501">
      <c r="A501" t="inlineStr">
        <is>
          <t>9ddfd146-445f-4050-be47-dfd24375ca46.jpg</t>
        </is>
      </c>
      <c r="B501">
        <f>HYPERLINK("Объекты недвижимости, не соответствующие градостроительным нормам_00-022_Август/9ddfd146-445f-4050-be47-dfd24375ca46.jpg","open")</f>
        <v/>
      </c>
      <c r="C501" t="inlineStr">
        <is>
          <t>cbf95b01-f708-45a3-9ec0-3603469b538e</t>
        </is>
      </c>
      <c r="D501" t="n">
        <v>56.17883</v>
      </c>
      <c r="E501" t="n">
        <v>37.42439</v>
      </c>
      <c r="F501" t="inlineStr"/>
      <c r="G501" t="inlineStr"/>
      <c r="H501" t="inlineStr"/>
    </row>
    <row r="502">
      <c r="A502" t="inlineStr">
        <is>
          <t>042e28e5-55fc-4cb4-8d91-55abe45a4a39.jpg</t>
        </is>
      </c>
      <c r="B502">
        <f>HYPERLINK("Объекты недвижимости, не соответствующие градостроительным нормам_00-022_Август/042e28e5-55fc-4cb4-8d91-55abe45a4a39.jpg","open")</f>
        <v/>
      </c>
      <c r="C502" t="inlineStr">
        <is>
          <t>ed2bf0f1-3a66-4913-896e-4420a9796c0b</t>
        </is>
      </c>
      <c r="D502" t="n">
        <v>55.78062</v>
      </c>
      <c r="E502" t="n">
        <v>37.5602</v>
      </c>
      <c r="F502" t="inlineStr"/>
      <c r="G502" t="inlineStr"/>
      <c r="H502" t="inlineStr"/>
    </row>
    <row r="503">
      <c r="A503" t="inlineStr">
        <is>
          <t>d5d84daf-7f62-4926-a74b-7fdcf05f7975.jpg</t>
        </is>
      </c>
      <c r="B503">
        <f>HYPERLINK("Объекты недвижимости, не соответствующие градостроительным нормам_00-022_Август/d5d84daf-7f62-4926-a74b-7fdcf05f7975.jpg","open")</f>
        <v/>
      </c>
      <c r="C503" t="inlineStr">
        <is>
          <t>cbf95b01-f708-45a3-9ec0-3603469b538e</t>
        </is>
      </c>
      <c r="D503" t="n">
        <v>56.17883</v>
      </c>
      <c r="E503" t="n">
        <v>37.42439</v>
      </c>
      <c r="F503" t="inlineStr"/>
      <c r="G503" t="inlineStr"/>
      <c r="H503" t="inlineStr"/>
    </row>
    <row r="504">
      <c r="A504" t="inlineStr">
        <is>
          <t>a2801df5-fccf-437d-b8d5-239df7c42771.jpg</t>
        </is>
      </c>
      <c r="B504">
        <f>HYPERLINK("Объекты недвижимости, не соответствующие градостроительным нормам_00-022_Август/a2801df5-fccf-437d-b8d5-239df7c42771.jpg","open")</f>
        <v/>
      </c>
      <c r="C504" t="inlineStr">
        <is>
          <t>cbf95b01-f708-45a3-9ec0-3603469b538e</t>
        </is>
      </c>
      <c r="D504" t="n">
        <v>56.17883</v>
      </c>
      <c r="E504" t="n">
        <v>37.42439</v>
      </c>
      <c r="F504" t="inlineStr"/>
      <c r="G504" t="inlineStr"/>
      <c r="H504" t="inlineStr"/>
    </row>
    <row r="505">
      <c r="A505" t="inlineStr">
        <is>
          <t>4b2cfc36-2b43-4129-b353-b762d7fd2f9b.jpg</t>
        </is>
      </c>
      <c r="B505">
        <f>HYPERLINK("Объекты недвижимости, не соответствующие градостроительным нормам_00-022_Август/4b2cfc36-2b43-4129-b353-b762d7fd2f9b.jpg","open")</f>
        <v/>
      </c>
      <c r="C505" t="inlineStr">
        <is>
          <t>cbf95b01-f708-45a3-9ec0-3603469b538e</t>
        </is>
      </c>
      <c r="D505" t="n">
        <v>56.17883</v>
      </c>
      <c r="E505" t="n">
        <v>37.42439</v>
      </c>
      <c r="F505" t="inlineStr"/>
      <c r="G505" t="inlineStr"/>
      <c r="H505" t="inlineStr"/>
    </row>
    <row r="506">
      <c r="A506" t="inlineStr">
        <is>
          <t>ac348b97-95f8-4160-bec5-44dc5238dd98.jpg</t>
        </is>
      </c>
      <c r="B506">
        <f>HYPERLINK("Объекты недвижимости, не соответствующие градостроительным нормам_00-022_Август/ac348b97-95f8-4160-bec5-44dc5238dd98.jpg","open")</f>
        <v/>
      </c>
      <c r="C506" t="inlineStr">
        <is>
          <t>cbf95b01-f708-45a3-9ec0-3603469b538e</t>
        </is>
      </c>
      <c r="D506" t="n">
        <v>56.17883</v>
      </c>
      <c r="E506" t="n">
        <v>37.42439</v>
      </c>
      <c r="F506" t="inlineStr"/>
      <c r="G506" t="inlineStr"/>
      <c r="H506" t="inlineStr"/>
    </row>
    <row r="507">
      <c r="A507" t="inlineStr">
        <is>
          <t>71240b12-5bfc-44eb-ab0a-91f979533bb2.jpg</t>
        </is>
      </c>
      <c r="B507">
        <f>HYPERLINK("Объекты недвижимости, не соответствующие градостроительным нормам_00-022_Август/71240b12-5bfc-44eb-ab0a-91f979533bb2.jpg","open")</f>
        <v/>
      </c>
      <c r="C507" t="inlineStr">
        <is>
          <t>cbf95b01-f708-45a3-9ec0-3603469b538e</t>
        </is>
      </c>
      <c r="D507" t="n">
        <v>56.17883</v>
      </c>
      <c r="E507" t="n">
        <v>37.42439</v>
      </c>
      <c r="F507" t="inlineStr"/>
      <c r="G507" t="inlineStr"/>
      <c r="H507" t="inlineStr"/>
    </row>
    <row r="508">
      <c r="A508" t="inlineStr">
        <is>
          <t>6d483f2b-d931-4e8e-bf8e-0d3c66eabb12.jpg</t>
        </is>
      </c>
      <c r="B508">
        <f>HYPERLINK("Объекты недвижимости, не соответствующие градостроительным нормам_00-022_Август/6d483f2b-d931-4e8e-bf8e-0d3c66eabb12.jpg","open")</f>
        <v/>
      </c>
      <c r="C508" t="inlineStr">
        <is>
          <t>b0429a31-0c70-4b9f-8ea5-73929d82f89e</t>
        </is>
      </c>
      <c r="D508" t="n">
        <v>55.67165</v>
      </c>
      <c r="E508" t="n">
        <v>37.62797</v>
      </c>
      <c r="F508" t="inlineStr"/>
      <c r="G508" t="inlineStr"/>
      <c r="H508" t="inlineStr"/>
    </row>
    <row r="509">
      <c r="A509" t="inlineStr">
        <is>
          <t>a0049134-5189-46ce-8c48-0068cbec8e64.jpg</t>
        </is>
      </c>
      <c r="B509">
        <f>HYPERLINK("Объекты недвижимости, не соответствующие градостроительным нормам_00-022_Август/a0049134-5189-46ce-8c48-0068cbec8e64.jpg","open")</f>
        <v/>
      </c>
      <c r="C509" t="inlineStr">
        <is>
          <t>12e795ad-2aa7-49de-b2da-2c6aa35a4559</t>
        </is>
      </c>
      <c r="D509" t="n">
        <v>55.545</v>
      </c>
      <c r="E509" t="n">
        <v>37.55476</v>
      </c>
      <c r="F509" t="inlineStr"/>
      <c r="G509" t="inlineStr"/>
      <c r="H509" t="inlineStr"/>
    </row>
    <row r="510">
      <c r="A510" t="inlineStr">
        <is>
          <t>79f02595-4f81-4e07-888e-64f93d6695d5.jpg</t>
        </is>
      </c>
      <c r="B510">
        <f>HYPERLINK("Объекты недвижимости, не соответствующие градостроительным нормам_00-022_Август/79f02595-4f81-4e07-888e-64f93d6695d5.jpg","open")</f>
        <v/>
      </c>
      <c r="C510" t="inlineStr">
        <is>
          <t>ed2bf0f1-3a66-4913-896e-4420a9796c0b</t>
        </is>
      </c>
      <c r="D510" t="n">
        <v>55.78343</v>
      </c>
      <c r="E510" t="n">
        <v>37.56215</v>
      </c>
      <c r="F510" t="inlineStr"/>
      <c r="G510" t="inlineStr"/>
      <c r="H510" t="inlineStr"/>
    </row>
    <row r="511">
      <c r="A511" t="inlineStr">
        <is>
          <t>db41023b-8532-446b-98c0-39704c948024.jpg</t>
        </is>
      </c>
      <c r="B511">
        <f>HYPERLINK("Объекты недвижимости, не соответствующие градостроительным нормам_00-022_Август/db41023b-8532-446b-98c0-39704c948024.jpg","open")</f>
        <v/>
      </c>
      <c r="C511" t="inlineStr">
        <is>
          <t>cbf95b01-f708-45a3-9ec0-3603469b538e</t>
        </is>
      </c>
      <c r="D511" t="n">
        <v>56.17883</v>
      </c>
      <c r="E511" t="n">
        <v>37.42439</v>
      </c>
      <c r="F511" t="inlineStr"/>
      <c r="G511" t="inlineStr"/>
      <c r="H511" t="inlineStr"/>
    </row>
    <row r="512">
      <c r="A512" t="inlineStr">
        <is>
          <t>12a5b812-13cc-47ea-a1a3-7bebb4212dde.jpg</t>
        </is>
      </c>
      <c r="B512">
        <f>HYPERLINK("Объекты недвижимости, не соответствующие градостроительным нормам_00-022_Август/12a5b812-13cc-47ea-a1a3-7bebb4212dde.jpg","open")</f>
        <v/>
      </c>
      <c r="C512" t="inlineStr">
        <is>
          <t>55da50d9-6d31-4c29-a85b-6a228578c6de</t>
        </is>
      </c>
      <c r="D512" t="n">
        <v>55.53198</v>
      </c>
      <c r="E512" t="n">
        <v>37.38873</v>
      </c>
      <c r="F512" t="inlineStr"/>
      <c r="G512" t="inlineStr"/>
      <c r="H512" t="inlineStr"/>
    </row>
    <row r="513">
      <c r="A513" t="inlineStr">
        <is>
          <t>1573e4aa-c94b-47c6-bd70-ea22b711f7e4.jpg</t>
        </is>
      </c>
      <c r="B513">
        <f>HYPERLINK("Объекты недвижимости, не соответствующие градостроительным нормам_00-022_Август/1573e4aa-c94b-47c6-bd70-ea22b711f7e4.jpg","open")</f>
        <v/>
      </c>
      <c r="C513" t="inlineStr">
        <is>
          <t>cbf95b01-f708-45a3-9ec0-3603469b538e</t>
        </is>
      </c>
      <c r="D513" t="n">
        <v>56.17883</v>
      </c>
      <c r="E513" t="n">
        <v>37.42439</v>
      </c>
      <c r="F513" t="inlineStr"/>
      <c r="G513" t="inlineStr"/>
      <c r="H513" t="inlineStr"/>
    </row>
    <row r="514">
      <c r="A514" t="inlineStr">
        <is>
          <t>0ad161f8-0526-4b96-a17e-149aac5711b1.jpg</t>
        </is>
      </c>
      <c r="B514">
        <f>HYPERLINK("Объекты недвижимости, не соответствующие градостроительным нормам_00-022_Август/0ad161f8-0526-4b96-a17e-149aac5711b1.jpg","open")</f>
        <v/>
      </c>
      <c r="C514" t="inlineStr">
        <is>
          <t>cbf95b01-f708-45a3-9ec0-3603469b538e</t>
        </is>
      </c>
      <c r="D514" t="n">
        <v>57.54522</v>
      </c>
      <c r="E514" t="n">
        <v>37.57965</v>
      </c>
      <c r="F514" t="inlineStr"/>
      <c r="G514" t="inlineStr"/>
      <c r="H514" t="inlineStr"/>
    </row>
    <row r="515">
      <c r="A515" t="inlineStr">
        <is>
          <t>398d32fb-a76f-44a9-a701-daf4ee808242.jpg</t>
        </is>
      </c>
      <c r="B515">
        <f>HYPERLINK("Объекты недвижимости, не соответствующие градостроительным нормам_00-022_Август/398d32fb-a76f-44a9-a701-daf4ee808242.jpg","open")</f>
        <v/>
      </c>
      <c r="C515" t="inlineStr">
        <is>
          <t>b0429a31-0c70-4b9f-8ea5-73929d82f89e</t>
        </is>
      </c>
      <c r="D515" t="n">
        <v>55.66842</v>
      </c>
      <c r="E515" t="n">
        <v>37.63279</v>
      </c>
      <c r="F515" t="inlineStr"/>
      <c r="G515" t="inlineStr"/>
      <c r="H515" t="inlineStr"/>
    </row>
    <row r="516">
      <c r="A516" t="inlineStr">
        <is>
          <t>721b2724-b75d-4f59-bdb2-6397500f0abb.jpg</t>
        </is>
      </c>
      <c r="B516">
        <f>HYPERLINK("Объекты недвижимости, не соответствующие градостроительным нормам_00-022_Август/721b2724-b75d-4f59-bdb2-6397500f0abb.jpg","open")</f>
        <v/>
      </c>
      <c r="C516" t="inlineStr">
        <is>
          <t>b0429a31-0c70-4b9f-8ea5-73929d82f89e</t>
        </is>
      </c>
      <c r="D516" t="n">
        <v>55.6683</v>
      </c>
      <c r="E516" t="n">
        <v>37.63219</v>
      </c>
      <c r="F516" t="inlineStr"/>
      <c r="G516" t="inlineStr"/>
      <c r="H516" t="inlineStr"/>
    </row>
    <row r="517">
      <c r="A517" t="inlineStr">
        <is>
          <t>d2fa95b3-ebaa-4bbf-960e-6c0d552609fd.jpg</t>
        </is>
      </c>
      <c r="B517">
        <f>HYPERLINK("Объекты недвижимости, не соответствующие градостроительным нормам_00-022_Август/d2fa95b3-ebaa-4bbf-960e-6c0d552609fd.jpg","open")</f>
        <v/>
      </c>
      <c r="C517" t="inlineStr">
        <is>
          <t>99f3abba-c55b-49f0-9de5-9f88e9597cc0</t>
        </is>
      </c>
      <c r="D517" t="n">
        <v>55.66842</v>
      </c>
      <c r="E517" t="n">
        <v>37.63219</v>
      </c>
      <c r="F517" t="inlineStr"/>
      <c r="G517" t="inlineStr"/>
      <c r="H517" t="inlineStr"/>
    </row>
    <row r="518">
      <c r="A518" t="inlineStr">
        <is>
          <t>b9f7da50-1114-4755-b3d6-ccbc1f32c4eb.jpg</t>
        </is>
      </c>
      <c r="B518">
        <f>HYPERLINK("Объекты недвижимости, не соответствующие градостроительным нормам_00-022_Август/b9f7da50-1114-4755-b3d6-ccbc1f32c4eb.jpg","open")</f>
        <v/>
      </c>
      <c r="C518" t="inlineStr">
        <is>
          <t>8b2675e2-7f40-47a9-a462-7c9feecd299c</t>
        </is>
      </c>
      <c r="D518" t="n">
        <v>55.53329</v>
      </c>
      <c r="E518" t="n">
        <v>37.38451</v>
      </c>
      <c r="F518" t="inlineStr"/>
      <c r="G518" t="inlineStr"/>
      <c r="H518" t="inlineStr"/>
    </row>
    <row r="519">
      <c r="A519" t="inlineStr">
        <is>
          <t>30914854-7822-4338-a88c-4e2b2cad5809.jpg</t>
        </is>
      </c>
      <c r="B519">
        <f>HYPERLINK("Объекты недвижимости, не соответствующие градостроительным нормам_00-022_Август/30914854-7822-4338-a88c-4e2b2cad5809.jpg","open")</f>
        <v/>
      </c>
      <c r="C519" t="inlineStr">
        <is>
          <t>cbf95b01-f708-45a3-9ec0-3603469b538e</t>
        </is>
      </c>
      <c r="D519" t="n">
        <v>57.52129</v>
      </c>
      <c r="E519" t="n">
        <v>37.5424</v>
      </c>
      <c r="F519" t="inlineStr"/>
      <c r="G519" t="inlineStr"/>
      <c r="H519" t="inlineStr"/>
    </row>
    <row r="520">
      <c r="A520" t="inlineStr">
        <is>
          <t>3c5a04c9-bc70-4240-84f5-431aa6446123.jpg</t>
        </is>
      </c>
      <c r="B520">
        <f>HYPERLINK("Объекты недвижимости, не соответствующие градостроительным нормам_00-022_Август/3c5a04c9-bc70-4240-84f5-431aa6446123.jpg","open")</f>
        <v/>
      </c>
      <c r="C520" t="inlineStr">
        <is>
          <t>cbf95b01-f708-45a3-9ec0-3603469b538e</t>
        </is>
      </c>
      <c r="D520" t="n">
        <v>57.52129</v>
      </c>
      <c r="E520" t="n">
        <v>37.5424</v>
      </c>
      <c r="F520" t="inlineStr"/>
      <c r="G520" t="inlineStr"/>
      <c r="H520" t="inlineStr"/>
    </row>
    <row r="521">
      <c r="A521" t="inlineStr">
        <is>
          <t>54033995-54c6-445b-a6e9-5872e5d2f61a.jpg</t>
        </is>
      </c>
      <c r="B521">
        <f>HYPERLINK("Объекты недвижимости, не соответствующие градостроительным нормам_00-022_Август/54033995-54c6-445b-a6e9-5872e5d2f61a.jpg","open")</f>
        <v/>
      </c>
      <c r="C521" t="inlineStr">
        <is>
          <t>cbf95b01-f708-45a3-9ec0-3603469b538e</t>
        </is>
      </c>
      <c r="D521" t="n">
        <v>57.52129</v>
      </c>
      <c r="E521" t="n">
        <v>37.5424</v>
      </c>
      <c r="F521" t="inlineStr"/>
      <c r="G521" t="inlineStr"/>
      <c r="H521" t="inlineStr"/>
    </row>
    <row r="522">
      <c r="A522" t="inlineStr">
        <is>
          <t>aef20afb-2f1d-413e-b090-012e1ed17618.jpg</t>
        </is>
      </c>
      <c r="B522">
        <f>HYPERLINK("Объекты недвижимости, не соответствующие градостроительным нормам_00-022_Август/aef20afb-2f1d-413e-b090-012e1ed17618.jpg","open")</f>
        <v/>
      </c>
      <c r="C522" t="inlineStr">
        <is>
          <t>31a713a9-b910-424b-b847-e0eaa2f70c70</t>
        </is>
      </c>
      <c r="D522" t="n">
        <v>55.84509</v>
      </c>
      <c r="E522" t="n">
        <v>37.49309</v>
      </c>
      <c r="F522" t="inlineStr"/>
      <c r="G522" t="inlineStr"/>
      <c r="H522" t="inlineStr"/>
    </row>
    <row r="523">
      <c r="A523" t="inlineStr">
        <is>
          <t>8419988b-9040-40fe-851b-d2638b6a4cb0.jpg</t>
        </is>
      </c>
      <c r="B523">
        <f>HYPERLINK("Объекты недвижимости, не соответствующие градостроительным нормам_00-022_Август/8419988b-9040-40fe-851b-d2638b6a4cb0.jpg","open")</f>
        <v/>
      </c>
      <c r="C523" t="inlineStr">
        <is>
          <t>99f3abba-c55b-49f0-9de5-9f88e9597cc0</t>
        </is>
      </c>
      <c r="D523" t="n">
        <v>55.66895</v>
      </c>
      <c r="E523" t="n">
        <v>37.63191</v>
      </c>
      <c r="F523" t="inlineStr"/>
      <c r="G523" t="inlineStr"/>
      <c r="H523" t="inlineStr"/>
    </row>
    <row r="524">
      <c r="A524" t="inlineStr">
        <is>
          <t>5025bb1d-bfcc-48e0-8dcc-3c264b5356e7.jpg</t>
        </is>
      </c>
      <c r="B524">
        <f>HYPERLINK("Объекты недвижимости, не соответствующие градостроительным нормам_00-022_Август/5025bb1d-bfcc-48e0-8dcc-3c264b5356e7.jpg","open")</f>
        <v/>
      </c>
      <c r="C524" t="inlineStr">
        <is>
          <t>99f3abba-c55b-49f0-9de5-9f88e9597cc0</t>
        </is>
      </c>
      <c r="D524" t="n">
        <v>55.6688</v>
      </c>
      <c r="E524" t="n">
        <v>37.63196</v>
      </c>
      <c r="F524" t="inlineStr"/>
      <c r="G524" t="inlineStr"/>
      <c r="H524" t="inlineStr"/>
    </row>
    <row r="525">
      <c r="A525" t="inlineStr">
        <is>
          <t>97b18a63-aba9-41da-9aec-ecd9363306a8.jpg</t>
        </is>
      </c>
      <c r="B525">
        <f>HYPERLINK("Объекты недвижимости, не соответствующие градостроительным нормам_00-022_Август/97b18a63-aba9-41da-9aec-ecd9363306a8.jpg","open")</f>
        <v/>
      </c>
      <c r="C525" t="inlineStr">
        <is>
          <t>b0429a31-0c70-4b9f-8ea5-73929d82f89e</t>
        </is>
      </c>
      <c r="D525" t="n">
        <v>55.6688</v>
      </c>
      <c r="E525" t="n">
        <v>37.63205</v>
      </c>
      <c r="F525" t="inlineStr"/>
      <c r="G525" t="inlineStr"/>
      <c r="H525" t="inlineStr"/>
    </row>
    <row r="526">
      <c r="A526" t="inlineStr">
        <is>
          <t>9abc36bc-74ef-428e-afd2-e7e7b29f4284.jpg</t>
        </is>
      </c>
      <c r="B526">
        <f>HYPERLINK("Объекты недвижимости, не соответствующие градостроительным нормам_00-022_Август/9abc36bc-74ef-428e-afd2-e7e7b29f4284.jpg","open")</f>
        <v/>
      </c>
      <c r="C526" t="inlineStr">
        <is>
          <t>fce890a6-27da-4062-a046-08262a160ee6</t>
        </is>
      </c>
      <c r="D526" t="n">
        <v>55.72334</v>
      </c>
      <c r="E526" t="n">
        <v>37.712</v>
      </c>
      <c r="F526" t="inlineStr"/>
      <c r="G526" t="inlineStr"/>
      <c r="H526" t="inlineStr"/>
    </row>
    <row r="527">
      <c r="A527" t="inlineStr">
        <is>
          <t>5000fda7-d2c4-4c1f-b25c-48c2c10908b6.jpg</t>
        </is>
      </c>
      <c r="B527">
        <f>HYPERLINK("Объекты недвижимости, не соответствующие градостроительным нормам_00-022_Август/5000fda7-d2c4-4c1f-b25c-48c2c10908b6.jpg","open")</f>
        <v/>
      </c>
      <c r="C527" t="inlineStr">
        <is>
          <t>fce890a6-27da-4062-a046-08262a160ee6</t>
        </is>
      </c>
      <c r="D527" t="n">
        <v>55.72334</v>
      </c>
      <c r="E527" t="n">
        <v>37.712</v>
      </c>
      <c r="F527" t="inlineStr"/>
      <c r="G527" t="inlineStr"/>
      <c r="H527" t="inlineStr"/>
    </row>
    <row r="528">
      <c r="A528" t="inlineStr">
        <is>
          <t>5442c33d-b2e2-47c7-b5dc-37637296a4eb.jpg</t>
        </is>
      </c>
      <c r="B528">
        <f>HYPERLINK("Объекты недвижимости, не соответствующие градостроительным нормам_00-022_Август/5442c33d-b2e2-47c7-b5dc-37637296a4eb.jpg","open")</f>
        <v/>
      </c>
      <c r="C528" t="inlineStr">
        <is>
          <t>99f3abba-c55b-49f0-9de5-9f88e9597cc0</t>
        </is>
      </c>
      <c r="D528" t="n">
        <v>55.66876</v>
      </c>
      <c r="E528" t="n">
        <v>37.63217</v>
      </c>
      <c r="F528" t="inlineStr"/>
      <c r="G528" t="inlineStr"/>
      <c r="H528" t="inlineStr"/>
    </row>
    <row r="529">
      <c r="A529" t="inlineStr">
        <is>
          <t>1229ab7f-b53c-445a-804c-2ffc5bdb115f.jpg</t>
        </is>
      </c>
      <c r="B529">
        <f>HYPERLINK("Объекты недвижимости, не соответствующие градостроительным нормам_00-022_Август/1229ab7f-b53c-445a-804c-2ffc5bdb115f.jpg","open")</f>
        <v/>
      </c>
      <c r="C529" t="inlineStr">
        <is>
          <t>b0429a31-0c70-4b9f-8ea5-73929d82f89e</t>
        </is>
      </c>
      <c r="D529" t="n">
        <v>55.66876</v>
      </c>
      <c r="E529" t="n">
        <v>37.63217</v>
      </c>
      <c r="F529" t="inlineStr"/>
      <c r="G529" t="inlineStr"/>
      <c r="H529" t="inlineStr"/>
    </row>
    <row r="530">
      <c r="A530" t="inlineStr">
        <is>
          <t>c6d178b1-05a5-4cb1-b10a-74c5f4ceaf0f.jpg</t>
        </is>
      </c>
      <c r="B530">
        <f>HYPERLINK("Объекты недвижимости, не соответствующие градостроительным нормам_00-022_Август/c6d178b1-05a5-4cb1-b10a-74c5f4ceaf0f.jpg","open")</f>
        <v/>
      </c>
      <c r="C530" t="inlineStr">
        <is>
          <t>99f3abba-c55b-49f0-9de5-9f88e9597cc0</t>
        </is>
      </c>
      <c r="D530" t="n">
        <v>55.66874</v>
      </c>
      <c r="E530" t="n">
        <v>37.63219</v>
      </c>
      <c r="F530" t="inlineStr"/>
      <c r="G530" t="inlineStr"/>
      <c r="H530" t="inlineStr"/>
    </row>
    <row r="531">
      <c r="A531" t="inlineStr">
        <is>
          <t>fe39908e-a5f1-4b9b-b39a-13e5c90f633b.jpg</t>
        </is>
      </c>
      <c r="B531">
        <f>HYPERLINK("Объекты недвижимости, не соответствующие градостроительным нормам_00-022_Август/fe39908e-a5f1-4b9b-b39a-13e5c90f633b.jpg","open")</f>
        <v/>
      </c>
      <c r="C531" t="inlineStr">
        <is>
          <t>99f3abba-c55b-49f0-9de5-9f88e9597cc0</t>
        </is>
      </c>
      <c r="D531" t="n">
        <v>55.66872</v>
      </c>
      <c r="E531" t="n">
        <v>37.63236</v>
      </c>
      <c r="F531" t="inlineStr"/>
      <c r="G531" t="inlineStr"/>
      <c r="H531" t="inlineStr"/>
    </row>
    <row r="532">
      <c r="A532" t="inlineStr">
        <is>
          <t>ca18be15-f7bd-4a69-873c-98ee2b144e37.jpg</t>
        </is>
      </c>
      <c r="B532">
        <f>HYPERLINK("Объекты недвижимости, не соответствующие градостроительным нормам_00-022_Август/ca18be15-f7bd-4a69-873c-98ee2b144e37.jpg","open")</f>
        <v/>
      </c>
      <c r="C532" t="inlineStr">
        <is>
          <t>99f3abba-c55b-49f0-9de5-9f88e9597cc0</t>
        </is>
      </c>
      <c r="D532" t="n">
        <v>55.66869</v>
      </c>
      <c r="E532" t="n">
        <v>37.63237</v>
      </c>
      <c r="F532" t="inlineStr"/>
      <c r="G532" t="inlineStr"/>
      <c r="H532" t="inlineStr"/>
    </row>
    <row r="533">
      <c r="A533" t="inlineStr">
        <is>
          <t>60e9a3a2-5189-4e4e-a3f2-5cfa8d180c73.jpg</t>
        </is>
      </c>
      <c r="B533">
        <f>HYPERLINK("Объекты недвижимости, не соответствующие градостроительным нормам_00-022_Август/60e9a3a2-5189-4e4e-a3f2-5cfa8d180c73.jpg","open")</f>
        <v/>
      </c>
      <c r="C533" t="inlineStr">
        <is>
          <t>a28f597e-d1cd-4d3b-b572-c86d033412e9</t>
        </is>
      </c>
      <c r="D533" t="n">
        <v>55.64894</v>
      </c>
      <c r="E533" t="n">
        <v>37.41368</v>
      </c>
      <c r="F533" t="inlineStr"/>
      <c r="G533" t="inlineStr"/>
      <c r="H533" t="inlineStr"/>
    </row>
    <row r="534">
      <c r="A534" t="inlineStr">
        <is>
          <t>ef66435d-b200-4906-afcd-30375e476075.jpg</t>
        </is>
      </c>
      <c r="B534">
        <f>HYPERLINK("Объекты недвижимости, не соответствующие градостроительным нормам_00-022_Август/ef66435d-b200-4906-afcd-30375e476075.jpg","open")</f>
        <v/>
      </c>
      <c r="C534" t="inlineStr">
        <is>
          <t>ed2bf0f1-3a66-4913-896e-4420a9796c0b</t>
        </is>
      </c>
      <c r="D534" t="n">
        <v>55.77967</v>
      </c>
      <c r="E534" t="n">
        <v>37.54727</v>
      </c>
      <c r="F534" t="inlineStr"/>
      <c r="G534" t="inlineStr"/>
      <c r="H534" t="inlineStr"/>
    </row>
    <row r="535">
      <c r="A535" t="inlineStr">
        <is>
          <t>61fe32aa-83ce-4ada-9492-bfb5e6a6ba82.jpg</t>
        </is>
      </c>
      <c r="B535">
        <f>HYPERLINK("Объекты недвижимости, не соответствующие градостроительным нормам_00-022_Август/61fe32aa-83ce-4ada-9492-bfb5e6a6ba82.jpg","open")</f>
        <v/>
      </c>
      <c r="C535" t="inlineStr">
        <is>
          <t>ed2bf0f1-3a66-4913-896e-4420a9796c0b</t>
        </is>
      </c>
      <c r="D535" t="n">
        <v>55.77951</v>
      </c>
      <c r="E535" t="n">
        <v>37.54671</v>
      </c>
      <c r="F535" t="inlineStr"/>
      <c r="G535" t="inlineStr"/>
      <c r="H535" t="inlineStr"/>
    </row>
    <row r="536">
      <c r="A536" t="inlineStr">
        <is>
          <t>96ea0a1f-7b2e-4900-a1ed-82fbab826407.jpg</t>
        </is>
      </c>
      <c r="B536">
        <f>HYPERLINK("Объекты недвижимости, не соответствующие градостроительным нормам_00-022_Август/96ea0a1f-7b2e-4900-a1ed-82fbab826407.jpg","open")</f>
        <v/>
      </c>
      <c r="C536" t="inlineStr">
        <is>
          <t>1a55986c-2c3f-40c0-b3d1-014dce77832e</t>
        </is>
      </c>
      <c r="D536" t="n">
        <v>55.77946</v>
      </c>
      <c r="E536" t="n">
        <v>37.54663</v>
      </c>
      <c r="F536" t="inlineStr"/>
      <c r="G536" t="inlineStr"/>
      <c r="H536" t="inlineStr"/>
    </row>
    <row r="537">
      <c r="A537" t="inlineStr">
        <is>
          <t>81cf6473-d60b-4006-b5c0-7928a490bdee.jpg</t>
        </is>
      </c>
      <c r="B537">
        <f>HYPERLINK("Объекты недвижимости, не соответствующие градостроительным нормам_00-022_Август/81cf6473-d60b-4006-b5c0-7928a490bdee.jpg","open")</f>
        <v/>
      </c>
      <c r="C537" t="inlineStr">
        <is>
          <t>1a55986c-2c3f-40c0-b3d1-014dce77832e</t>
        </is>
      </c>
      <c r="D537" t="n">
        <v>55.77963</v>
      </c>
      <c r="E537" t="n">
        <v>37.5471</v>
      </c>
      <c r="F537" t="inlineStr"/>
      <c r="G537" t="inlineStr"/>
      <c r="H537" t="inlineStr"/>
    </row>
    <row r="538">
      <c r="A538" t="inlineStr">
        <is>
          <t>12d2d1f2-a25c-4149-ad8b-09bde2f954ee.jpg</t>
        </is>
      </c>
      <c r="B538">
        <f>HYPERLINK("Объекты недвижимости, не соответствующие градостроительным нормам_00-022_Август/12d2d1f2-a25c-4149-ad8b-09bde2f954ee.jpg","open")</f>
        <v/>
      </c>
      <c r="C538" t="inlineStr">
        <is>
          <t>ed2bf0f1-3a66-4913-896e-4420a9796c0b</t>
        </is>
      </c>
      <c r="D538" t="n">
        <v>55.77983</v>
      </c>
      <c r="E538" t="n">
        <v>37.5468</v>
      </c>
      <c r="F538" t="inlineStr"/>
      <c r="G538" t="inlineStr"/>
      <c r="H538" t="inlineStr"/>
    </row>
    <row r="539">
      <c r="A539" t="inlineStr">
        <is>
          <t>66b1529b-e08f-4caf-a7ee-040609aec525.jpg</t>
        </is>
      </c>
      <c r="B539">
        <f>HYPERLINK("Объекты недвижимости, не соответствующие градостроительным нормам_00-022_Август/66b1529b-e08f-4caf-a7ee-040609aec525.jpg","open")</f>
        <v/>
      </c>
      <c r="C539" t="inlineStr">
        <is>
          <t>ed2bf0f1-3a66-4913-896e-4420a9796c0b</t>
        </is>
      </c>
      <c r="D539" t="n">
        <v>55.78035</v>
      </c>
      <c r="E539" t="n">
        <v>37.543</v>
      </c>
      <c r="F539" t="inlineStr"/>
      <c r="G539" t="inlineStr"/>
      <c r="H539" t="inlineStr"/>
    </row>
    <row r="540">
      <c r="A540" t="inlineStr">
        <is>
          <t>c64fb6b1-9ba7-4b5d-a2a5-e61fa7700f86.jpg</t>
        </is>
      </c>
      <c r="B540">
        <f>HYPERLINK("Объекты недвижимости, не соответствующие градостроительным нормам_00-022_Август/c64fb6b1-9ba7-4b5d-a2a5-e61fa7700f86.jpg","open")</f>
        <v/>
      </c>
      <c r="C540" t="inlineStr">
        <is>
          <t>685d9054-b74f-49ab-857b-109fd2cec80d</t>
        </is>
      </c>
      <c r="D540" t="n">
        <v>55.63618</v>
      </c>
      <c r="E540" t="n">
        <v>37.51184</v>
      </c>
      <c r="F540" t="inlineStr"/>
      <c r="G540" t="inlineStr"/>
      <c r="H540" t="inlineStr"/>
    </row>
    <row r="541">
      <c r="A541" t="inlineStr">
        <is>
          <t>f9101713-0e26-4a53-a2f2-245a72d4fda7.jpg</t>
        </is>
      </c>
      <c r="B541">
        <f>HYPERLINK("Объекты недвижимости, не соответствующие градостроительным нормам_00-022_Август/f9101713-0e26-4a53-a2f2-245a72d4fda7.jpg","open")</f>
        <v/>
      </c>
      <c r="C541" t="inlineStr">
        <is>
          <t>685d9054-b74f-49ab-857b-109fd2cec80d</t>
        </is>
      </c>
      <c r="D541" t="n">
        <v>55.63618</v>
      </c>
      <c r="E541" t="n">
        <v>37.51184</v>
      </c>
      <c r="F541" t="inlineStr"/>
      <c r="G541" t="inlineStr"/>
      <c r="H541" t="inlineStr"/>
    </row>
    <row r="542">
      <c r="A542" t="inlineStr">
        <is>
          <t>bb9e4e6e-f56b-45e7-8ce5-834f038a1978.jpg</t>
        </is>
      </c>
      <c r="B542">
        <f>HYPERLINK("Объекты недвижимости, не соответствующие градостроительным нормам_00-022_Август/bb9e4e6e-f56b-45e7-8ce5-834f038a1978.jpg","open")</f>
        <v/>
      </c>
      <c r="C542" t="inlineStr">
        <is>
          <t>1a55986c-2c3f-40c0-b3d1-014dce77832e</t>
        </is>
      </c>
      <c r="D542" t="n">
        <v>55.78179</v>
      </c>
      <c r="E542" t="n">
        <v>37.53938</v>
      </c>
      <c r="F542" t="inlineStr"/>
      <c r="G542" t="inlineStr"/>
      <c r="H542" t="inlineStr"/>
    </row>
    <row r="543">
      <c r="A543" t="inlineStr">
        <is>
          <t>f347957c-9279-4ae4-8498-e62d0779e393.jpg</t>
        </is>
      </c>
      <c r="B543">
        <f>HYPERLINK("Объекты недвижимости, не соответствующие градостроительным нормам_00-022_Август/f347957c-9279-4ae4-8498-e62d0779e393.jpg","open")</f>
        <v/>
      </c>
      <c r="C543" t="inlineStr">
        <is>
          <t>ed2bf0f1-3a66-4913-896e-4420a9796c0b</t>
        </is>
      </c>
      <c r="D543" t="n">
        <v>55.78179</v>
      </c>
      <c r="E543" t="n">
        <v>37.53929</v>
      </c>
      <c r="F543" t="inlineStr"/>
      <c r="G543" t="inlineStr"/>
      <c r="H543" t="inlineStr"/>
    </row>
    <row r="544">
      <c r="A544" t="inlineStr">
        <is>
          <t>86649182-2362-4434-bb35-faa0ad9d4517.jpg</t>
        </is>
      </c>
      <c r="B544">
        <f>HYPERLINK("Объекты недвижимости, не соответствующие градостроительным нормам_00-022_Август/86649182-2362-4434-bb35-faa0ad9d4517.jpg","open")</f>
        <v/>
      </c>
      <c r="C544" t="inlineStr">
        <is>
          <t>e85aff3b-73e8-4856-827e-477ccc0aea77</t>
        </is>
      </c>
      <c r="D544" t="n">
        <v>55.98004</v>
      </c>
      <c r="E544" t="n">
        <v>37.17141</v>
      </c>
      <c r="F544" t="inlineStr"/>
      <c r="G544" t="inlineStr"/>
      <c r="H544" t="inlineStr"/>
    </row>
    <row r="545">
      <c r="A545" t="inlineStr">
        <is>
          <t>e4ffdae3-3c6b-4cda-aae6-9dfd223328fd.jpg</t>
        </is>
      </c>
      <c r="B545">
        <f>HYPERLINK("Объекты недвижимости, не соответствующие градостроительным нормам_00-022_Август/e4ffdae3-3c6b-4cda-aae6-9dfd223328fd.jpg","open")</f>
        <v/>
      </c>
      <c r="C545" t="inlineStr">
        <is>
          <t>1a55986c-2c3f-40c0-b3d1-014dce77832e</t>
        </is>
      </c>
      <c r="D545" t="n">
        <v>55.78194</v>
      </c>
      <c r="E545" t="n">
        <v>37.53522</v>
      </c>
      <c r="F545" t="inlineStr"/>
      <c r="G545" t="inlineStr"/>
      <c r="H545" t="inlineStr"/>
    </row>
    <row r="546">
      <c r="A546" t="inlineStr">
        <is>
          <t>30c46072-b992-46b2-8b92-8f794ec85a10.jpg</t>
        </is>
      </c>
      <c r="B546">
        <f>HYPERLINK("Объекты недвижимости, не соответствующие градостроительным нормам_00-022_Август/30c46072-b992-46b2-8b92-8f794ec85a10.jpg","open")</f>
        <v/>
      </c>
      <c r="C546" t="inlineStr">
        <is>
          <t>ed2bf0f1-3a66-4913-896e-4420a9796c0b</t>
        </is>
      </c>
      <c r="D546" t="n">
        <v>55.78195</v>
      </c>
      <c r="E546" t="n">
        <v>37.53522</v>
      </c>
      <c r="F546" t="inlineStr"/>
      <c r="G546" t="inlineStr"/>
      <c r="H546" t="inlineStr"/>
    </row>
    <row r="547">
      <c r="A547" t="inlineStr">
        <is>
          <t>98af709c-39c1-455b-a655-e7b1c8dcbd29.jpg</t>
        </is>
      </c>
      <c r="B547">
        <f>HYPERLINK("Объекты недвижимости, не соответствующие градостроительным нормам_00-022_Август/98af709c-39c1-455b-a655-e7b1c8dcbd29.jpg","open")</f>
        <v/>
      </c>
      <c r="C547" t="inlineStr">
        <is>
          <t>ed2bf0f1-3a66-4913-896e-4420a9796c0b</t>
        </is>
      </c>
      <c r="D547" t="n">
        <v>55.78194</v>
      </c>
      <c r="E547" t="n">
        <v>37.53514</v>
      </c>
      <c r="F547" t="inlineStr"/>
      <c r="G547" t="inlineStr"/>
      <c r="H547" t="inlineStr"/>
    </row>
    <row r="548">
      <c r="A548" t="inlineStr">
        <is>
          <t>b36a362c-7884-4936-b8b2-b832aa5841dd.jpg</t>
        </is>
      </c>
      <c r="B548">
        <f>HYPERLINK("Объекты недвижимости, не соответствующие градостроительным нормам_00-022_Август/b36a362c-7884-4936-b8b2-b832aa5841dd.jpg","open")</f>
        <v/>
      </c>
      <c r="C548" t="inlineStr">
        <is>
          <t>ed2bf0f1-3a66-4913-896e-4420a9796c0b</t>
        </is>
      </c>
      <c r="D548" t="n">
        <v>55.78185</v>
      </c>
      <c r="E548" t="n">
        <v>37.53491</v>
      </c>
      <c r="F548" t="inlineStr"/>
      <c r="G548" t="inlineStr"/>
      <c r="H548" t="inlineStr"/>
    </row>
    <row r="549">
      <c r="A549" t="inlineStr">
        <is>
          <t>37c105b7-f522-4baf-b053-6ae68169924e.jpg</t>
        </is>
      </c>
      <c r="B549">
        <f>HYPERLINK("Объекты недвижимости, не соответствующие градостроительным нормам_00-022_Август/37c105b7-f522-4baf-b053-6ae68169924e.jpg","open")</f>
        <v/>
      </c>
      <c r="C549" t="inlineStr">
        <is>
          <t>1a55986c-2c3f-40c0-b3d1-014dce77832e</t>
        </is>
      </c>
      <c r="D549" t="n">
        <v>55.78183</v>
      </c>
      <c r="E549" t="n">
        <v>37.535</v>
      </c>
      <c r="F549" t="inlineStr"/>
      <c r="G549" t="inlineStr"/>
      <c r="H549" t="inlineStr"/>
    </row>
    <row r="550">
      <c r="A550" t="inlineStr">
        <is>
          <t>b959a071-fb80-4ab2-8891-a4861f847a81.jpg</t>
        </is>
      </c>
      <c r="B550">
        <f>HYPERLINK("Объекты недвижимости, не соответствующие градостроительным нормам_00-022_Август/b959a071-fb80-4ab2-8891-a4861f847a81.jpg","open")</f>
        <v/>
      </c>
      <c r="C550" t="inlineStr">
        <is>
          <t>29ad9edb-d533-4272-a986-be24eb004851</t>
        </is>
      </c>
      <c r="D550" t="n">
        <v>55.76046</v>
      </c>
      <c r="E550" t="n">
        <v>37.66076</v>
      </c>
      <c r="F550" t="inlineStr"/>
      <c r="G550" t="inlineStr"/>
      <c r="H550" t="inlineStr"/>
    </row>
    <row r="551">
      <c r="A551" t="inlineStr">
        <is>
          <t>2bcff7c2-f500-4346-9794-f3ef38958b77.jpg</t>
        </is>
      </c>
      <c r="B551">
        <f>HYPERLINK("Объекты недвижимости, не соответствующие градостроительным нормам_00-022_Август/2bcff7c2-f500-4346-9794-f3ef38958b77.jpg","open")</f>
        <v/>
      </c>
      <c r="C551" t="inlineStr">
        <is>
          <t>e85aff3b-73e8-4856-827e-477ccc0aea77</t>
        </is>
      </c>
      <c r="D551" t="n">
        <v>55.98004</v>
      </c>
      <c r="E551" t="n">
        <v>37.17141</v>
      </c>
      <c r="F551" t="inlineStr"/>
      <c r="G551" t="inlineStr"/>
      <c r="H551" t="inlineStr"/>
    </row>
    <row r="552">
      <c r="A552" t="inlineStr">
        <is>
          <t>38881ffb-3f0d-430f-8685-8e45fc686993.jpg</t>
        </is>
      </c>
      <c r="B552">
        <f>HYPERLINK("Объекты недвижимости, не соответствующие градостроительным нормам_00-022_Август/38881ffb-3f0d-430f-8685-8e45fc686993.jpg","open")</f>
        <v/>
      </c>
      <c r="C552" t="inlineStr">
        <is>
          <t>29ad9edb-d533-4272-a986-be24eb004851</t>
        </is>
      </c>
      <c r="D552" t="n">
        <v>55.76046</v>
      </c>
      <c r="E552" t="n">
        <v>37.66076</v>
      </c>
      <c r="F552" t="inlineStr"/>
      <c r="G552" t="inlineStr"/>
      <c r="H552" t="inlineStr"/>
    </row>
    <row r="553">
      <c r="A553" t="inlineStr">
        <is>
          <t>4fcd390b-34b7-4887-8cf7-b23f8dfad046.jpg</t>
        </is>
      </c>
      <c r="B553">
        <f>HYPERLINK("Объекты недвижимости, не соответствующие градостроительным нормам_00-022_Август/4fcd390b-34b7-4887-8cf7-b23f8dfad046.jpg","open")</f>
        <v/>
      </c>
      <c r="C553" t="inlineStr">
        <is>
          <t>1a55986c-2c3f-40c0-b3d1-014dce77832e</t>
        </is>
      </c>
      <c r="D553" t="n">
        <v>55.78188</v>
      </c>
      <c r="E553" t="n">
        <v>37.53519</v>
      </c>
      <c r="F553" t="inlineStr"/>
      <c r="G553" t="inlineStr"/>
      <c r="H553" t="inlineStr"/>
    </row>
    <row r="554">
      <c r="A554" t="inlineStr">
        <is>
          <t>ff5655da-a438-47f8-9bd1-981e7ac86bb7.jpg</t>
        </is>
      </c>
      <c r="B554">
        <f>HYPERLINK("Объекты недвижимости, не соответствующие градостроительным нормам_00-022_Август/ff5655da-a438-47f8-9bd1-981e7ac86bb7.jpg","open")</f>
        <v/>
      </c>
      <c r="C554" t="inlineStr">
        <is>
          <t>ed2bf0f1-3a66-4913-896e-4420a9796c0b</t>
        </is>
      </c>
      <c r="D554" t="n">
        <v>55.78171</v>
      </c>
      <c r="E554" t="n">
        <v>37.53559</v>
      </c>
      <c r="F554" t="inlineStr"/>
      <c r="G554" t="inlineStr"/>
      <c r="H554" t="inlineStr"/>
    </row>
    <row r="555">
      <c r="A555" t="inlineStr">
        <is>
          <t>e1f4dfb0-e263-4e8b-9609-33468f9c7337.jpg</t>
        </is>
      </c>
      <c r="B555">
        <f>HYPERLINK("Объекты недвижимости, не соответствующие градостроительным нормам_00-022_Август/e1f4dfb0-e263-4e8b-9609-33468f9c7337.jpg","open")</f>
        <v/>
      </c>
      <c r="C555" t="inlineStr">
        <is>
          <t>99f3abba-c55b-49f0-9de5-9f88e9597cc0</t>
        </is>
      </c>
      <c r="D555" t="n">
        <v>55.66675</v>
      </c>
      <c r="E555" t="n">
        <v>37.63189</v>
      </c>
      <c r="F555" t="inlineStr"/>
      <c r="G555" t="inlineStr"/>
      <c r="H555" t="inlineStr"/>
    </row>
    <row r="556">
      <c r="A556" t="inlineStr">
        <is>
          <t>f4c0260d-4a1f-4fec-80e4-f24a51ef5b9a.jpg</t>
        </is>
      </c>
      <c r="B556">
        <f>HYPERLINK("Объекты недвижимости, не соответствующие градостроительным нормам_00-022_Август/f4c0260d-4a1f-4fec-80e4-f24a51ef5b9a.jpg","open")</f>
        <v/>
      </c>
      <c r="C556" t="inlineStr">
        <is>
          <t>99f3abba-c55b-49f0-9de5-9f88e9597cc0</t>
        </is>
      </c>
      <c r="D556" t="n">
        <v>55.66668</v>
      </c>
      <c r="E556" t="n">
        <v>37.63201</v>
      </c>
      <c r="F556" t="inlineStr"/>
      <c r="G556" t="inlineStr"/>
      <c r="H556" t="inlineStr"/>
    </row>
    <row r="557">
      <c r="A557" t="inlineStr">
        <is>
          <t>e3fe08e6-5e36-46ef-b06e-53e3675c459b.jpg</t>
        </is>
      </c>
      <c r="B557">
        <f>HYPERLINK("Объекты недвижимости, не соответствующие градостроительным нормам_00-022_Август/e3fe08e6-5e36-46ef-b06e-53e3675c459b.jpg","open")</f>
        <v/>
      </c>
      <c r="C557" t="inlineStr">
        <is>
          <t>99f3abba-c55b-49f0-9de5-9f88e9597cc0</t>
        </is>
      </c>
      <c r="D557" t="n">
        <v>55.6667</v>
      </c>
      <c r="E557" t="n">
        <v>37.63205</v>
      </c>
      <c r="F557" t="inlineStr"/>
      <c r="G557" t="inlineStr"/>
      <c r="H557" t="inlineStr"/>
    </row>
    <row r="558">
      <c r="A558" t="inlineStr">
        <is>
          <t>026d266a-add3-4e12-9a90-95e61cf86a2f.jpg</t>
        </is>
      </c>
      <c r="B558">
        <f>HYPERLINK("Объекты недвижимости, не соответствующие градостроительным нормам_00-022_Август/026d266a-add3-4e12-9a90-95e61cf86a2f.jpg","open")</f>
        <v/>
      </c>
      <c r="C558" t="inlineStr">
        <is>
          <t>99f3abba-c55b-49f0-9de5-9f88e9597cc0</t>
        </is>
      </c>
      <c r="D558" t="n">
        <v>55.66669</v>
      </c>
      <c r="E558" t="n">
        <v>37.63203</v>
      </c>
      <c r="F558" t="inlineStr"/>
      <c r="G558" t="inlineStr"/>
      <c r="H558" t="inlineStr"/>
    </row>
    <row r="559">
      <c r="A559" t="inlineStr">
        <is>
          <t>eae9c223-19c1-4a70-812e-eda81444c078.jpg</t>
        </is>
      </c>
      <c r="B559">
        <f>HYPERLINK("Объекты недвижимости, не соответствующие градостроительным нормам_00-022_Август/eae9c223-19c1-4a70-812e-eda81444c078.jpg","open")</f>
        <v/>
      </c>
      <c r="C559" t="inlineStr">
        <is>
          <t>030e8755-17c1-44eb-9530-707d0d3121cb</t>
        </is>
      </c>
      <c r="D559" t="n">
        <v>55.69216</v>
      </c>
      <c r="E559" t="n">
        <v>37.6015</v>
      </c>
      <c r="F559" t="inlineStr"/>
      <c r="G559" t="inlineStr"/>
      <c r="H559" t="inlineStr"/>
    </row>
    <row r="560">
      <c r="A560" t="inlineStr">
        <is>
          <t>469119cd-d569-4454-b29b-980a20b25e52.jpg</t>
        </is>
      </c>
      <c r="B560">
        <f>HYPERLINK("Объекты недвижимости, не соответствующие градостроительным нормам_00-022_Август/469119cd-d569-4454-b29b-980a20b25e52.jpg","open")</f>
        <v/>
      </c>
      <c r="C560" t="inlineStr">
        <is>
          <t>ed2bf0f1-3a66-4913-896e-4420a9796c0b</t>
        </is>
      </c>
      <c r="D560" t="n">
        <v>55.78027</v>
      </c>
      <c r="E560" t="n">
        <v>37.53271</v>
      </c>
      <c r="F560" t="inlineStr"/>
      <c r="G560" t="inlineStr"/>
      <c r="H560" t="inlineStr"/>
    </row>
    <row r="561">
      <c r="A561" t="inlineStr">
        <is>
          <t>d117ef26-a5cc-40ee-9bd5-5bf09c84da87.jpg</t>
        </is>
      </c>
      <c r="B561">
        <f>HYPERLINK("Объекты недвижимости, не соответствующие градостроительным нормам_00-022_Август/d117ef26-a5cc-40ee-9bd5-5bf09c84da87.jpg","open")</f>
        <v/>
      </c>
      <c r="C561" t="inlineStr">
        <is>
          <t>99f3abba-c55b-49f0-9de5-9f88e9597cc0</t>
        </is>
      </c>
      <c r="D561" t="n">
        <v>55.66731</v>
      </c>
      <c r="E561" t="n">
        <v>37.63216</v>
      </c>
      <c r="F561" t="inlineStr"/>
      <c r="G561" t="inlineStr"/>
      <c r="H561" t="inlineStr"/>
    </row>
    <row r="562">
      <c r="A562" t="inlineStr">
        <is>
          <t>9c5cd8e7-fadf-4e72-8622-83fcd4d5d1e0.jpg</t>
        </is>
      </c>
      <c r="B562">
        <f>HYPERLINK("Объекты недвижимости, не соответствующие градостроительным нормам_00-022_Август/9c5cd8e7-fadf-4e72-8622-83fcd4d5d1e0.jpg","open")</f>
        <v/>
      </c>
      <c r="C562" t="inlineStr">
        <is>
          <t>b0429a31-0c70-4b9f-8ea5-73929d82f89e</t>
        </is>
      </c>
      <c r="D562" t="n">
        <v>55.66742</v>
      </c>
      <c r="E562" t="n">
        <v>37.63271</v>
      </c>
      <c r="F562" t="inlineStr"/>
      <c r="G562" t="inlineStr"/>
      <c r="H562" t="inlineStr"/>
    </row>
    <row r="563">
      <c r="A563" t="inlineStr">
        <is>
          <t>07e4f7e6-86f1-4919-b3d8-0b2896a8f0b9.jpg</t>
        </is>
      </c>
      <c r="B563">
        <f>HYPERLINK("Объекты недвижимости, не соответствующие градостроительным нормам_00-022_Август/07e4f7e6-86f1-4919-b3d8-0b2896a8f0b9.jpg","open")</f>
        <v/>
      </c>
      <c r="C563" t="inlineStr">
        <is>
          <t>1c951e11-4940-43c6-a447-394097e5609a</t>
        </is>
      </c>
      <c r="D563" t="n">
        <v>55.74447</v>
      </c>
      <c r="E563" t="n">
        <v>37.70318</v>
      </c>
      <c r="F563" t="inlineStr"/>
      <c r="G563" t="inlineStr"/>
      <c r="H563" t="inlineStr"/>
    </row>
    <row r="564">
      <c r="A564" t="inlineStr">
        <is>
          <t>3f146e3f-b1d2-44e5-94f7-06a629935b36.jpg</t>
        </is>
      </c>
      <c r="B564">
        <f>HYPERLINK("Объекты недвижимости, не соответствующие градостроительным нормам_00-022_Август/3f146e3f-b1d2-44e5-94f7-06a629935b36.jpg","open")</f>
        <v/>
      </c>
      <c r="C564" t="inlineStr">
        <is>
          <t>ffd931da-542f-43e9-979f-5552b17fe3dc</t>
        </is>
      </c>
      <c r="D564" t="n">
        <v>55.72286</v>
      </c>
      <c r="E564" t="n">
        <v>37.90023</v>
      </c>
      <c r="F564" t="inlineStr"/>
      <c r="G564" t="inlineStr"/>
      <c r="H564" t="inlineStr"/>
    </row>
    <row r="565">
      <c r="A565" t="inlineStr">
        <is>
          <t>3a597ea1-8672-453c-b9cb-724d50d58263.jpg</t>
        </is>
      </c>
      <c r="B565">
        <f>HYPERLINK("Объекты недвижимости, не соответствующие градостроительным нормам_00-022_Август/3a597ea1-8672-453c-b9cb-724d50d58263.jpg","open")</f>
        <v/>
      </c>
      <c r="C565" t="inlineStr">
        <is>
          <t>c008bda0-324b-4c90-9c2f-36cfc930e0b5</t>
        </is>
      </c>
      <c r="D565" t="n">
        <v>55.76046</v>
      </c>
      <c r="E565" t="n">
        <v>37.66076</v>
      </c>
      <c r="F565" t="inlineStr"/>
      <c r="G565" t="inlineStr"/>
      <c r="H565" t="inlineStr"/>
    </row>
    <row r="566">
      <c r="A566" t="inlineStr">
        <is>
          <t>24def601-cbf2-4fd5-8d0a-4e088bc93828.jpg</t>
        </is>
      </c>
      <c r="B566">
        <f>HYPERLINK("Объекты недвижимости, не соответствующие градостроительным нормам_00-022_Август/24def601-cbf2-4fd5-8d0a-4e088bc93828.jpg","open")</f>
        <v/>
      </c>
      <c r="C566" t="inlineStr">
        <is>
          <t>c008bda0-324b-4c90-9c2f-36cfc930e0b5</t>
        </is>
      </c>
      <c r="D566" t="n">
        <v>55.76046</v>
      </c>
      <c r="E566" t="n">
        <v>37.66076</v>
      </c>
      <c r="F566" t="inlineStr"/>
      <c r="G566" t="inlineStr"/>
      <c r="H566" t="inlineStr"/>
    </row>
    <row r="567">
      <c r="A567" t="inlineStr">
        <is>
          <t>84d681b8-39d0-4c03-b8c2-976a3a46a5df.jpg</t>
        </is>
      </c>
      <c r="B567">
        <f>HYPERLINK("Объекты недвижимости, не соответствующие градостроительным нормам_00-022_Август/84d681b8-39d0-4c03-b8c2-976a3a46a5df.jpg","open")</f>
        <v/>
      </c>
      <c r="C567" t="inlineStr">
        <is>
          <t>29ad9edb-d533-4272-a986-be24eb004851</t>
        </is>
      </c>
      <c r="D567" t="n">
        <v>55.76046</v>
      </c>
      <c r="E567" t="n">
        <v>37.66076</v>
      </c>
      <c r="F567" t="inlineStr"/>
      <c r="G567" t="inlineStr"/>
      <c r="H567" t="inlineStr"/>
    </row>
    <row r="568">
      <c r="A568" t="inlineStr">
        <is>
          <t>6af3ffce-4678-4598-849d-f924f06d6fbc.jpg</t>
        </is>
      </c>
      <c r="B568">
        <f>HYPERLINK("Объекты недвижимости, не соответствующие градостроительным нормам_00-022_Август/6af3ffce-4678-4598-849d-f924f06d6fbc.jpg","open")</f>
        <v/>
      </c>
      <c r="C568" t="inlineStr">
        <is>
          <t>1a55986c-2c3f-40c0-b3d1-014dce77832e</t>
        </is>
      </c>
      <c r="D568" t="n">
        <v>55.78171</v>
      </c>
      <c r="E568" t="n">
        <v>37.53544</v>
      </c>
      <c r="F568" t="inlineStr"/>
      <c r="G568" t="inlineStr"/>
      <c r="H568" t="inlineStr"/>
    </row>
    <row r="569">
      <c r="A569" t="inlineStr">
        <is>
          <t>885b07cf-8ce7-41fe-a3bc-cc12dd6b2558.jpg</t>
        </is>
      </c>
      <c r="B569">
        <f>HYPERLINK("Объекты недвижимости, не соответствующие градостроительным нормам_00-022_Август/885b07cf-8ce7-41fe-a3bc-cc12dd6b2558.jpg","open")</f>
        <v/>
      </c>
      <c r="C569" t="inlineStr">
        <is>
          <t>ed2bf0f1-3a66-4913-896e-4420a9796c0b</t>
        </is>
      </c>
      <c r="D569" t="n">
        <v>55.78161</v>
      </c>
      <c r="E569" t="n">
        <v>37.53572</v>
      </c>
      <c r="F569" t="inlineStr"/>
      <c r="G569" t="inlineStr"/>
      <c r="H569" t="inlineStr"/>
    </row>
    <row r="570">
      <c r="A570" t="inlineStr">
        <is>
          <t>80d27078-f32d-4ddd-ae1a-9ddc07199e9b.jpg</t>
        </is>
      </c>
      <c r="B570">
        <f>HYPERLINK("Объекты недвижимости, не соответствующие градостроительным нормам_00-022_Август/80d27078-f32d-4ddd-ae1a-9ddc07199e9b.jpg","open")</f>
        <v/>
      </c>
      <c r="C570" t="inlineStr">
        <is>
          <t>c008bda0-324b-4c90-9c2f-36cfc930e0b5</t>
        </is>
      </c>
      <c r="D570" t="n">
        <v>55.76046</v>
      </c>
      <c r="E570" t="n">
        <v>37.66076</v>
      </c>
      <c r="F570" t="inlineStr"/>
      <c r="G570" t="inlineStr"/>
      <c r="H570" t="inlineStr"/>
    </row>
    <row r="571">
      <c r="A571" t="inlineStr">
        <is>
          <t>19ff32b4-4f8e-48eb-a739-c602fe0aefb4.jpg</t>
        </is>
      </c>
      <c r="B571">
        <f>HYPERLINK("Объекты недвижимости, не соответствующие градостроительным нормам_00-022_Август/19ff32b4-4f8e-48eb-a739-c602fe0aefb4.jpg","open")</f>
        <v/>
      </c>
      <c r="C571" t="inlineStr">
        <is>
          <t>29ad9edb-d533-4272-a986-be24eb004851</t>
        </is>
      </c>
      <c r="D571" t="n">
        <v>55.76046</v>
      </c>
      <c r="E571" t="n">
        <v>37.66076</v>
      </c>
      <c r="F571" t="inlineStr"/>
      <c r="G571" t="inlineStr"/>
      <c r="H571" t="inlineStr"/>
    </row>
    <row r="572">
      <c r="A572" t="inlineStr">
        <is>
          <t>24998220-54d4-43c4-92c7-3bafe399da68.jpg</t>
        </is>
      </c>
      <c r="B572">
        <f>HYPERLINK("Объекты недвижимости, не соответствующие градостроительным нормам_00-022_Август/24998220-54d4-43c4-92c7-3bafe399da68.jpg","open")</f>
        <v/>
      </c>
      <c r="C572" t="inlineStr">
        <is>
          <t>99f3abba-c55b-49f0-9de5-9f88e9597cc0</t>
        </is>
      </c>
      <c r="D572" t="n">
        <v>55.67154</v>
      </c>
      <c r="E572" t="n">
        <v>37.62791</v>
      </c>
      <c r="F572" t="inlineStr"/>
      <c r="G572" t="inlineStr"/>
      <c r="H572" t="inlineStr"/>
    </row>
    <row r="573">
      <c r="A573" t="inlineStr">
        <is>
          <t>93ec7558-a18b-4ef0-89ce-8963a73ec213.jpg</t>
        </is>
      </c>
      <c r="B573">
        <f>HYPERLINK("Объекты недвижимости, не соответствующие градостроительным нормам_00-022_Август/93ec7558-a18b-4ef0-89ce-8963a73ec213.jpg","open")</f>
        <v/>
      </c>
      <c r="C573" t="inlineStr">
        <is>
          <t>b0429a31-0c70-4b9f-8ea5-73929d82f89e</t>
        </is>
      </c>
      <c r="D573" t="n">
        <v>55.67155</v>
      </c>
      <c r="E573" t="n">
        <v>37.6279</v>
      </c>
      <c r="F573" t="inlineStr"/>
      <c r="G573" t="inlineStr"/>
      <c r="H573" t="inlineStr"/>
    </row>
    <row r="574">
      <c r="A574" t="inlineStr">
        <is>
          <t>aa5606c8-9f2e-4270-a8c1-55a541ecc643.jpg</t>
        </is>
      </c>
      <c r="B574">
        <f>HYPERLINK("Объекты недвижимости, не соответствующие градостроительным нормам_00-022_Август/aa5606c8-9f2e-4270-a8c1-55a541ecc643.jpg","open")</f>
        <v/>
      </c>
      <c r="C574" t="inlineStr">
        <is>
          <t>29ad9edb-d533-4272-a986-be24eb004851</t>
        </is>
      </c>
      <c r="D574" t="n">
        <v>55.76046</v>
      </c>
      <c r="E574" t="n">
        <v>37.66076</v>
      </c>
      <c r="F574" t="inlineStr"/>
      <c r="G574" t="inlineStr"/>
      <c r="H574" t="inlineStr"/>
    </row>
    <row r="575">
      <c r="A575" t="inlineStr">
        <is>
          <t>46316f06-2530-4062-85dd-b9be3edd453a.jpg</t>
        </is>
      </c>
      <c r="B575">
        <f>HYPERLINK("Объекты недвижимости, не соответствующие градостроительным нормам_00-022_Август/46316f06-2530-4062-85dd-b9be3edd453a.jpg","open")</f>
        <v/>
      </c>
      <c r="C575" t="inlineStr">
        <is>
          <t>1a55986c-2c3f-40c0-b3d1-014dce77832e</t>
        </is>
      </c>
      <c r="D575" t="n">
        <v>55.78045</v>
      </c>
      <c r="E575" t="n">
        <v>37.53803</v>
      </c>
      <c r="F575" t="inlineStr"/>
      <c r="G575" t="inlineStr"/>
      <c r="H575" t="inlineStr"/>
    </row>
    <row r="576">
      <c r="A576" t="inlineStr">
        <is>
          <t>eca54d1f-a018-4f53-8e6f-32ed2da74108.jpg</t>
        </is>
      </c>
      <c r="B576">
        <f>HYPERLINK("Объекты недвижимости, не соответствующие градостроительным нормам_00-022_Август/eca54d1f-a018-4f53-8e6f-32ed2da74108.jpg","open")</f>
        <v/>
      </c>
      <c r="C576" t="inlineStr">
        <is>
          <t>8cde1fd0-eca1-4510-86ab-3c743b65fdfc</t>
        </is>
      </c>
      <c r="D576" t="n">
        <v>55.74447</v>
      </c>
      <c r="E576" t="n">
        <v>37.70318</v>
      </c>
      <c r="F576" t="inlineStr"/>
      <c r="G576" t="inlineStr"/>
      <c r="H576" t="inlineStr"/>
    </row>
    <row r="577">
      <c r="A577" t="inlineStr">
        <is>
          <t>69b3da3c-d2cf-4529-b197-08ac9c641f04.jpg</t>
        </is>
      </c>
      <c r="B577">
        <f>HYPERLINK("Объекты недвижимости, не соответствующие градостроительным нормам_00-022_Август/69b3da3c-d2cf-4529-b197-08ac9c641f04.jpg","open")</f>
        <v/>
      </c>
      <c r="C577" t="inlineStr">
        <is>
          <t>ed2bf0f1-3a66-4913-896e-4420a9796c0b</t>
        </is>
      </c>
      <c r="D577" t="n">
        <v>55.7805</v>
      </c>
      <c r="E577" t="n">
        <v>37.53817</v>
      </c>
      <c r="F577" t="inlineStr"/>
      <c r="G577" t="inlineStr"/>
      <c r="H577" t="inlineStr"/>
    </row>
    <row r="578">
      <c r="A578" t="inlineStr">
        <is>
          <t>b90df354-0988-4dd7-a11b-be0ecbaa20aa.jpg</t>
        </is>
      </c>
      <c r="B578">
        <f>HYPERLINK("Объекты недвижимости, не соответствующие градостроительным нормам_00-022_Август/b90df354-0988-4dd7-a11b-be0ecbaa20aa.jpg","open")</f>
        <v/>
      </c>
      <c r="C578" t="inlineStr">
        <is>
          <t>b0429a31-0c70-4b9f-8ea5-73929d82f89e</t>
        </is>
      </c>
      <c r="D578" t="n">
        <v>55.67519</v>
      </c>
      <c r="E578" t="n">
        <v>37.62789</v>
      </c>
      <c r="F578" t="inlineStr"/>
      <c r="G578" t="inlineStr"/>
      <c r="H578" t="inlineStr"/>
    </row>
    <row r="579">
      <c r="A579" t="inlineStr">
        <is>
          <t>459e198b-4160-46a0-9eab-32b10f4623b4.jpg</t>
        </is>
      </c>
      <c r="B579">
        <f>HYPERLINK("Объекты недвижимости, не соответствующие градостроительным нормам_00-022_Август/459e198b-4160-46a0-9eab-32b10f4623b4.jpg","open")</f>
        <v/>
      </c>
      <c r="C579" t="inlineStr">
        <is>
          <t>cbf95b01-f708-45a3-9ec0-3603469b538e</t>
        </is>
      </c>
      <c r="D579" t="n">
        <v>55.82073</v>
      </c>
      <c r="E579" t="n">
        <v>37.41798</v>
      </c>
      <c r="F579" t="inlineStr"/>
      <c r="G579" t="inlineStr"/>
      <c r="H579" t="inlineStr"/>
    </row>
    <row r="580">
      <c r="A580" t="inlineStr">
        <is>
          <t>6a525159-2882-4746-9d57-63f58cecb4e7.jpg</t>
        </is>
      </c>
      <c r="B580">
        <f>HYPERLINK("Объекты недвижимости, не соответствующие градостроительным нормам_00-022_Август/6a525159-2882-4746-9d57-63f58cecb4e7.jpg","open")</f>
        <v/>
      </c>
      <c r="C580" t="inlineStr">
        <is>
          <t>1a55986c-2c3f-40c0-b3d1-014dce77832e</t>
        </is>
      </c>
      <c r="D580" t="n">
        <v>55.78132</v>
      </c>
      <c r="E580" t="n">
        <v>37.54132</v>
      </c>
      <c r="F580" t="inlineStr"/>
      <c r="G580" t="inlineStr"/>
      <c r="H580" t="inlineStr"/>
    </row>
    <row r="581">
      <c r="A581" t="inlineStr">
        <is>
          <t>10aba35c-cabd-461e-8f8b-ba8080df2b84.jpg</t>
        </is>
      </c>
      <c r="B581">
        <f>HYPERLINK("Объекты недвижимости, не соответствующие градостроительным нормам_00-022_Август/10aba35c-cabd-461e-8f8b-ba8080df2b84.jpg","open")</f>
        <v/>
      </c>
      <c r="C581" t="inlineStr">
        <is>
          <t>ed2bf0f1-3a66-4913-896e-4420a9796c0b</t>
        </is>
      </c>
      <c r="D581" t="n">
        <v>55.78128</v>
      </c>
      <c r="E581" t="n">
        <v>37.5414</v>
      </c>
      <c r="F581" t="inlineStr"/>
      <c r="G581" t="inlineStr"/>
      <c r="H581" t="inlineStr"/>
    </row>
    <row r="582">
      <c r="A582" t="inlineStr">
        <is>
          <t>969efa8a-87e7-4ad0-a71c-3c5cca0c17d8.jpg</t>
        </is>
      </c>
      <c r="B582">
        <f>HYPERLINK("Объекты недвижимости, не соответствующие градостроительным нормам_00-022_Август/969efa8a-87e7-4ad0-a71c-3c5cca0c17d8.jpg","open")</f>
        <v/>
      </c>
      <c r="C582" t="inlineStr">
        <is>
          <t>cbf95b01-f708-45a3-9ec0-3603469b538e</t>
        </is>
      </c>
      <c r="D582" t="n">
        <v>55.82073</v>
      </c>
      <c r="E582" t="n">
        <v>37.41798</v>
      </c>
      <c r="F582" t="inlineStr"/>
      <c r="G582" t="inlineStr"/>
      <c r="H582" t="inlineStr"/>
    </row>
    <row r="583">
      <c r="A583" t="inlineStr">
        <is>
          <t>f962992f-b4db-4bb3-97d6-019202523e8f.jpg</t>
        </is>
      </c>
      <c r="B583">
        <f>HYPERLINK("Объекты недвижимости, не соответствующие градостроительным нормам_00-022_Август/f962992f-b4db-4bb3-97d6-019202523e8f.jpg","open")</f>
        <v/>
      </c>
      <c r="C583" t="inlineStr">
        <is>
          <t>cbf95b01-f708-45a3-9ec0-3603469b538e</t>
        </is>
      </c>
      <c r="D583" t="n">
        <v>55.82073</v>
      </c>
      <c r="E583" t="n">
        <v>37.41798</v>
      </c>
      <c r="F583" t="inlineStr"/>
      <c r="G583" t="inlineStr"/>
      <c r="H583" t="inlineStr"/>
    </row>
    <row r="584">
      <c r="A584" t="inlineStr">
        <is>
          <t>cdab015e-86ce-4c42-a67a-6416e0a30803.jpg</t>
        </is>
      </c>
      <c r="B584">
        <f>HYPERLINK("Объекты недвижимости, не соответствующие градостроительным нормам_00-022_Август/cdab015e-86ce-4c42-a67a-6416e0a30803.jpg","open")</f>
        <v/>
      </c>
      <c r="C584" t="inlineStr">
        <is>
          <t>cbf95b01-f708-45a3-9ec0-3603469b538e</t>
        </is>
      </c>
      <c r="D584" t="n">
        <v>55.82073</v>
      </c>
      <c r="E584" t="n">
        <v>37.41798</v>
      </c>
      <c r="F584" t="inlineStr"/>
      <c r="G584" t="inlineStr"/>
      <c r="H584" t="inlineStr"/>
    </row>
    <row r="585">
      <c r="A585" t="inlineStr">
        <is>
          <t>cf53edde-05b3-4aa0-acde-42bf89ae43c8.jpg</t>
        </is>
      </c>
      <c r="B585">
        <f>HYPERLINK("Объекты недвижимости, не соответствующие градостроительным нормам_00-022_Август/cf53edde-05b3-4aa0-acde-42bf89ae43c8.jpg","open")</f>
        <v/>
      </c>
      <c r="C585" t="inlineStr">
        <is>
          <t>cbf95b01-f708-45a3-9ec0-3603469b538e</t>
        </is>
      </c>
      <c r="D585" t="n">
        <v>55.82073</v>
      </c>
      <c r="E585" t="n">
        <v>37.41798</v>
      </c>
      <c r="F585" t="inlineStr"/>
      <c r="G585" t="inlineStr"/>
      <c r="H585" t="inlineStr"/>
    </row>
    <row r="586">
      <c r="A586" t="inlineStr">
        <is>
          <t>1d23ead5-1667-492f-b8dc-6f1fb11f700f.jpg</t>
        </is>
      </c>
      <c r="B586">
        <f>HYPERLINK("Объекты недвижимости, не соответствующие градостроительным нормам_00-022_Август/1d23ead5-1667-492f-b8dc-6f1fb11f700f.jpg","open")</f>
        <v/>
      </c>
      <c r="C586" t="inlineStr">
        <is>
          <t>cbf95b01-f708-45a3-9ec0-3603469b538e</t>
        </is>
      </c>
      <c r="D586" t="n">
        <v>55.82073</v>
      </c>
      <c r="E586" t="n">
        <v>37.41798</v>
      </c>
      <c r="F586" t="inlineStr"/>
      <c r="G586" t="inlineStr"/>
      <c r="H586" t="inlineStr"/>
    </row>
    <row r="587">
      <c r="A587" t="inlineStr">
        <is>
          <t>c97ba7d4-bf4b-4363-ac4f-6da3ccd3ae9c.jpg</t>
        </is>
      </c>
      <c r="B587">
        <f>HYPERLINK("Объекты недвижимости, не соответствующие градостроительным нормам_00-022_Август/c97ba7d4-bf4b-4363-ac4f-6da3ccd3ae9c.jpg","open")</f>
        <v/>
      </c>
      <c r="C587" t="inlineStr">
        <is>
          <t>ffd931da-542f-43e9-979f-5552b17fe3dc</t>
        </is>
      </c>
      <c r="D587" t="n">
        <v>55.72252</v>
      </c>
      <c r="E587" t="n">
        <v>37.89331</v>
      </c>
      <c r="F587" t="inlineStr"/>
      <c r="G587" t="inlineStr"/>
      <c r="H587" t="inlineStr"/>
    </row>
    <row r="588">
      <c r="A588" t="inlineStr">
        <is>
          <t>c1934e07-cf54-4293-8476-8cbfea04f289.jpg</t>
        </is>
      </c>
      <c r="B588">
        <f>HYPERLINK("Объекты недвижимости, не соответствующие градостроительным нормам_00-022_Август/c1934e07-cf54-4293-8476-8cbfea04f289.jpg","open")</f>
        <v/>
      </c>
      <c r="C588" t="inlineStr">
        <is>
          <t>f60286ac-55e7-4099-85bd-cc599a7a0c65</t>
        </is>
      </c>
      <c r="D588" t="n">
        <v>55.72249</v>
      </c>
      <c r="E588" t="n">
        <v>37.89328</v>
      </c>
      <c r="F588" t="inlineStr"/>
      <c r="G588" t="inlineStr"/>
      <c r="H588" t="inlineStr"/>
    </row>
    <row r="589">
      <c r="A589" t="inlineStr">
        <is>
          <t>78f48a88-6744-424f-8061-b13e9974c5d0.jpg</t>
        </is>
      </c>
      <c r="B589">
        <f>HYPERLINK("Объекты недвижимости, не соответствующие градостроительным нормам_00-022_Август/78f48a88-6744-424f-8061-b13e9974c5d0.jpg","open")</f>
        <v/>
      </c>
      <c r="C589" t="inlineStr">
        <is>
          <t>cbf95b01-f708-45a3-9ec0-3603469b538e</t>
        </is>
      </c>
      <c r="D589" t="n">
        <v>55.82073</v>
      </c>
      <c r="E589" t="n">
        <v>37.41798</v>
      </c>
      <c r="F589" t="inlineStr"/>
      <c r="G589" t="inlineStr"/>
      <c r="H589" t="inlineStr"/>
    </row>
    <row r="590">
      <c r="A590" t="inlineStr">
        <is>
          <t>eaac9d18-d467-426c-a621-54c5714eb913.jpg</t>
        </is>
      </c>
      <c r="B590">
        <f>HYPERLINK("Объекты недвижимости, не соответствующие градостроительным нормам_00-022_Август/eaac9d18-d467-426c-a621-54c5714eb913.jpg","open")</f>
        <v/>
      </c>
      <c r="C590" t="inlineStr">
        <is>
          <t>cbf95b01-f708-45a3-9ec0-3603469b538e</t>
        </is>
      </c>
      <c r="D590" t="n">
        <v>55.82073</v>
      </c>
      <c r="E590" t="n">
        <v>37.41798</v>
      </c>
      <c r="F590" t="inlineStr"/>
      <c r="G590" t="inlineStr"/>
      <c r="H590" t="inlineStr"/>
    </row>
    <row r="591">
      <c r="A591" t="inlineStr">
        <is>
          <t>eabb287d-d2e3-4cbe-b148-6b52422e11f2.jpg</t>
        </is>
      </c>
      <c r="B591">
        <f>HYPERLINK("Объекты недвижимости, не соответствующие градостроительным нормам_00-022_Август/eabb287d-d2e3-4cbe-b148-6b52422e11f2.jpg","open")</f>
        <v/>
      </c>
      <c r="C591" t="inlineStr">
        <is>
          <t>a1a9db89-3f74-42ef-8fad-ad69705102cd</t>
        </is>
      </c>
      <c r="D591" t="n">
        <v>55.82073</v>
      </c>
      <c r="E591" t="n">
        <v>37.41798</v>
      </c>
      <c r="F591" t="inlineStr"/>
      <c r="G591" t="inlineStr"/>
      <c r="H591" t="inlineStr"/>
    </row>
    <row r="592">
      <c r="A592" t="inlineStr">
        <is>
          <t>2e596305-6c27-4fcb-85d4-b0dfc33ffd75.jpg</t>
        </is>
      </c>
      <c r="B592">
        <f>HYPERLINK("Объекты недвижимости, не соответствующие градостроительным нормам_00-022_Август/2e596305-6c27-4fcb-85d4-b0dfc33ffd75.jpg","open")</f>
        <v/>
      </c>
      <c r="C592" t="inlineStr">
        <is>
          <t>cbf95b01-f708-45a3-9ec0-3603469b538e</t>
        </is>
      </c>
      <c r="D592" t="n">
        <v>55.82073</v>
      </c>
      <c r="E592" t="n">
        <v>37.41798</v>
      </c>
      <c r="F592" t="inlineStr"/>
      <c r="G592" t="inlineStr"/>
      <c r="H592" t="inlineStr"/>
    </row>
    <row r="593">
      <c r="A593" t="inlineStr">
        <is>
          <t>782001fd-29ad-4e49-b51f-0b7c359b047d.jpg</t>
        </is>
      </c>
      <c r="B593">
        <f>HYPERLINK("Объекты недвижимости, не соответствующие градостроительным нормам_00-022_Август/782001fd-29ad-4e49-b51f-0b7c359b047d.jpg","open")</f>
        <v/>
      </c>
      <c r="C593" t="inlineStr">
        <is>
          <t>cbf95b01-f708-45a3-9ec0-3603469b538e</t>
        </is>
      </c>
      <c r="D593" t="n">
        <v>55.82073</v>
      </c>
      <c r="E593" t="n">
        <v>37.41798</v>
      </c>
      <c r="F593" t="inlineStr"/>
      <c r="G593" t="inlineStr"/>
      <c r="H593" t="inlineStr"/>
    </row>
    <row r="594">
      <c r="A594" t="inlineStr">
        <is>
          <t>3fd0f783-8550-432c-b456-544e14b368c7.jpg</t>
        </is>
      </c>
      <c r="B594">
        <f>HYPERLINK("Объекты недвижимости, не соответствующие градостроительным нормам_00-022_Август/3fd0f783-8550-432c-b456-544e14b368c7.jpg","open")</f>
        <v/>
      </c>
      <c r="C594" t="inlineStr">
        <is>
          <t>cbf95b01-f708-45a3-9ec0-3603469b538e</t>
        </is>
      </c>
      <c r="D594" t="n">
        <v>55.82073</v>
      </c>
      <c r="E594" t="n">
        <v>37.41798</v>
      </c>
      <c r="F594" t="inlineStr"/>
      <c r="G594" t="inlineStr"/>
      <c r="H594" t="inlineStr"/>
    </row>
    <row r="595">
      <c r="A595" t="inlineStr">
        <is>
          <t>8d05cac4-55b9-4634-91e6-ae2f8faa081d.jpg</t>
        </is>
      </c>
      <c r="B595">
        <f>HYPERLINK("Объекты недвижимости, не соответствующие градостроительным нормам_00-022_Август/8d05cac4-55b9-4634-91e6-ae2f8faa081d.jpg","open")</f>
        <v/>
      </c>
      <c r="C595" t="inlineStr">
        <is>
          <t>cbf95b01-f708-45a3-9ec0-3603469b538e</t>
        </is>
      </c>
      <c r="D595" t="n">
        <v>55.82073</v>
      </c>
      <c r="E595" t="n">
        <v>37.41798</v>
      </c>
      <c r="F595" t="inlineStr"/>
      <c r="G595" t="inlineStr"/>
      <c r="H595" t="inlineStr"/>
    </row>
    <row r="596">
      <c r="A596" t="inlineStr">
        <is>
          <t>cf3f6545-6908-4663-8003-5b6033340fd1.jpg</t>
        </is>
      </c>
      <c r="B596">
        <f>HYPERLINK("Объекты недвижимости, не соответствующие градостроительным нормам_00-022_Август/cf3f6545-6908-4663-8003-5b6033340fd1.jpg","open")</f>
        <v/>
      </c>
      <c r="C596" t="inlineStr">
        <is>
          <t>cbf95b01-f708-45a3-9ec0-3603469b538e</t>
        </is>
      </c>
      <c r="D596" t="n">
        <v>55.82073</v>
      </c>
      <c r="E596" t="n">
        <v>37.41798</v>
      </c>
      <c r="F596" t="inlineStr"/>
      <c r="G596" t="inlineStr"/>
      <c r="H596" t="inlineStr"/>
    </row>
    <row r="597">
      <c r="A597" t="inlineStr">
        <is>
          <t>d574354f-1408-4a41-bb7b-dc484a1ac063.jpg</t>
        </is>
      </c>
      <c r="B597">
        <f>HYPERLINK("Объекты недвижимости, не соответствующие градостроительным нормам_00-022_Август/d574354f-1408-4a41-bb7b-dc484a1ac063.jpg","open")</f>
        <v/>
      </c>
      <c r="C597" t="inlineStr">
        <is>
          <t>cbf95b01-f708-45a3-9ec0-3603469b538e</t>
        </is>
      </c>
      <c r="D597" t="n">
        <v>55.82073</v>
      </c>
      <c r="E597" t="n">
        <v>37.41798</v>
      </c>
      <c r="F597" t="inlineStr"/>
      <c r="G597" t="inlineStr"/>
      <c r="H597" t="inlineStr"/>
    </row>
    <row r="598">
      <c r="A598" t="inlineStr">
        <is>
          <t>c01fc3c6-4490-4bfb-9b3d-55db3f0f6832.jpg</t>
        </is>
      </c>
      <c r="B598">
        <f>HYPERLINK("Объекты недвижимости, не соответствующие градостроительным нормам_00-022_Август/c01fc3c6-4490-4bfb-9b3d-55db3f0f6832.jpg","open")</f>
        <v/>
      </c>
      <c r="C598" t="inlineStr">
        <is>
          <t>cbf95b01-f708-45a3-9ec0-3603469b538e</t>
        </is>
      </c>
      <c r="D598" t="n">
        <v>55.82073</v>
      </c>
      <c r="E598" t="n">
        <v>37.41798</v>
      </c>
      <c r="F598" t="inlineStr"/>
      <c r="G598" t="inlineStr"/>
      <c r="H598" t="inlineStr"/>
    </row>
    <row r="599">
      <c r="A599" t="inlineStr">
        <is>
          <t>3aab6881-9563-4980-ad8d-ca1762506b5b.jpg</t>
        </is>
      </c>
      <c r="B599">
        <f>HYPERLINK("Объекты недвижимости, не соответствующие градостроительным нормам_00-022_Август/3aab6881-9563-4980-ad8d-ca1762506b5b.jpg","open")</f>
        <v/>
      </c>
      <c r="C599" t="inlineStr">
        <is>
          <t>cbf95b01-f708-45a3-9ec0-3603469b538e</t>
        </is>
      </c>
      <c r="D599" t="n">
        <v>55.82073</v>
      </c>
      <c r="E599" t="n">
        <v>37.41798</v>
      </c>
      <c r="F599" t="inlineStr"/>
      <c r="G599" t="inlineStr"/>
      <c r="H599" t="inlineStr"/>
    </row>
    <row r="600">
      <c r="A600" t="inlineStr">
        <is>
          <t>21113a16-e5b4-4d82-b11e-5736d5441305.jpg</t>
        </is>
      </c>
      <c r="B600">
        <f>HYPERLINK("Объекты недвижимости, не соответствующие градостроительным нормам_00-022_Август/21113a16-e5b4-4d82-b11e-5736d5441305.jpg","open")</f>
        <v/>
      </c>
      <c r="C600" t="inlineStr">
        <is>
          <t>cbf95b01-f708-45a3-9ec0-3603469b538e</t>
        </is>
      </c>
      <c r="D600" t="n">
        <v>55.82073</v>
      </c>
      <c r="E600" t="n">
        <v>37.41798</v>
      </c>
      <c r="F600" t="inlineStr"/>
      <c r="G600" t="inlineStr"/>
      <c r="H600" t="inlineStr"/>
    </row>
    <row r="601">
      <c r="A601" t="inlineStr">
        <is>
          <t>526922bf-68fc-4a5b-9ac6-96a994588a59.jpg</t>
        </is>
      </c>
      <c r="B601">
        <f>HYPERLINK("Объекты недвижимости, не соответствующие градостроительным нормам_00-022_Август/526922bf-68fc-4a5b-9ac6-96a994588a59.jpg","open")</f>
        <v/>
      </c>
      <c r="C601" t="inlineStr">
        <is>
          <t>ed2bf0f1-3a66-4913-896e-4420a9796c0b</t>
        </is>
      </c>
      <c r="D601" t="n">
        <v>55.77771</v>
      </c>
      <c r="E601" t="n">
        <v>37.53629</v>
      </c>
      <c r="F601" t="inlineStr"/>
      <c r="G601" t="inlineStr"/>
      <c r="H601" t="inlineStr"/>
    </row>
    <row r="602">
      <c r="A602" t="inlineStr">
        <is>
          <t>944e1cf5-9a30-4d41-af41-09afa99f2d6d.jpg</t>
        </is>
      </c>
      <c r="B602">
        <f>HYPERLINK("Объекты недвижимости, не соответствующие градостроительным нормам_00-022_Август/944e1cf5-9a30-4d41-af41-09afa99f2d6d.jpg","open")</f>
        <v/>
      </c>
      <c r="C602" t="inlineStr">
        <is>
          <t>cbf95b01-f708-45a3-9ec0-3603469b538e</t>
        </is>
      </c>
      <c r="D602" t="n">
        <v>55.82073</v>
      </c>
      <c r="E602" t="n">
        <v>37.41798</v>
      </c>
      <c r="F602" t="inlineStr"/>
      <c r="G602" t="inlineStr"/>
      <c r="H602" t="inlineStr"/>
    </row>
    <row r="603">
      <c r="A603" t="inlineStr">
        <is>
          <t>06c039b9-4320-4ea2-b3bf-d917d5941ff3.jpg</t>
        </is>
      </c>
      <c r="B603">
        <f>HYPERLINK("Объекты недвижимости, не соответствующие градостроительным нормам_00-022_Август/06c039b9-4320-4ea2-b3bf-d917d5941ff3.jpg","open")</f>
        <v/>
      </c>
      <c r="C603" t="inlineStr">
        <is>
          <t>cbf95b01-f708-45a3-9ec0-3603469b538e</t>
        </is>
      </c>
      <c r="D603" t="n">
        <v>55.82073</v>
      </c>
      <c r="E603" t="n">
        <v>37.41798</v>
      </c>
      <c r="F603" t="inlineStr"/>
      <c r="G603" t="inlineStr"/>
      <c r="H603" t="inlineStr"/>
    </row>
    <row r="604">
      <c r="A604" t="inlineStr">
        <is>
          <t>23c8e19e-9c6c-47c4-acc2-f6acd337cf61.jpg</t>
        </is>
      </c>
      <c r="B604">
        <f>HYPERLINK("Объекты недвижимости, не соответствующие градостроительным нормам_00-022_Август/23c8e19e-9c6c-47c4-acc2-f6acd337cf61.jpg","open")</f>
        <v/>
      </c>
      <c r="C604" t="inlineStr">
        <is>
          <t>a1a9db89-3f74-42ef-8fad-ad69705102cd</t>
        </is>
      </c>
      <c r="D604" t="n">
        <v>55.82073</v>
      </c>
      <c r="E604" t="n">
        <v>37.41798</v>
      </c>
      <c r="F604" t="inlineStr"/>
      <c r="G604" t="inlineStr"/>
      <c r="H604" t="inlineStr"/>
    </row>
    <row r="605">
      <c r="A605" t="inlineStr">
        <is>
          <t>e9611e25-a198-47ca-bf25-71c3d4d9c775.jpg</t>
        </is>
      </c>
      <c r="B605">
        <f>HYPERLINK("Объекты недвижимости, не соответствующие градостроительным нормам_00-022_Август/e9611e25-a198-47ca-bf25-71c3d4d9c775.jpg","open")</f>
        <v/>
      </c>
      <c r="C605" t="inlineStr">
        <is>
          <t>cbf95b01-f708-45a3-9ec0-3603469b538e</t>
        </is>
      </c>
      <c r="D605" t="n">
        <v>55.82073</v>
      </c>
      <c r="E605" t="n">
        <v>37.41798</v>
      </c>
      <c r="F605" t="inlineStr"/>
      <c r="G605" t="inlineStr"/>
      <c r="H605" t="inlineStr"/>
    </row>
    <row r="606">
      <c r="A606" t="inlineStr">
        <is>
          <t>cdbc2e26-c210-4bc0-aa96-22092d69632e.jpg</t>
        </is>
      </c>
      <c r="B606">
        <f>HYPERLINK("Объекты недвижимости, не соответствующие градостроительным нормам_00-022_Август/cdbc2e26-c210-4bc0-aa96-22092d69632e.jpg","open")</f>
        <v/>
      </c>
      <c r="C606" t="inlineStr">
        <is>
          <t>cbf95b01-f708-45a3-9ec0-3603469b538e</t>
        </is>
      </c>
      <c r="D606" t="n">
        <v>55.82073</v>
      </c>
      <c r="E606" t="n">
        <v>37.41798</v>
      </c>
      <c r="F606" t="inlineStr"/>
      <c r="G606" t="inlineStr"/>
      <c r="H606" t="inlineStr"/>
    </row>
    <row r="607">
      <c r="A607" t="inlineStr">
        <is>
          <t>ea7b88ad-8fdf-48a7-b832-7a92a11a44f8.jpg</t>
        </is>
      </c>
      <c r="B607">
        <f>HYPERLINK("Объекты недвижимости, не соответствующие градостроительным нормам_00-022_Август/ea7b88ad-8fdf-48a7-b832-7a92a11a44f8.jpg","open")</f>
        <v/>
      </c>
      <c r="C607" t="inlineStr">
        <is>
          <t>cbf95b01-f708-45a3-9ec0-3603469b538e</t>
        </is>
      </c>
      <c r="D607" t="n">
        <v>55.82073</v>
      </c>
      <c r="E607" t="n">
        <v>37.41798</v>
      </c>
      <c r="F607" t="inlineStr"/>
      <c r="G607" t="inlineStr"/>
      <c r="H607" t="inlineStr"/>
    </row>
    <row r="608">
      <c r="A608" t="inlineStr">
        <is>
          <t>b89d42d6-7499-42c7-afef-594d76de76f3.jpg</t>
        </is>
      </c>
      <c r="B608">
        <f>HYPERLINK("Объекты недвижимости, не соответствующие градостроительным нормам_00-022_Август/b89d42d6-7499-42c7-afef-594d76de76f3.jpg","open")</f>
        <v/>
      </c>
      <c r="C608" t="inlineStr">
        <is>
          <t>cbf95b01-f708-45a3-9ec0-3603469b538e</t>
        </is>
      </c>
      <c r="D608" t="n">
        <v>55.82073</v>
      </c>
      <c r="E608" t="n">
        <v>37.41798</v>
      </c>
      <c r="F608" t="inlineStr"/>
      <c r="G608" t="inlineStr"/>
      <c r="H608" t="inlineStr"/>
    </row>
    <row r="609">
      <c r="A609" t="inlineStr">
        <is>
          <t>3942c2ef-f364-4149-924d-1c81ba52499b.jpg</t>
        </is>
      </c>
      <c r="B609">
        <f>HYPERLINK("Объекты недвижимости, не соответствующие градостроительным нормам_00-022_Август/3942c2ef-f364-4149-924d-1c81ba52499b.jpg","open")</f>
        <v/>
      </c>
      <c r="C609" t="inlineStr">
        <is>
          <t>cbf95b01-f708-45a3-9ec0-3603469b538e</t>
        </is>
      </c>
      <c r="D609" t="n">
        <v>55.82073</v>
      </c>
      <c r="E609" t="n">
        <v>37.41798</v>
      </c>
      <c r="F609" t="inlineStr"/>
      <c r="G609" t="inlineStr"/>
      <c r="H609" t="inlineStr"/>
    </row>
    <row r="610">
      <c r="A610" t="inlineStr">
        <is>
          <t>26c1fa08-a668-4e4a-a058-2b4dbd6631eb.jpg</t>
        </is>
      </c>
      <c r="B610">
        <f>HYPERLINK("Объекты недвижимости, не соответствующие градостроительным нормам_00-022_Август/26c1fa08-a668-4e4a-a058-2b4dbd6631eb.jpg","open")</f>
        <v/>
      </c>
      <c r="C610" t="inlineStr">
        <is>
          <t>31a713a9-b910-424b-b847-e0eaa2f70c70</t>
        </is>
      </c>
      <c r="D610" t="n">
        <v>55.8187</v>
      </c>
      <c r="E610" t="n">
        <v>37.51015</v>
      </c>
      <c r="F610" t="inlineStr"/>
      <c r="G610" t="inlineStr"/>
      <c r="H610" t="inlineStr"/>
    </row>
    <row r="611">
      <c r="A611" t="inlineStr">
        <is>
          <t>656fe7de-a7fa-4e07-83eb-11e04b5a64c0.jpg</t>
        </is>
      </c>
      <c r="B611">
        <f>HYPERLINK("Объекты недвижимости, не соответствующие градостроительным нормам_00-022_Август/656fe7de-a7fa-4e07-83eb-11e04b5a64c0.jpg","open")</f>
        <v/>
      </c>
      <c r="C611" t="inlineStr">
        <is>
          <t>31a713a9-b910-424b-b847-e0eaa2f70c70</t>
        </is>
      </c>
      <c r="D611" t="n">
        <v>55.8188</v>
      </c>
      <c r="E611" t="n">
        <v>37.51009</v>
      </c>
      <c r="F611" t="inlineStr"/>
      <c r="G611" t="inlineStr"/>
      <c r="H611" t="inlineStr"/>
    </row>
    <row r="612">
      <c r="A612" t="inlineStr">
        <is>
          <t>d65d1924-622f-4a95-a183-de94e904d21f.jpg</t>
        </is>
      </c>
      <c r="B612">
        <f>HYPERLINK("Объекты недвижимости, не соответствующие градостроительным нормам_00-022_Август/d65d1924-622f-4a95-a183-de94e904d21f.jpg","open")</f>
        <v/>
      </c>
      <c r="C612" t="inlineStr">
        <is>
          <t>61936922-4d4b-458e-80ea-6d4c450aa1d5</t>
        </is>
      </c>
      <c r="D612" t="n">
        <v>55.6423</v>
      </c>
      <c r="E612" t="n">
        <v>37.34428</v>
      </c>
      <c r="F612" t="inlineStr"/>
      <c r="G612" t="inlineStr"/>
      <c r="H612" t="inlineStr"/>
    </row>
    <row r="613">
      <c r="A613" t="inlineStr">
        <is>
          <t>38d558ba-45e8-42d5-839f-5ced343d53d5.jpg</t>
        </is>
      </c>
      <c r="B613">
        <f>HYPERLINK("Объекты недвижимости, не соответствующие градостроительным нормам_00-022_Август/38d558ba-45e8-42d5-839f-5ced343d53d5.jpg","open")</f>
        <v/>
      </c>
      <c r="C613" t="inlineStr">
        <is>
          <t>1a55986c-2c3f-40c0-b3d1-014dce77832e</t>
        </is>
      </c>
      <c r="D613" t="n">
        <v>55.77701</v>
      </c>
      <c r="E613" t="n">
        <v>37.53028</v>
      </c>
      <c r="F613" t="inlineStr"/>
      <c r="G613" t="inlineStr"/>
      <c r="H613" t="inlineStr"/>
    </row>
    <row r="614">
      <c r="A614" t="inlineStr">
        <is>
          <t>66facc7a-85c7-41bc-bd2f-b7c66c99860d.jpg</t>
        </is>
      </c>
      <c r="B614">
        <f>HYPERLINK("Объекты недвижимости, не соответствующие градостроительным нормам_00-022_Август/66facc7a-85c7-41bc-bd2f-b7c66c99860d.jpg","open")</f>
        <v/>
      </c>
      <c r="C614" t="inlineStr">
        <is>
          <t>57aae8a4-582b-4309-8045-c8127a9f86ae</t>
        </is>
      </c>
      <c r="D614" t="n">
        <v>55.82062</v>
      </c>
      <c r="E614" t="n">
        <v>37.8665</v>
      </c>
      <c r="F614" t="inlineStr"/>
      <c r="G614" t="inlineStr"/>
      <c r="H614" t="inlineStr"/>
    </row>
    <row r="615">
      <c r="A615" t="inlineStr">
        <is>
          <t>02ae7c0d-347f-4d9b-a9db-9b958ba77c84.jpg</t>
        </is>
      </c>
      <c r="B615">
        <f>HYPERLINK("Объекты недвижимости, не соответствующие градостроительным нормам_00-022_Август/02ae7c0d-347f-4d9b-a9db-9b958ba77c84.jpg","open")</f>
        <v/>
      </c>
      <c r="C615" t="inlineStr">
        <is>
          <t>cbf95b01-f708-45a3-9ec0-3603469b538e</t>
        </is>
      </c>
      <c r="D615" t="n">
        <v>55.82073</v>
      </c>
      <c r="E615" t="n">
        <v>37.41798</v>
      </c>
      <c r="F615" t="inlineStr"/>
      <c r="G615" t="inlineStr"/>
      <c r="H615" t="inlineStr"/>
    </row>
    <row r="616">
      <c r="A616" t="inlineStr">
        <is>
          <t>c8f73949-a213-4f02-9e95-7d2d040d8532.jpg</t>
        </is>
      </c>
      <c r="B616">
        <f>HYPERLINK("Объекты недвижимости, не соответствующие градостроительным нормам_00-022_Август/c8f73949-a213-4f02-9e95-7d2d040d8532.jpg","open")</f>
        <v/>
      </c>
      <c r="C616" t="inlineStr">
        <is>
          <t>cbf95b01-f708-45a3-9ec0-3603469b538e</t>
        </is>
      </c>
      <c r="D616" t="n">
        <v>55.82073</v>
      </c>
      <c r="E616" t="n">
        <v>37.41798</v>
      </c>
      <c r="F616" t="inlineStr"/>
      <c r="G616" t="inlineStr"/>
      <c r="H616" t="inlineStr"/>
    </row>
    <row r="617">
      <c r="A617" t="inlineStr">
        <is>
          <t>570c523a-c750-4335-946c-dac54b45af5c.jpg</t>
        </is>
      </c>
      <c r="B617">
        <f>HYPERLINK("Объекты недвижимости, не соответствующие градостроительным нормам_00-022_Август/570c523a-c750-4335-946c-dac54b45af5c.jpg","open")</f>
        <v/>
      </c>
      <c r="C617" t="inlineStr">
        <is>
          <t>f20fbc2b-b369-4734-bb66-92af02fbb0d1</t>
        </is>
      </c>
      <c r="D617" t="n">
        <v>55.70255</v>
      </c>
      <c r="E617" t="n">
        <v>37.75211</v>
      </c>
      <c r="F617" t="inlineStr"/>
      <c r="G617" t="inlineStr"/>
      <c r="H617" t="inlineStr"/>
    </row>
    <row r="618">
      <c r="A618" t="inlineStr">
        <is>
          <t>33ae94e4-c148-4922-b4c2-1b71392abe0b.jpg</t>
        </is>
      </c>
      <c r="B618">
        <f>HYPERLINK("Объекты недвижимости, не соответствующие градостроительным нормам_00-022_Август/33ae94e4-c148-4922-b4c2-1b71392abe0b.jpg","open")</f>
        <v/>
      </c>
      <c r="C618" t="inlineStr">
        <is>
          <t>a1a9db89-3f74-42ef-8fad-ad69705102cd</t>
        </is>
      </c>
      <c r="D618" t="n">
        <v>55.82073</v>
      </c>
      <c r="E618" t="n">
        <v>37.41798</v>
      </c>
      <c r="F618" t="inlineStr"/>
      <c r="G618" t="inlineStr"/>
      <c r="H618" t="inlineStr"/>
    </row>
    <row r="619">
      <c r="A619" t="inlineStr">
        <is>
          <t>157a2983-a64d-4f99-803f-765c8834004e.jpg</t>
        </is>
      </c>
      <c r="B619">
        <f>HYPERLINK("Объекты недвижимости, не соответствующие градостроительным нормам_00-022_Август/157a2983-a64d-4f99-803f-765c8834004e.jpg","open")</f>
        <v/>
      </c>
      <c r="C619" t="inlineStr">
        <is>
          <t>8b2675e2-7f40-47a9-a462-7c9feecd299c</t>
        </is>
      </c>
      <c r="D619" t="n">
        <v>55.52053</v>
      </c>
      <c r="E619" t="n">
        <v>37.35299</v>
      </c>
      <c r="F619" t="inlineStr"/>
      <c r="G619" t="inlineStr"/>
      <c r="H619" t="inlineStr"/>
    </row>
    <row r="620">
      <c r="A620" t="inlineStr">
        <is>
          <t>0f494e3a-631d-4788-a9e0-b0432f010d98.jpg</t>
        </is>
      </c>
      <c r="B620">
        <f>HYPERLINK("Объекты недвижимости, не соответствующие градостроительным нормам_00-022_Август/0f494e3a-631d-4788-a9e0-b0432f010d98.jpg","open")</f>
        <v/>
      </c>
      <c r="C620" t="inlineStr">
        <is>
          <t>29ad9edb-d533-4272-a986-be24eb004851</t>
        </is>
      </c>
      <c r="D620" t="n">
        <v>55.76046</v>
      </c>
      <c r="E620" t="n">
        <v>37.66076</v>
      </c>
      <c r="F620" t="inlineStr"/>
      <c r="G620" t="inlineStr"/>
      <c r="H620" t="inlineStr"/>
    </row>
    <row r="621">
      <c r="A621" t="inlineStr">
        <is>
          <t>2416f627-232a-43b0-a404-2cda142e6286.jpg</t>
        </is>
      </c>
      <c r="B621">
        <f>HYPERLINK("Объекты недвижимости, не соответствующие градостроительным нормам_00-022_Август/2416f627-232a-43b0-a404-2cda142e6286.jpg","open")</f>
        <v/>
      </c>
      <c r="C621" t="inlineStr">
        <is>
          <t>a1a9db89-3f74-42ef-8fad-ad69705102cd</t>
        </is>
      </c>
      <c r="D621" t="n">
        <v>55.82073</v>
      </c>
      <c r="E621" t="n">
        <v>37.41798</v>
      </c>
      <c r="F621" t="inlineStr"/>
      <c r="G621" t="inlineStr"/>
      <c r="H621" t="inlineStr"/>
    </row>
    <row r="622">
      <c r="A622" t="inlineStr">
        <is>
          <t>9cfb4385-aea5-4997-85e2-1941c627b056.jpg</t>
        </is>
      </c>
      <c r="B622">
        <f>HYPERLINK("Объекты недвижимости, не соответствующие градостроительным нормам_00-022_Август/9cfb4385-aea5-4997-85e2-1941c627b056.jpg","open")</f>
        <v/>
      </c>
      <c r="C622" t="inlineStr">
        <is>
          <t>a1a9db89-3f74-42ef-8fad-ad69705102cd</t>
        </is>
      </c>
      <c r="D622" t="n">
        <v>55.82073</v>
      </c>
      <c r="E622" t="n">
        <v>37.41798</v>
      </c>
      <c r="F622" t="inlineStr"/>
      <c r="G622" t="inlineStr"/>
      <c r="H622" t="inlineStr"/>
    </row>
    <row r="623">
      <c r="A623" t="inlineStr">
        <is>
          <t>0d6418df-85a8-4132-83a5-a39ff1ad8616.jpg</t>
        </is>
      </c>
      <c r="B623">
        <f>HYPERLINK("Объекты недвижимости, не соответствующие градостроительным нормам_00-022_Август/0d6418df-85a8-4132-83a5-a39ff1ad8616.jpg","open")</f>
        <v/>
      </c>
      <c r="C623" t="inlineStr">
        <is>
          <t>57aae8a4-582b-4309-8045-c8127a9f86ae</t>
        </is>
      </c>
      <c r="D623" t="n">
        <v>55.81905</v>
      </c>
      <c r="E623" t="n">
        <v>37.85824</v>
      </c>
      <c r="F623" t="inlineStr"/>
      <c r="G623" t="inlineStr"/>
      <c r="H623" t="inlineStr"/>
    </row>
    <row r="624">
      <c r="A624" t="inlineStr">
        <is>
          <t>7f2b1787-7a66-4d7a-8e0d-6f6db89d11e7.jpg</t>
        </is>
      </c>
      <c r="B624">
        <f>HYPERLINK("Объекты недвижимости, не соответствующие градостроительным нормам_00-022_Август/7f2b1787-7a66-4d7a-8e0d-6f6db89d11e7.jpg","open")</f>
        <v/>
      </c>
      <c r="C624" t="inlineStr">
        <is>
          <t>a1a9db89-3f74-42ef-8fad-ad69705102cd</t>
        </is>
      </c>
      <c r="D624" t="n">
        <v>55.82073</v>
      </c>
      <c r="E624" t="n">
        <v>37.41798</v>
      </c>
      <c r="F624" t="inlineStr"/>
      <c r="G624" t="inlineStr"/>
      <c r="H624" t="inlineStr"/>
    </row>
    <row r="625">
      <c r="A625" t="inlineStr">
        <is>
          <t>1e7daec0-7cef-4c06-b027-329e6d6ef87e.jpg</t>
        </is>
      </c>
      <c r="B625">
        <f>HYPERLINK("Объекты недвижимости, не соответствующие градостроительным нормам_00-022_Август/1e7daec0-7cef-4c06-b027-329e6d6ef87e.jpg","open")</f>
        <v/>
      </c>
      <c r="C625" t="inlineStr">
        <is>
          <t>99f3abba-c55b-49f0-9de5-9f88e9597cc0</t>
        </is>
      </c>
      <c r="D625" t="n">
        <v>55.66711</v>
      </c>
      <c r="E625" t="n">
        <v>37.62812</v>
      </c>
      <c r="F625" t="inlineStr"/>
      <c r="G625" t="inlineStr"/>
      <c r="H625" t="inlineStr"/>
    </row>
    <row r="626">
      <c r="A626" t="inlineStr">
        <is>
          <t>a29e4684-7c12-4c40-b3c6-228f9fb0f09c.jpg</t>
        </is>
      </c>
      <c r="B626">
        <f>HYPERLINK("Объекты недвижимости, не соответствующие градостроительным нормам_00-022_Август/a29e4684-7c12-4c40-b3c6-228f9fb0f09c.jpg","open")</f>
        <v/>
      </c>
      <c r="C626" t="inlineStr">
        <is>
          <t>b0429a31-0c70-4b9f-8ea5-73929d82f89e</t>
        </is>
      </c>
      <c r="D626" t="n">
        <v>55.66751</v>
      </c>
      <c r="E626" t="n">
        <v>37.62764</v>
      </c>
      <c r="F626" t="inlineStr"/>
      <c r="G626" t="inlineStr"/>
      <c r="H626" t="inlineStr"/>
    </row>
    <row r="627">
      <c r="A627" t="inlineStr">
        <is>
          <t>f3fc836c-057a-4633-b4bf-8e6492ffad07.jpg</t>
        </is>
      </c>
      <c r="B627">
        <f>HYPERLINK("Объекты недвижимости, не соответствующие градостроительным нормам_00-022_Август/f3fc836c-057a-4633-b4bf-8e6492ffad07.jpg","open")</f>
        <v/>
      </c>
      <c r="C627" t="inlineStr">
        <is>
          <t>a1a9db89-3f74-42ef-8fad-ad69705102cd</t>
        </is>
      </c>
      <c r="D627" t="n">
        <v>55.82073</v>
      </c>
      <c r="E627" t="n">
        <v>37.41798</v>
      </c>
      <c r="F627" t="inlineStr"/>
      <c r="G627" t="inlineStr"/>
      <c r="H627" t="inlineStr"/>
    </row>
    <row r="628">
      <c r="A628" t="inlineStr">
        <is>
          <t>cec3637f-4546-4aa8-9428-bb711c726626.jpg</t>
        </is>
      </c>
      <c r="B628">
        <f>HYPERLINK("Объекты недвижимости, не соответствующие градостроительным нормам_00-022_Август/cec3637f-4546-4aa8-9428-bb711c726626.jpg","open")</f>
        <v/>
      </c>
      <c r="C628" t="inlineStr">
        <is>
          <t>b0429a31-0c70-4b9f-8ea5-73929d82f89e</t>
        </is>
      </c>
      <c r="D628" t="n">
        <v>55.66803</v>
      </c>
      <c r="E628" t="n">
        <v>37.62757</v>
      </c>
      <c r="F628" t="inlineStr"/>
      <c r="G628" t="inlineStr"/>
      <c r="H628" t="inlineStr"/>
    </row>
    <row r="629">
      <c r="A629" t="inlineStr">
        <is>
          <t>f693b9a1-2aa3-4b02-b5fa-fd0a7fed4156.jpg</t>
        </is>
      </c>
      <c r="B629">
        <f>HYPERLINK("Объекты недвижимости, не соответствующие градостроительным нормам_00-022_Август/f693b9a1-2aa3-4b02-b5fa-fd0a7fed4156.jpg","open")</f>
        <v/>
      </c>
      <c r="C629" t="inlineStr">
        <is>
          <t>ed2bf0f1-3a66-4913-896e-4420a9796c0b</t>
        </is>
      </c>
      <c r="D629" t="n">
        <v>55.78035</v>
      </c>
      <c r="E629" t="n">
        <v>37.52477</v>
      </c>
      <c r="F629" t="inlineStr"/>
      <c r="G629" t="inlineStr"/>
      <c r="H629" t="inlineStr"/>
    </row>
    <row r="630">
      <c r="A630" t="inlineStr">
        <is>
          <t>9aab3f9c-4485-4d12-b15b-6b0e356943c2.jpg</t>
        </is>
      </c>
      <c r="B630">
        <f>HYPERLINK("Объекты недвижимости, не соответствующие градостроительным нормам_00-022_Август/9aab3f9c-4485-4d12-b15b-6b0e356943c2.jpg","open")</f>
        <v/>
      </c>
      <c r="C630" t="inlineStr">
        <is>
          <t>8cde1fd0-eca1-4510-86ab-3c743b65fdfc</t>
        </is>
      </c>
      <c r="D630" t="n">
        <v>55.73402</v>
      </c>
      <c r="E630" t="n">
        <v>37.73725</v>
      </c>
      <c r="F630" t="inlineStr"/>
      <c r="G630" t="inlineStr"/>
      <c r="H630" t="inlineStr"/>
    </row>
    <row r="631">
      <c r="A631" t="inlineStr">
        <is>
          <t>10924dcb-0839-42fb-b84e-0dc75c94f7df.jpg</t>
        </is>
      </c>
      <c r="B631">
        <f>HYPERLINK("Объекты недвижимости, не соответствующие градостроительным нормам_00-022_Август/10924dcb-0839-42fb-b84e-0dc75c94f7df.jpg","open")</f>
        <v/>
      </c>
      <c r="C631" t="inlineStr">
        <is>
          <t>a1a9db89-3f74-42ef-8fad-ad69705102cd</t>
        </is>
      </c>
      <c r="D631" t="n">
        <v>55.82073</v>
      </c>
      <c r="E631" t="n">
        <v>37.41798</v>
      </c>
      <c r="F631" t="inlineStr"/>
      <c r="G631" t="inlineStr"/>
      <c r="H631" t="inlineStr"/>
    </row>
    <row r="632">
      <c r="A632" t="inlineStr">
        <is>
          <t>30b67936-a548-4392-9ce6-15033b97a842.jpg</t>
        </is>
      </c>
      <c r="B632">
        <f>HYPERLINK("Объекты недвижимости, не соответствующие градостроительным нормам_00-022_Август/30b67936-a548-4392-9ce6-15033b97a842.jpg","open")</f>
        <v/>
      </c>
      <c r="C632" t="inlineStr">
        <is>
          <t>99f3abba-c55b-49f0-9de5-9f88e9597cc0</t>
        </is>
      </c>
      <c r="D632" t="n">
        <v>55.66759</v>
      </c>
      <c r="E632" t="n">
        <v>37.62792</v>
      </c>
      <c r="F632" t="inlineStr"/>
      <c r="G632" t="inlineStr"/>
      <c r="H632" t="inlineStr"/>
    </row>
    <row r="633">
      <c r="A633" t="inlineStr">
        <is>
          <t>4a16ebdd-b0f4-43e9-9009-03a71e554d17.jpg</t>
        </is>
      </c>
      <c r="B633">
        <f>HYPERLINK("Объекты недвижимости, не соответствующие градостроительным нормам_00-022_Август/4a16ebdd-b0f4-43e9-9009-03a71e554d17.jpg","open")</f>
        <v/>
      </c>
      <c r="C633" t="inlineStr">
        <is>
          <t>685d9054-b74f-49ab-857b-109fd2cec80d</t>
        </is>
      </c>
      <c r="D633" t="n">
        <v>55.634</v>
      </c>
      <c r="E633" t="n">
        <v>37.51598</v>
      </c>
      <c r="F633" t="inlineStr"/>
      <c r="G633" t="inlineStr"/>
      <c r="H633" t="inlineStr"/>
    </row>
    <row r="634">
      <c r="A634" t="inlineStr">
        <is>
          <t>f647a776-6de1-4ed9-aedf-b123a1cec31b.jpg</t>
        </is>
      </c>
      <c r="B634">
        <f>HYPERLINK("Объекты недвижимости, не соответствующие градостроительным нормам_00-022_Август/f647a776-6de1-4ed9-aedf-b123a1cec31b.jpg","open")</f>
        <v/>
      </c>
      <c r="C634" t="inlineStr">
        <is>
          <t>1a55986c-2c3f-40c0-b3d1-014dce77832e</t>
        </is>
      </c>
      <c r="D634" t="n">
        <v>55.78006</v>
      </c>
      <c r="E634" t="n">
        <v>37.51877</v>
      </c>
      <c r="F634" t="inlineStr"/>
      <c r="G634" t="inlineStr"/>
      <c r="H634" t="inlineStr"/>
    </row>
    <row r="635">
      <c r="A635" t="inlineStr">
        <is>
          <t>fe2c9a94-9935-44c9-ad8d-85911307892a.jpg</t>
        </is>
      </c>
      <c r="B635">
        <f>HYPERLINK("Объекты недвижимости, не соответствующие градостроительным нормам_00-022_Август/fe2c9a94-9935-44c9-ad8d-85911307892a.jpg","open")</f>
        <v/>
      </c>
      <c r="C635" t="inlineStr">
        <is>
          <t>685d9054-b74f-49ab-857b-109fd2cec80d</t>
        </is>
      </c>
      <c r="D635" t="n">
        <v>55.63486</v>
      </c>
      <c r="E635" t="n">
        <v>37.51334</v>
      </c>
      <c r="F635" t="inlineStr"/>
      <c r="G635" t="inlineStr"/>
      <c r="H635" t="inlineStr"/>
    </row>
    <row r="636">
      <c r="A636" t="inlineStr">
        <is>
          <t>c5ace0a2-5a26-4d64-8c3d-f040965a7f73.jpg</t>
        </is>
      </c>
      <c r="B636">
        <f>HYPERLINK("Объекты недвижимости, не соответствующие градостроительным нормам_00-022_Август/c5ace0a2-5a26-4d64-8c3d-f040965a7f73.jpg","open")</f>
        <v/>
      </c>
      <c r="C636" t="inlineStr">
        <is>
          <t>1231bbc5-e64c-4dc7-9acc-77710f47607a</t>
        </is>
      </c>
      <c r="D636" t="n">
        <v>55.63486</v>
      </c>
      <c r="E636" t="n">
        <v>37.51328</v>
      </c>
      <c r="F636" t="inlineStr"/>
      <c r="G636" t="inlineStr"/>
      <c r="H636" t="inlineStr"/>
    </row>
    <row r="637">
      <c r="A637" t="inlineStr">
        <is>
          <t>e9635137-e9a0-422f-b971-db8cf544ec78.jpg</t>
        </is>
      </c>
      <c r="B637">
        <f>HYPERLINK("Объекты недвижимости, не соответствующие градостроительным нормам_00-022_Август/e9635137-e9a0-422f-b971-db8cf544ec78.jpg","open")</f>
        <v/>
      </c>
      <c r="C637" t="inlineStr">
        <is>
          <t>1231bbc5-e64c-4dc7-9acc-77710f47607a</t>
        </is>
      </c>
      <c r="D637" t="n">
        <v>55.63214</v>
      </c>
      <c r="E637" t="n">
        <v>37.50955</v>
      </c>
      <c r="F637" t="inlineStr"/>
      <c r="G637" t="inlineStr"/>
      <c r="H637" t="inlineStr"/>
    </row>
    <row r="638">
      <c r="A638" t="inlineStr">
        <is>
          <t>8ef462a3-4a85-4515-92dc-8d4bb9f6d867.jpg</t>
        </is>
      </c>
      <c r="B638">
        <f>HYPERLINK("Объекты недвижимости, не соответствующие градостроительным нормам_00-022_Август/8ef462a3-4a85-4515-92dc-8d4bb9f6d867.jpg","open")</f>
        <v/>
      </c>
      <c r="C638" t="inlineStr">
        <is>
          <t>1c951e11-4940-43c6-a447-394097e5609a</t>
        </is>
      </c>
      <c r="D638" t="n">
        <v>55.7322</v>
      </c>
      <c r="E638" t="n">
        <v>37.75127</v>
      </c>
      <c r="F638" t="inlineStr"/>
      <c r="G638" t="inlineStr"/>
      <c r="H638" t="inlineStr"/>
    </row>
    <row r="639">
      <c r="A639" t="inlineStr">
        <is>
          <t>e692a67d-b7b9-4586-a7e4-54dd427532fa.jpg</t>
        </is>
      </c>
      <c r="B639">
        <f>HYPERLINK("Объекты недвижимости, не соответствующие градостроительным нормам_00-022_Август/e692a67d-b7b9-4586-a7e4-54dd427532fa.jpg","open")</f>
        <v/>
      </c>
      <c r="C639" t="inlineStr">
        <is>
          <t>8cde1fd0-eca1-4510-86ab-3c743b65fdfc</t>
        </is>
      </c>
      <c r="D639" t="n">
        <v>55.73223</v>
      </c>
      <c r="E639" t="n">
        <v>37.75173</v>
      </c>
      <c r="F639" t="inlineStr"/>
      <c r="G639" t="inlineStr"/>
      <c r="H639" t="inlineStr"/>
    </row>
    <row r="640">
      <c r="A640" t="inlineStr">
        <is>
          <t>d17fe78e-4a0b-4317-bb66-7431ebc6ea60.jpg</t>
        </is>
      </c>
      <c r="B640">
        <f>HYPERLINK("Объекты недвижимости, не соответствующие градостроительным нормам_00-022_Август/d17fe78e-4a0b-4317-bb66-7431ebc6ea60.jpg","open")</f>
        <v/>
      </c>
      <c r="C640" t="inlineStr">
        <is>
          <t>1c951e11-4940-43c6-a447-394097e5609a</t>
        </is>
      </c>
      <c r="D640" t="n">
        <v>55.73229</v>
      </c>
      <c r="E640" t="n">
        <v>37.75278</v>
      </c>
      <c r="F640" t="inlineStr"/>
      <c r="G640" t="inlineStr"/>
      <c r="H640" t="inlineStr"/>
    </row>
    <row r="641">
      <c r="A641" t="inlineStr">
        <is>
          <t>ab6290be-820e-466b-bb5b-5910ff74e368.jpg</t>
        </is>
      </c>
      <c r="B641">
        <f>HYPERLINK("Объекты недвижимости, не соответствующие градостроительным нормам_00-022_Август/ab6290be-820e-466b-bb5b-5910ff74e368.jpg","open")</f>
        <v/>
      </c>
      <c r="C641" t="inlineStr">
        <is>
          <t>8cde1fd0-eca1-4510-86ab-3c743b65fdfc</t>
        </is>
      </c>
      <c r="D641" t="n">
        <v>55.73531</v>
      </c>
      <c r="E641" t="n">
        <v>37.75354</v>
      </c>
      <c r="F641" t="inlineStr"/>
      <c r="G641" t="inlineStr"/>
      <c r="H641" t="inlineStr"/>
    </row>
    <row r="642">
      <c r="A642" t="inlineStr">
        <is>
          <t>3922fe49-ef41-44ee-8b14-0241322d8b7b.jpg</t>
        </is>
      </c>
      <c r="B642">
        <f>HYPERLINK("Объекты недвижимости, не соответствующие градостроительным нормам_00-022_Август/3922fe49-ef41-44ee-8b14-0241322d8b7b.jpg","open")</f>
        <v/>
      </c>
      <c r="C642" t="inlineStr">
        <is>
          <t>1c951e11-4940-43c6-a447-394097e5609a</t>
        </is>
      </c>
      <c r="D642" t="n">
        <v>55.73531</v>
      </c>
      <c r="E642" t="n">
        <v>37.75354</v>
      </c>
      <c r="F642" t="inlineStr"/>
      <c r="G642" t="inlineStr"/>
      <c r="H642" t="inlineStr"/>
    </row>
    <row r="643">
      <c r="A643" t="inlineStr">
        <is>
          <t>14907923-c476-4956-b63c-3874db58318f.jpg</t>
        </is>
      </c>
      <c r="B643">
        <f>HYPERLINK("Объекты недвижимости, не соответствующие градостроительным нормам_00-022_Август/14907923-c476-4956-b63c-3874db58318f.jpg","open")</f>
        <v/>
      </c>
      <c r="C643" t="inlineStr">
        <is>
          <t>8cde1fd0-eca1-4510-86ab-3c743b65fdfc</t>
        </is>
      </c>
      <c r="D643" t="n">
        <v>55.73539</v>
      </c>
      <c r="E643" t="n">
        <v>37.75369</v>
      </c>
      <c r="F643" t="inlineStr"/>
      <c r="G643" t="inlineStr"/>
      <c r="H643" t="inlineStr"/>
    </row>
    <row r="644">
      <c r="A644" t="inlineStr">
        <is>
          <t>9ce841c9-9add-4fee-b43d-6cdce4a8da3b.jpg</t>
        </is>
      </c>
      <c r="B644">
        <f>HYPERLINK("Объекты недвижимости, не соответствующие градостроительным нормам_00-022_Август/9ce841c9-9add-4fee-b43d-6cdce4a8da3b.jpg","open")</f>
        <v/>
      </c>
      <c r="C644" t="inlineStr">
        <is>
          <t>ad64e6b9-1ed5-44d7-a101-4945a1f9dec6</t>
        </is>
      </c>
      <c r="D644" t="n">
        <v>55.54485</v>
      </c>
      <c r="E644" t="n">
        <v>37.56007</v>
      </c>
      <c r="F644" t="inlineStr"/>
      <c r="G644" t="inlineStr"/>
      <c r="H644" t="inlineStr"/>
    </row>
    <row r="645">
      <c r="A645" t="inlineStr">
        <is>
          <t>7a0d2cc4-b4a9-443d-89d9-18c32eaf731b.jpg</t>
        </is>
      </c>
      <c r="B645">
        <f>HYPERLINK("Объекты недвижимости, не соответствующие градостроительным нормам_00-022_Август/7a0d2cc4-b4a9-443d-89d9-18c32eaf731b.jpg","open")</f>
        <v/>
      </c>
      <c r="C645" t="inlineStr">
        <is>
          <t>b0429a31-0c70-4b9f-8ea5-73929d82f89e</t>
        </is>
      </c>
      <c r="D645" t="n">
        <v>55.66213</v>
      </c>
      <c r="E645" t="n">
        <v>37.62991</v>
      </c>
      <c r="F645" t="inlineStr"/>
      <c r="G645" t="inlineStr"/>
      <c r="H645" t="inlineStr"/>
    </row>
    <row r="646">
      <c r="A646" t="inlineStr">
        <is>
          <t>3392ae22-f127-4b79-ba4c-8f21556fc1f2.jpg</t>
        </is>
      </c>
      <c r="B646">
        <f>HYPERLINK("Объекты недвижимости, не соответствующие градостроительным нормам_00-022_Август/3392ae22-f127-4b79-ba4c-8f21556fc1f2.jpg","open")</f>
        <v/>
      </c>
      <c r="C646" t="inlineStr">
        <is>
          <t>8cde1fd0-eca1-4510-86ab-3c743b65fdfc</t>
        </is>
      </c>
      <c r="D646" t="n">
        <v>55.73596</v>
      </c>
      <c r="E646" t="n">
        <v>37.75701</v>
      </c>
      <c r="F646" t="inlineStr"/>
      <c r="G646" t="inlineStr"/>
      <c r="H646" t="inlineStr"/>
    </row>
    <row r="647">
      <c r="A647" t="inlineStr">
        <is>
          <t>55f86c0d-b53c-4c54-b5a8-6a0aaa33c99d.jpg</t>
        </is>
      </c>
      <c r="B647">
        <f>HYPERLINK("Объекты недвижимости, не соответствующие градостроительным нормам_00-022_Август/55f86c0d-b53c-4c54-b5a8-6a0aaa33c99d.jpg","open")</f>
        <v/>
      </c>
      <c r="C647" t="inlineStr">
        <is>
          <t>6e2567a0-1fb9-40d5-a0e7-0adb480d2965</t>
        </is>
      </c>
      <c r="D647" t="n">
        <v>55.79658</v>
      </c>
      <c r="E647" t="n">
        <v>37.78162</v>
      </c>
      <c r="F647" t="inlineStr"/>
      <c r="G647" t="inlineStr"/>
      <c r="H647" t="inlineStr"/>
    </row>
    <row r="648">
      <c r="A648" t="inlineStr">
        <is>
          <t>9fcb4af7-9d72-4b86-962c-196839b38610.jpg</t>
        </is>
      </c>
      <c r="B648">
        <f>HYPERLINK("Объекты недвижимости, не соответствующие градостроительным нормам_00-022_Август/9fcb4af7-9d72-4b86-962c-196839b38610.jpg","open")</f>
        <v/>
      </c>
      <c r="C648" t="inlineStr">
        <is>
          <t>8cde1fd0-eca1-4510-86ab-3c743b65fdfc</t>
        </is>
      </c>
      <c r="D648" t="n">
        <v>55.73693</v>
      </c>
      <c r="E648" t="n">
        <v>37.75911</v>
      </c>
      <c r="F648" t="inlineStr"/>
      <c r="G648" t="inlineStr"/>
      <c r="H648" t="inlineStr"/>
    </row>
    <row r="649">
      <c r="A649" t="inlineStr">
        <is>
          <t>0ffec2bc-672f-4a99-9f9c-952aefd193a9.jpg</t>
        </is>
      </c>
      <c r="B649">
        <f>HYPERLINK("Объекты недвижимости, не соответствующие градостроительным нормам_00-022_Август/0ffec2bc-672f-4a99-9f9c-952aefd193a9.jpg","open")</f>
        <v/>
      </c>
      <c r="C649" t="inlineStr">
        <is>
          <t>8cde1fd0-eca1-4510-86ab-3c743b65fdfc</t>
        </is>
      </c>
      <c r="D649" t="n">
        <v>55.73702</v>
      </c>
      <c r="E649" t="n">
        <v>37.75914</v>
      </c>
      <c r="F649" t="inlineStr"/>
      <c r="G649" t="inlineStr"/>
      <c r="H649" t="inlineStr"/>
    </row>
    <row r="650">
      <c r="A650" t="inlineStr">
        <is>
          <t>cb857498-3bf5-4023-8a14-9188912ea05f.jpg</t>
        </is>
      </c>
      <c r="B650">
        <f>HYPERLINK("Объекты недвижимости, не соответствующие градостроительным нормам_00-022_Август/cb857498-3bf5-4023-8a14-9188912ea05f.jpg","open")</f>
        <v/>
      </c>
      <c r="C650" t="inlineStr">
        <is>
          <t>1c951e11-4940-43c6-a447-394097e5609a</t>
        </is>
      </c>
      <c r="D650" t="n">
        <v>55.7371</v>
      </c>
      <c r="E650" t="n">
        <v>37.75923</v>
      </c>
      <c r="F650" t="inlineStr"/>
      <c r="G650" t="inlineStr"/>
      <c r="H650" t="inlineStr"/>
    </row>
    <row r="651">
      <c r="A651" t="inlineStr">
        <is>
          <t>28899808-0445-4774-96fe-40122c384a0b.jpg</t>
        </is>
      </c>
      <c r="B651">
        <f>HYPERLINK("Объекты недвижимости, не соответствующие градостроительным нормам_00-022_Август/28899808-0445-4774-96fe-40122c384a0b.jpg","open")</f>
        <v/>
      </c>
      <c r="C651" t="inlineStr">
        <is>
          <t>2ba4f567-3981-4fd7-ac4a-45e8b3d68429</t>
        </is>
      </c>
      <c r="D651" t="n">
        <v>55.98656</v>
      </c>
      <c r="E651" t="n">
        <v>37.27816</v>
      </c>
      <c r="F651" t="inlineStr"/>
      <c r="G651" t="inlineStr"/>
      <c r="H651" t="inlineStr"/>
    </row>
    <row r="652">
      <c r="A652" t="inlineStr">
        <is>
          <t>e7649449-d559-4e4d-a46e-ab1d52be3c68.jpg</t>
        </is>
      </c>
      <c r="B652">
        <f>HYPERLINK("Объекты недвижимости, не соответствующие градостроительным нормам_00-022_Август/e7649449-d559-4e4d-a46e-ab1d52be3c68.jpg","open")</f>
        <v/>
      </c>
      <c r="C652" t="inlineStr">
        <is>
          <t>8cde1fd0-eca1-4510-86ab-3c743b65fdfc</t>
        </is>
      </c>
      <c r="D652" t="n">
        <v>55.73454</v>
      </c>
      <c r="E652" t="n">
        <v>37.76392</v>
      </c>
      <c r="F652" t="inlineStr"/>
      <c r="G652" t="inlineStr"/>
      <c r="H652" t="inlineStr"/>
    </row>
    <row r="653">
      <c r="A653" t="inlineStr">
        <is>
          <t>3a48ebe9-3214-4198-acd2-1aef29bba68f.jpg</t>
        </is>
      </c>
      <c r="B653">
        <f>HYPERLINK("Объекты недвижимости, не соответствующие градостроительным нормам_00-022_Август/3a48ebe9-3214-4198-acd2-1aef29bba68f.jpg","open")</f>
        <v/>
      </c>
      <c r="C653" t="inlineStr">
        <is>
          <t>6e2567a0-1fb9-40d5-a0e7-0adb480d2965</t>
        </is>
      </c>
      <c r="D653" t="n">
        <v>55.78426</v>
      </c>
      <c r="E653" t="n">
        <v>37.67511</v>
      </c>
      <c r="F653" t="inlineStr"/>
      <c r="G653" t="inlineStr"/>
      <c r="H653" t="inlineStr"/>
    </row>
    <row r="654">
      <c r="A654" t="inlineStr">
        <is>
          <t>cefc7d32-a320-4f24-bd5f-e885cab637ff.jpg</t>
        </is>
      </c>
      <c r="B654">
        <f>HYPERLINK("Объекты недвижимости, не соответствующие градостроительным нормам_00-022_Август/cefc7d32-a320-4f24-bd5f-e885cab637ff.jpg","open")</f>
        <v/>
      </c>
      <c r="C654" t="inlineStr">
        <is>
          <t>1a55986c-2c3f-40c0-b3d1-014dce77832e</t>
        </is>
      </c>
      <c r="D654" t="n">
        <v>55.79259</v>
      </c>
      <c r="E654" t="n">
        <v>37.51399</v>
      </c>
      <c r="F654" t="inlineStr"/>
      <c r="G654" t="inlineStr"/>
      <c r="H654" t="inlineStr"/>
    </row>
    <row r="655">
      <c r="A655" t="inlineStr">
        <is>
          <t>c64c64d9-1d42-4688-bc6f-da28718f44b0.jpg</t>
        </is>
      </c>
      <c r="B655">
        <f>HYPERLINK("Объекты недвижимости, не соответствующие градостроительным нормам_00-022_Август/c64c64d9-1d42-4688-bc6f-da28718f44b0.jpg","open")</f>
        <v/>
      </c>
      <c r="C655" t="inlineStr">
        <is>
          <t>8cde1fd0-eca1-4510-86ab-3c743b65fdfc</t>
        </is>
      </c>
      <c r="D655" t="n">
        <v>55.73445</v>
      </c>
      <c r="E655" t="n">
        <v>37.76392</v>
      </c>
      <c r="F655" t="inlineStr"/>
      <c r="G655" t="inlineStr"/>
      <c r="H655" t="inlineStr"/>
    </row>
    <row r="656">
      <c r="A656" t="inlineStr">
        <is>
          <t>f5c5b5e7-ba97-4dab-b9bd-2d36e7cd18e9.jpg</t>
        </is>
      </c>
      <c r="B656">
        <f>HYPERLINK("Объекты недвижимости, не соответствующие градостроительным нормам_00-022_Август/f5c5b5e7-ba97-4dab-b9bd-2d36e7cd18e9.jpg","open")</f>
        <v/>
      </c>
      <c r="C656" t="inlineStr">
        <is>
          <t>12e795ad-2aa7-49de-b2da-2c6aa35a4559</t>
        </is>
      </c>
      <c r="D656" t="n">
        <v>55.54632</v>
      </c>
      <c r="E656" t="n">
        <v>37.55893</v>
      </c>
      <c r="F656" t="inlineStr"/>
      <c r="G656" t="inlineStr"/>
      <c r="H656" t="inlineStr"/>
    </row>
    <row r="657">
      <c r="A657" t="inlineStr">
        <is>
          <t>4648a742-396a-48fa-8616-0f097f2df3b1.jpg</t>
        </is>
      </c>
      <c r="B657">
        <f>HYPERLINK("Объекты недвижимости, не соответствующие градостроительным нормам_00-022_Август/4648a742-396a-48fa-8616-0f097f2df3b1.jpg","open")</f>
        <v/>
      </c>
      <c r="C657" t="inlineStr">
        <is>
          <t>ad64e6b9-1ed5-44d7-a101-4945a1f9dec6</t>
        </is>
      </c>
      <c r="D657" t="n">
        <v>55.54637</v>
      </c>
      <c r="E657" t="n">
        <v>37.55885</v>
      </c>
      <c r="F657" t="inlineStr"/>
      <c r="G657" t="inlineStr"/>
      <c r="H657" t="inlineStr"/>
    </row>
    <row r="658">
      <c r="A658" t="inlineStr">
        <is>
          <t>9ab35b4c-1813-4655-85af-1804061df103.jpg</t>
        </is>
      </c>
      <c r="B658">
        <f>HYPERLINK("Объекты недвижимости, не соответствующие градостроительным нормам_00-022_Август/9ab35b4c-1813-4655-85af-1804061df103.jpg","open")</f>
        <v/>
      </c>
      <c r="C658" t="inlineStr">
        <is>
          <t>b0429a31-0c70-4b9f-8ea5-73929d82f89e</t>
        </is>
      </c>
      <c r="D658" t="n">
        <v>55.66232</v>
      </c>
      <c r="E658" t="n">
        <v>37.62756</v>
      </c>
      <c r="F658" t="inlineStr"/>
      <c r="G658" t="inlineStr"/>
      <c r="H658" t="inlineStr"/>
    </row>
    <row r="659">
      <c r="A659" t="inlineStr">
        <is>
          <t>1e9787c4-85e2-4288-9ff5-00c613256212.jpg</t>
        </is>
      </c>
      <c r="B659">
        <f>HYPERLINK("Объекты недвижимости, не соответствующие градостроительным нормам_00-022_Август/1e9787c4-85e2-4288-9ff5-00c613256212.jpg","open")</f>
        <v/>
      </c>
      <c r="C659" t="inlineStr">
        <is>
          <t>789f6c51-64ee-4078-b7bd-443af8b8b68a</t>
        </is>
      </c>
      <c r="D659" t="n">
        <v>55.81717</v>
      </c>
      <c r="E659" t="n">
        <v>37.65239</v>
      </c>
      <c r="F659" t="inlineStr"/>
      <c r="G659" t="inlineStr"/>
      <c r="H659" t="inlineStr"/>
    </row>
    <row r="660">
      <c r="A660" t="inlineStr">
        <is>
          <t>e733815b-b350-4269-a31f-735e893776a6.jpg</t>
        </is>
      </c>
      <c r="B660">
        <f>HYPERLINK("Объекты недвижимости, не соответствующие градостроительным нормам_00-022_Август/e733815b-b350-4269-a31f-735e893776a6.jpg","open")</f>
        <v/>
      </c>
      <c r="C660" t="inlineStr">
        <is>
          <t>2acfb2da-e3f6-464c-bd17-4b713522c142</t>
        </is>
      </c>
      <c r="D660" t="n">
        <v>55.81716</v>
      </c>
      <c r="E660" t="n">
        <v>37.6523</v>
      </c>
      <c r="F660" t="inlineStr"/>
      <c r="G660" t="inlineStr"/>
      <c r="H660" t="inlineStr"/>
    </row>
    <row r="661">
      <c r="A661" t="inlineStr">
        <is>
          <t>a9d06b53-f947-49cf-ba57-807e1666e0a0.jpg</t>
        </is>
      </c>
      <c r="B661">
        <f>HYPERLINK("Объекты недвижимости, не соответствующие градостроительным нормам_00-022_Август/a9d06b53-f947-49cf-ba57-807e1666e0a0.jpg","open")</f>
        <v/>
      </c>
      <c r="C661" t="inlineStr">
        <is>
          <t>8cde1fd0-eca1-4510-86ab-3c743b65fdfc</t>
        </is>
      </c>
      <c r="D661" t="n">
        <v>55.73711</v>
      </c>
      <c r="E661" t="n">
        <v>37.75964</v>
      </c>
      <c r="F661" t="inlineStr"/>
      <c r="G661" t="inlineStr"/>
      <c r="H661" t="inlineStr"/>
    </row>
    <row r="662">
      <c r="A662" t="inlineStr">
        <is>
          <t>c6a079ea-aba9-470a-bf8e-af9a57f6888b.jpg</t>
        </is>
      </c>
      <c r="B662">
        <f>HYPERLINK("Объекты недвижимости, не соответствующие градостроительным нормам_00-022_Август/c6a079ea-aba9-470a-bf8e-af9a57f6888b.jpg","open")</f>
        <v/>
      </c>
      <c r="C662" t="inlineStr">
        <is>
          <t>1c951e11-4940-43c6-a447-394097e5609a</t>
        </is>
      </c>
      <c r="D662" t="n">
        <v>55.7361</v>
      </c>
      <c r="E662" t="n">
        <v>37.76026</v>
      </c>
      <c r="F662" t="inlineStr"/>
      <c r="G662" t="inlineStr"/>
      <c r="H662" t="inlineStr"/>
    </row>
    <row r="663">
      <c r="A663" t="inlineStr">
        <is>
          <t>49e4f313-1a66-4283-878e-5d1d5ad7270d.jpg</t>
        </is>
      </c>
      <c r="B663">
        <f>HYPERLINK("Объекты недвижимости, не соответствующие градостроительным нормам_00-022_Август/49e4f313-1a66-4283-878e-5d1d5ad7270d.jpg","open")</f>
        <v/>
      </c>
      <c r="C663" t="inlineStr">
        <is>
          <t>57aae8a4-582b-4309-8045-c8127a9f86ae</t>
        </is>
      </c>
      <c r="D663" t="n">
        <v>55.82188</v>
      </c>
      <c r="E663" t="n">
        <v>37.87231</v>
      </c>
      <c r="F663" t="inlineStr"/>
      <c r="G663" t="inlineStr"/>
      <c r="H663" t="inlineStr"/>
    </row>
    <row r="664">
      <c r="A664" t="inlineStr">
        <is>
          <t>a5414bf1-586b-468b-88b1-aae3dec469ad.jpg</t>
        </is>
      </c>
      <c r="B664">
        <f>HYPERLINK("Объекты недвижимости, не соответствующие градостроительным нормам_00-022_Август/a5414bf1-586b-468b-88b1-aae3dec469ad.jpg","open")</f>
        <v/>
      </c>
      <c r="C664" t="inlineStr">
        <is>
          <t>1c951e11-4940-43c6-a447-394097e5609a</t>
        </is>
      </c>
      <c r="D664" t="n">
        <v>55.73614</v>
      </c>
      <c r="E664" t="n">
        <v>37.76096</v>
      </c>
      <c r="F664" t="inlineStr"/>
      <c r="G664" t="inlineStr"/>
      <c r="H664" t="inlineStr"/>
    </row>
    <row r="665">
      <c r="A665" t="inlineStr">
        <is>
          <t>164d9c43-4fa3-42e0-b5f8-bdd0e4245dfa.jpg</t>
        </is>
      </c>
      <c r="B665">
        <f>HYPERLINK("Объекты недвижимости, не соответствующие градостроительным нормам_00-022_Август/164d9c43-4fa3-42e0-b5f8-bdd0e4245dfa.jpg","open")</f>
        <v/>
      </c>
      <c r="C665" t="inlineStr">
        <is>
          <t>ad64e6b9-1ed5-44d7-a101-4945a1f9dec6</t>
        </is>
      </c>
      <c r="D665" t="n">
        <v>55.54651</v>
      </c>
      <c r="E665" t="n">
        <v>37.55797</v>
      </c>
      <c r="F665" t="inlineStr"/>
      <c r="G665" t="inlineStr"/>
      <c r="H665" t="inlineStr"/>
    </row>
    <row r="666">
      <c r="A666" t="inlineStr">
        <is>
          <t>c5270b23-ac3b-472d-a1a4-1be0059df1c5.jpg</t>
        </is>
      </c>
      <c r="B666">
        <f>HYPERLINK("Объекты недвижимости, не соответствующие градостроительным нормам_00-022_Август/c5270b23-ac3b-472d-a1a4-1be0059df1c5.jpg","open")</f>
        <v/>
      </c>
      <c r="C666" t="inlineStr">
        <is>
          <t>1c951e11-4940-43c6-a447-394097e5609a</t>
        </is>
      </c>
      <c r="D666" t="n">
        <v>55.73685</v>
      </c>
      <c r="E666" t="n">
        <v>37.75369</v>
      </c>
      <c r="F666" t="inlineStr"/>
      <c r="G666" t="inlineStr"/>
      <c r="H666" t="inlineStr"/>
    </row>
    <row r="667">
      <c r="A667" t="inlineStr">
        <is>
          <t>7fc0fe01-6131-446d-9ea7-49c52e57964e.jpg</t>
        </is>
      </c>
      <c r="B667">
        <f>HYPERLINK("Объекты недвижимости, не соответствующие градостроительным нормам_00-022_Август/7fc0fe01-6131-446d-9ea7-49c52e57964e.jpg","open")</f>
        <v/>
      </c>
      <c r="C667" t="inlineStr">
        <is>
          <t>8cde1fd0-eca1-4510-86ab-3c743b65fdfc</t>
        </is>
      </c>
      <c r="D667" t="n">
        <v>55.73668</v>
      </c>
      <c r="E667" t="n">
        <v>37.75123</v>
      </c>
      <c r="F667" t="inlineStr"/>
      <c r="G667" t="inlineStr"/>
      <c r="H667" t="inlineStr"/>
    </row>
    <row r="668">
      <c r="A668" t="inlineStr">
        <is>
          <t>8ada9886-eafa-461a-87b0-7bd060c5ffb4.jpg</t>
        </is>
      </c>
      <c r="B668">
        <f>HYPERLINK("Объекты недвижимости, не соответствующие градостроительным нормам_00-022_Август/8ada9886-eafa-461a-87b0-7bd060c5ffb4.jpg","open")</f>
        <v/>
      </c>
      <c r="C668" t="inlineStr">
        <is>
          <t>ed2bf0f1-3a66-4913-896e-4420a9796c0b</t>
        </is>
      </c>
      <c r="D668" t="n">
        <v>55.7899</v>
      </c>
      <c r="E668" t="n">
        <v>37.51803</v>
      </c>
      <c r="F668" t="inlineStr"/>
      <c r="G668" t="inlineStr"/>
      <c r="H668" t="inlineStr"/>
    </row>
    <row r="669">
      <c r="A669" t="inlineStr">
        <is>
          <t>1a117f65-19a7-4fec-8fea-c9c1c2285b40.jpg</t>
        </is>
      </c>
      <c r="B669">
        <f>HYPERLINK("Объекты недвижимости, не соответствующие градостроительным нормам_00-022_Август/1a117f65-19a7-4fec-8fea-c9c1c2285b40.jpg","open")</f>
        <v/>
      </c>
      <c r="C669" t="inlineStr">
        <is>
          <t>8cde1fd0-eca1-4510-86ab-3c743b65fdfc</t>
        </is>
      </c>
      <c r="D669" t="n">
        <v>55.73673</v>
      </c>
      <c r="E669" t="n">
        <v>37.75138</v>
      </c>
      <c r="F669" t="inlineStr"/>
      <c r="G669" t="inlineStr"/>
      <c r="H669" t="inlineStr"/>
    </row>
    <row r="670">
      <c r="A670" t="inlineStr">
        <is>
          <t>ed5ea23c-4339-4f1f-ac97-e7de39267caa.jpg</t>
        </is>
      </c>
      <c r="B670">
        <f>HYPERLINK("Объекты недвижимости, не соответствующие градостроительным нормам_00-022_Август/ed5ea23c-4339-4f1f-ac97-e7de39267caa.jpg","open")</f>
        <v/>
      </c>
      <c r="C670" t="inlineStr">
        <is>
          <t>1c951e11-4940-43c6-a447-394097e5609a</t>
        </is>
      </c>
      <c r="D670" t="n">
        <v>55.73675</v>
      </c>
      <c r="E670" t="n">
        <v>37.75147</v>
      </c>
      <c r="F670" t="inlineStr"/>
      <c r="G670" t="inlineStr"/>
      <c r="H670" t="inlineStr"/>
    </row>
    <row r="671">
      <c r="A671" t="inlineStr">
        <is>
          <t>59703827-be05-4db0-b280-98c178af8e51.jpg</t>
        </is>
      </c>
      <c r="B671">
        <f>HYPERLINK("Объекты недвижимости, не соответствующие градостроительным нормам_00-022_Август/59703827-be05-4db0-b280-98c178af8e51.jpg","open")</f>
        <v/>
      </c>
      <c r="C671" t="inlineStr">
        <is>
          <t>8cde1fd0-eca1-4510-86ab-3c743b65fdfc</t>
        </is>
      </c>
      <c r="D671" t="n">
        <v>55.73671</v>
      </c>
      <c r="E671" t="n">
        <v>37.75126</v>
      </c>
      <c r="F671" t="inlineStr"/>
      <c r="G671" t="inlineStr"/>
      <c r="H671" t="inlineStr"/>
    </row>
    <row r="672">
      <c r="A672" t="inlineStr">
        <is>
          <t>2cd9da39-b6d1-46ad-b6c1-afc0768eb26a.jpg</t>
        </is>
      </c>
      <c r="B672">
        <f>HYPERLINK("Объекты недвижимости, не соответствующие градостроительным нормам_00-022_Август/2cd9da39-b6d1-46ad-b6c1-afc0768eb26a.jpg","open")</f>
        <v/>
      </c>
      <c r="C672" t="inlineStr">
        <is>
          <t>a1a9db89-3f74-42ef-8fad-ad69705102cd</t>
        </is>
      </c>
      <c r="D672" t="n">
        <v>65.1674</v>
      </c>
      <c r="E672" t="n">
        <v>48.2052</v>
      </c>
      <c r="F672" t="inlineStr"/>
      <c r="G672" t="inlineStr"/>
      <c r="H672" t="inlineStr"/>
    </row>
    <row r="673">
      <c r="A673" t="inlineStr">
        <is>
          <t>44bc698a-9247-4d81-93be-ebe1ebffad6f.jpg</t>
        </is>
      </c>
      <c r="B673">
        <f>HYPERLINK("Объекты недвижимости, не соответствующие градостроительным нормам_00-022_Август/44bc698a-9247-4d81-93be-ebe1ebffad6f.jpg","open")</f>
        <v/>
      </c>
      <c r="C673" t="inlineStr">
        <is>
          <t>a1a9db89-3f74-42ef-8fad-ad69705102cd</t>
        </is>
      </c>
      <c r="D673" t="n">
        <v>65.16927</v>
      </c>
      <c r="E673" t="n">
        <v>48.18238</v>
      </c>
      <c r="F673" t="inlineStr"/>
      <c r="G673" t="inlineStr"/>
      <c r="H673" t="inlineStr"/>
    </row>
    <row r="674">
      <c r="A674" t="inlineStr">
        <is>
          <t>31ec3d46-44dd-4ea6-8318-acb35c7ea73d.jpg</t>
        </is>
      </c>
      <c r="B674">
        <f>HYPERLINK("Объекты недвижимости, не соответствующие градостроительным нормам_00-022_Август/31ec3d46-44dd-4ea6-8318-acb35c7ea73d.jpg","open")</f>
        <v/>
      </c>
      <c r="C674" t="inlineStr">
        <is>
          <t>cbf95b01-f708-45a3-9ec0-3603469b538e</t>
        </is>
      </c>
      <c r="D674" t="n">
        <v>65.16927</v>
      </c>
      <c r="E674" t="n">
        <v>48.18238</v>
      </c>
      <c r="F674" t="inlineStr"/>
      <c r="G674" t="inlineStr"/>
      <c r="H674" t="inlineStr"/>
    </row>
    <row r="675">
      <c r="A675" t="inlineStr">
        <is>
          <t>dec58c2c-8fc8-4dba-87c2-eee3159164e4.jpg</t>
        </is>
      </c>
      <c r="B675">
        <f>HYPERLINK("Объекты недвижимости, не соответствующие градостроительным нормам_00-022_Август/dec58c2c-8fc8-4dba-87c2-eee3159164e4.jpg","open")</f>
        <v/>
      </c>
      <c r="C675" t="inlineStr">
        <is>
          <t>1c951e11-4940-43c6-a447-394097e5609a</t>
        </is>
      </c>
      <c r="D675" t="n">
        <v>55.73496</v>
      </c>
      <c r="E675" t="n">
        <v>37.74317</v>
      </c>
      <c r="F675" t="inlineStr"/>
      <c r="G675" t="inlineStr"/>
      <c r="H675" t="inlineStr"/>
    </row>
    <row r="676">
      <c r="A676" t="inlineStr">
        <is>
          <t>6ea021a0-fe27-458f-83dd-d0f212fb7541.jpg</t>
        </is>
      </c>
      <c r="B676">
        <f>HYPERLINK("Объекты недвижимости, не соответствующие градостроительным нормам_00-022_Август/6ea021a0-fe27-458f-83dd-d0f212fb7541.jpg","open")</f>
        <v/>
      </c>
      <c r="C676" t="inlineStr">
        <is>
          <t>8cde1fd0-eca1-4510-86ab-3c743b65fdfc</t>
        </is>
      </c>
      <c r="D676" t="n">
        <v>55.73485</v>
      </c>
      <c r="E676" t="n">
        <v>37.74272</v>
      </c>
      <c r="F676" t="inlineStr"/>
      <c r="G676" t="inlineStr"/>
      <c r="H676" t="inlineStr"/>
    </row>
    <row r="677">
      <c r="A677" t="inlineStr">
        <is>
          <t>1dc76242-441c-4218-9ca6-89580963e96b.jpg</t>
        </is>
      </c>
      <c r="B677">
        <f>HYPERLINK("Объекты недвижимости, не соответствующие градостроительным нормам_00-022_Август/1dc76242-441c-4218-9ca6-89580963e96b.jpg","open")</f>
        <v/>
      </c>
      <c r="C677" t="inlineStr">
        <is>
          <t>8cde1fd0-eca1-4510-86ab-3c743b65fdfc</t>
        </is>
      </c>
      <c r="D677" t="n">
        <v>55.73462</v>
      </c>
      <c r="E677" t="n">
        <v>37.74117</v>
      </c>
      <c r="F677" t="inlineStr"/>
      <c r="G677" t="inlineStr"/>
      <c r="H677" t="inlineStr"/>
    </row>
    <row r="678">
      <c r="A678" t="inlineStr">
        <is>
          <t>7545ecec-0645-4c34-a97e-33417c681af1.jpg</t>
        </is>
      </c>
      <c r="B678">
        <f>HYPERLINK("Объекты недвижимости, не соответствующие градостроительным нормам_00-022_Август/7545ecec-0645-4c34-a97e-33417c681af1.jpg","open")</f>
        <v/>
      </c>
      <c r="C678" t="inlineStr">
        <is>
          <t>acedacc2-0d8b-4fc1-9622-25621a89d071</t>
        </is>
      </c>
      <c r="D678" t="n">
        <v>55.81583</v>
      </c>
      <c r="E678" t="n">
        <v>37.86291</v>
      </c>
      <c r="F678" t="inlineStr"/>
      <c r="G678" t="inlineStr"/>
      <c r="H678" t="inlineStr"/>
    </row>
    <row r="679">
      <c r="A679" t="inlineStr">
        <is>
          <t>a643f80e-2cf6-43fc-850c-65a80f303f99.jpg</t>
        </is>
      </c>
      <c r="B679">
        <f>HYPERLINK("Объекты недвижимости, не соответствующие градостроительным нормам_00-022_Август/a643f80e-2cf6-43fc-850c-65a80f303f99.jpg","open")</f>
        <v/>
      </c>
      <c r="C679" t="inlineStr">
        <is>
          <t>57aae8a4-582b-4309-8045-c8127a9f86ae</t>
        </is>
      </c>
      <c r="D679" t="n">
        <v>55.81585</v>
      </c>
      <c r="E679" t="n">
        <v>37.86292</v>
      </c>
      <c r="F679" t="inlineStr"/>
      <c r="G679" t="inlineStr"/>
      <c r="H679" t="inlineStr"/>
    </row>
    <row r="680">
      <c r="A680" t="inlineStr">
        <is>
          <t>19f187b3-05a8-4b76-a051-9c68af524940.jpg</t>
        </is>
      </c>
      <c r="B680">
        <f>HYPERLINK("Объекты недвижимости, не соответствующие градостроительным нормам_00-022_Август/19f187b3-05a8-4b76-a051-9c68af524940.jpg","open")</f>
        <v/>
      </c>
      <c r="C680" t="inlineStr">
        <is>
          <t>8cde1fd0-eca1-4510-86ab-3c743b65fdfc</t>
        </is>
      </c>
      <c r="D680" t="n">
        <v>55.73388</v>
      </c>
      <c r="E680" t="n">
        <v>37.73703</v>
      </c>
      <c r="F680" t="inlineStr"/>
      <c r="G680" t="inlineStr"/>
      <c r="H680" t="inlineStr"/>
    </row>
    <row r="681">
      <c r="A681" t="inlineStr">
        <is>
          <t>9e72dcc9-7680-47ca-b21b-2f6099faca03.jpg</t>
        </is>
      </c>
      <c r="B681">
        <f>HYPERLINK("Объекты недвижимости, не соответствующие градостроительным нормам_00-022_Август/9e72dcc9-7680-47ca-b21b-2f6099faca03.jpg","open")</f>
        <v/>
      </c>
      <c r="C681" t="inlineStr">
        <is>
          <t>8cde1fd0-eca1-4510-86ab-3c743b65fdfc</t>
        </is>
      </c>
      <c r="D681" t="n">
        <v>55.73336</v>
      </c>
      <c r="E681" t="n">
        <v>37.73432</v>
      </c>
      <c r="F681" t="inlineStr"/>
      <c r="G681" t="inlineStr"/>
      <c r="H681" t="inlineStr"/>
    </row>
    <row r="682">
      <c r="A682" t="inlineStr">
        <is>
          <t>f12244a7-dd55-4686-a4b1-170b007d988d.jpg</t>
        </is>
      </c>
      <c r="B682">
        <f>HYPERLINK("Объекты недвижимости, не соответствующие градостроительным нормам_00-022_Август/f12244a7-dd55-4686-a4b1-170b007d988d.jpg","open")</f>
        <v/>
      </c>
      <c r="C682" t="inlineStr">
        <is>
          <t>1c951e11-4940-43c6-a447-394097e5609a</t>
        </is>
      </c>
      <c r="D682" t="n">
        <v>55.73337</v>
      </c>
      <c r="E682" t="n">
        <v>37.73422</v>
      </c>
      <c r="F682" t="inlineStr"/>
      <c r="G682" t="inlineStr"/>
      <c r="H682" t="inlineStr"/>
    </row>
    <row r="683">
      <c r="A683" t="inlineStr">
        <is>
          <t>2884e9f6-15cf-4c67-978d-d0d995eb497e.jpg</t>
        </is>
      </c>
      <c r="B683">
        <f>HYPERLINK("Объекты недвижимости, не соответствующие градостроительным нормам_00-022_Август/2884e9f6-15cf-4c67-978d-d0d995eb497e.jpg","open")</f>
        <v/>
      </c>
      <c r="C683" t="inlineStr">
        <is>
          <t>8cde1fd0-eca1-4510-86ab-3c743b65fdfc</t>
        </is>
      </c>
      <c r="D683" t="n">
        <v>55.73347</v>
      </c>
      <c r="E683" t="n">
        <v>37.73304</v>
      </c>
      <c r="F683" t="inlineStr"/>
      <c r="G683" t="inlineStr"/>
      <c r="H683" t="inlineStr"/>
    </row>
    <row r="684">
      <c r="A684" t="inlineStr">
        <is>
          <t>9e9dc82a-d1a2-474e-b5ca-3f304e7a3718.jpg</t>
        </is>
      </c>
      <c r="B684">
        <f>HYPERLINK("Объекты недвижимости, не соответствующие градостроительным нормам_00-022_Август/9e9dc82a-d1a2-474e-b5ca-3f304e7a3718.jpg","open")</f>
        <v/>
      </c>
      <c r="C684" t="inlineStr">
        <is>
          <t>1c951e11-4940-43c6-a447-394097e5609a</t>
        </is>
      </c>
      <c r="D684" t="n">
        <v>55.73355</v>
      </c>
      <c r="E684" t="n">
        <v>37.73294</v>
      </c>
      <c r="F684" t="inlineStr"/>
      <c r="G684" t="inlineStr"/>
      <c r="H684" t="inlineStr"/>
    </row>
    <row r="685">
      <c r="A685" t="inlineStr">
        <is>
          <t>2b5ac9e4-faf6-4557-afb1-5b8b11a53db5.jpg</t>
        </is>
      </c>
      <c r="B685">
        <f>HYPERLINK("Объекты недвижимости, не соответствующие градостроительным нормам_00-022_Август/2b5ac9e4-faf6-4557-afb1-5b8b11a53db5.jpg","open")</f>
        <v/>
      </c>
      <c r="C685" t="inlineStr">
        <is>
          <t>1c951e11-4940-43c6-a447-394097e5609a</t>
        </is>
      </c>
      <c r="D685" t="n">
        <v>55.73403</v>
      </c>
      <c r="E685" t="n">
        <v>37.73721</v>
      </c>
      <c r="F685" t="inlineStr"/>
      <c r="G685" t="inlineStr"/>
      <c r="H685" t="inlineStr"/>
    </row>
    <row r="686">
      <c r="A686" t="inlineStr">
        <is>
          <t>65620ebe-7cea-42fc-9378-196173a8ba0e.jpg</t>
        </is>
      </c>
      <c r="B686">
        <f>HYPERLINK("Объекты недвижимости, не соответствующие градостроительным нормам_00-022_Август/65620ebe-7cea-42fc-9378-196173a8ba0e.jpg","open")</f>
        <v/>
      </c>
      <c r="C686" t="inlineStr">
        <is>
          <t>cbf95b01-f708-45a3-9ec0-3603469b538e</t>
        </is>
      </c>
      <c r="D686" t="n">
        <v>65.20046000000001</v>
      </c>
      <c r="E686" t="n">
        <v>47.92694</v>
      </c>
      <c r="F686" t="inlineStr"/>
      <c r="G686" t="inlineStr"/>
      <c r="H686" t="inlineStr"/>
    </row>
    <row r="687">
      <c r="A687" t="inlineStr">
        <is>
          <t>625442b4-05c1-48ae-981a-00bb97db00ea.jpg</t>
        </is>
      </c>
      <c r="B687">
        <f>HYPERLINK("Объекты недвижимости, не соответствующие градостроительным нормам_00-022_Август/625442b4-05c1-48ae-981a-00bb97db00ea.jpg","open")</f>
        <v/>
      </c>
      <c r="C687" t="inlineStr">
        <is>
          <t>cbf95b01-f708-45a3-9ec0-3603469b538e</t>
        </is>
      </c>
      <c r="D687" t="n">
        <v>65.20046000000001</v>
      </c>
      <c r="E687" t="n">
        <v>47.92694</v>
      </c>
      <c r="F687" t="inlineStr"/>
      <c r="G687" t="inlineStr"/>
      <c r="H687" t="inlineStr"/>
    </row>
    <row r="688">
      <c r="A688" t="inlineStr">
        <is>
          <t>7ae3e7da-f586-4efb-85ac-91c54150dde3.jpg</t>
        </is>
      </c>
      <c r="B688">
        <f>HYPERLINK("Объекты недвижимости, не соответствующие градостроительным нормам_00-022_Август/7ae3e7da-f586-4efb-85ac-91c54150dde3.jpg","open")</f>
        <v/>
      </c>
      <c r="C688" t="inlineStr">
        <is>
          <t>1c951e11-4940-43c6-a447-394097e5609a</t>
        </is>
      </c>
      <c r="D688" t="n">
        <v>55.73849</v>
      </c>
      <c r="E688" t="n">
        <v>37.74744</v>
      </c>
      <c r="F688" t="inlineStr"/>
      <c r="G688" t="inlineStr"/>
      <c r="H688" t="inlineStr"/>
    </row>
    <row r="689">
      <c r="A689" t="inlineStr">
        <is>
          <t>e5d10508-eb1f-422b-94a1-f58776148d7c.jpg</t>
        </is>
      </c>
      <c r="B689">
        <f>HYPERLINK("Объекты недвижимости, не соответствующие градостроительным нормам_00-022_Август/e5d10508-eb1f-422b-94a1-f58776148d7c.jpg","open")</f>
        <v/>
      </c>
      <c r="C689" t="inlineStr">
        <is>
          <t>1c951e11-4940-43c6-a447-394097e5609a</t>
        </is>
      </c>
      <c r="D689" t="n">
        <v>55.73854</v>
      </c>
      <c r="E689" t="n">
        <v>37.74524</v>
      </c>
      <c r="F689" t="inlineStr"/>
      <c r="G689" t="inlineStr"/>
      <c r="H689" t="inlineStr"/>
    </row>
    <row r="690">
      <c r="A690" t="inlineStr">
        <is>
          <t>ad603dac-3179-4506-a9d3-aa85bd98f1ec.jpg</t>
        </is>
      </c>
      <c r="B690">
        <f>HYPERLINK("Объекты недвижимости, не соответствующие градостроительным нормам_00-022_Август/ad603dac-3179-4506-a9d3-aa85bd98f1ec.jpg","open")</f>
        <v/>
      </c>
      <c r="C690" t="inlineStr">
        <is>
          <t>b0429a31-0c70-4b9f-8ea5-73929d82f89e</t>
        </is>
      </c>
      <c r="D690" t="n">
        <v>55.65744</v>
      </c>
      <c r="E690" t="n">
        <v>37.62417</v>
      </c>
      <c r="F690" t="inlineStr"/>
      <c r="G690" t="inlineStr"/>
      <c r="H690" t="inlineStr"/>
    </row>
    <row r="691">
      <c r="A691" t="inlineStr">
        <is>
          <t>e7080495-3a73-43c1-a345-6c2c108f9d43.jpg</t>
        </is>
      </c>
      <c r="B691">
        <f>HYPERLINK("Объекты недвижимости, не соответствующие градостроительным нормам_00-022_Август/e7080495-3a73-43c1-a345-6c2c108f9d43.jpg","open")</f>
        <v/>
      </c>
      <c r="C691" t="inlineStr">
        <is>
          <t>b0429a31-0c70-4b9f-8ea5-73929d82f89e</t>
        </is>
      </c>
      <c r="D691" t="n">
        <v>55.6554</v>
      </c>
      <c r="E691" t="n">
        <v>37.62384</v>
      </c>
      <c r="F691" t="inlineStr"/>
      <c r="G691" t="inlineStr"/>
      <c r="H691" t="inlineStr"/>
    </row>
    <row r="692">
      <c r="A692" t="inlineStr">
        <is>
          <t>8350e075-147c-41ee-b21b-9b3cc20742f5.jpg</t>
        </is>
      </c>
      <c r="B692">
        <f>HYPERLINK("Объекты недвижимости, не соответствующие градостроительным нормам_00-022_Август/8350e075-147c-41ee-b21b-9b3cc20742f5.jpg","open")</f>
        <v/>
      </c>
      <c r="C692" t="inlineStr">
        <is>
          <t>685d9054-b74f-49ab-857b-109fd2cec80d</t>
        </is>
      </c>
      <c r="D692" t="n">
        <v>55.62834</v>
      </c>
      <c r="E692" t="n">
        <v>37.50621</v>
      </c>
      <c r="F692" t="inlineStr"/>
      <c r="G692" t="inlineStr"/>
      <c r="H692" t="inlineStr"/>
    </row>
    <row r="693">
      <c r="A693" t="inlineStr">
        <is>
          <t>5d25016e-020d-4d5a-9ed0-5ffafdfe6aa8.jpg</t>
        </is>
      </c>
      <c r="B693">
        <f>HYPERLINK("Объекты недвижимости, не соответствующие градостроительным нормам_00-022_Август/5d25016e-020d-4d5a-9ed0-5ffafdfe6aa8.jpg","open")</f>
        <v/>
      </c>
      <c r="C693" t="inlineStr">
        <is>
          <t>cbf95b01-f708-45a3-9ec0-3603469b538e</t>
        </is>
      </c>
      <c r="D693" t="n">
        <v>65.05929999999999</v>
      </c>
      <c r="E693" t="n">
        <v>47.55606</v>
      </c>
      <c r="F693" t="inlineStr"/>
      <c r="G693" t="inlineStr"/>
      <c r="H693" t="inlineStr"/>
    </row>
    <row r="694">
      <c r="A694" t="inlineStr">
        <is>
          <t>c83aa7de-13a8-4e18-b347-2b9c80ba980e.jpg</t>
        </is>
      </c>
      <c r="B694">
        <f>HYPERLINK("Объекты недвижимости, не соответствующие градостроительным нормам_00-022_Август/c83aa7de-13a8-4e18-b347-2b9c80ba980e.jpg","open")</f>
        <v/>
      </c>
      <c r="C694" t="inlineStr">
        <is>
          <t>8cde1fd0-eca1-4510-86ab-3c743b65fdfc</t>
        </is>
      </c>
      <c r="D694" t="n">
        <v>55.73842</v>
      </c>
      <c r="E694" t="n">
        <v>37.74897</v>
      </c>
      <c r="F694" t="inlineStr"/>
      <c r="G694" t="inlineStr"/>
      <c r="H694" t="inlineStr"/>
    </row>
    <row r="695">
      <c r="A695" t="inlineStr">
        <is>
          <t>7dab057f-f16e-4bcd-b545-abd574010bdb.jpg</t>
        </is>
      </c>
      <c r="B695">
        <f>HYPERLINK("Объекты недвижимости, не соответствующие градостроительным нормам_00-022_Август/7dab057f-f16e-4bcd-b545-abd574010bdb.jpg","open")</f>
        <v/>
      </c>
      <c r="C695" t="inlineStr">
        <is>
          <t>cbf95b01-f708-45a3-9ec0-3603469b538e</t>
        </is>
      </c>
      <c r="D695" t="n">
        <v>65.05929999999999</v>
      </c>
      <c r="E695" t="n">
        <v>47.55606</v>
      </c>
      <c r="F695" t="inlineStr"/>
      <c r="G695" t="inlineStr"/>
      <c r="H695" t="inlineStr"/>
    </row>
    <row r="696">
      <c r="A696" t="inlineStr">
        <is>
          <t>4e75c5c6-5aab-46ea-8456-0012326ca8d8.jpg</t>
        </is>
      </c>
      <c r="B696">
        <f>HYPERLINK("Объекты недвижимости, не соответствующие градостроительным нормам_00-022_Август/4e75c5c6-5aab-46ea-8456-0012326ca8d8.jpg","open")</f>
        <v/>
      </c>
      <c r="C696" t="inlineStr">
        <is>
          <t>8cde1fd0-eca1-4510-86ab-3c743b65fdfc</t>
        </is>
      </c>
      <c r="D696" t="n">
        <v>55.73729</v>
      </c>
      <c r="E696" t="n">
        <v>37.75046</v>
      </c>
      <c r="F696" t="inlineStr"/>
      <c r="G696" t="inlineStr"/>
      <c r="H696" t="inlineStr"/>
    </row>
    <row r="697">
      <c r="A697" t="inlineStr">
        <is>
          <t>1b1903ca-be9c-48de-b5b2-85c432d097c2.jpg</t>
        </is>
      </c>
      <c r="B697">
        <f>HYPERLINK("Объекты недвижимости, не соответствующие градостроительным нормам_00-022_Август/1b1903ca-be9c-48de-b5b2-85c432d097c2.jpg","open")</f>
        <v/>
      </c>
      <c r="C697" t="inlineStr">
        <is>
          <t>1c951e11-4940-43c6-a447-394097e5609a</t>
        </is>
      </c>
      <c r="D697" t="n">
        <v>55.73734</v>
      </c>
      <c r="E697" t="n">
        <v>37.75043</v>
      </c>
      <c r="F697" t="inlineStr"/>
      <c r="G697" t="inlineStr"/>
      <c r="H697" t="inlineStr"/>
    </row>
    <row r="698">
      <c r="A698" t="inlineStr">
        <is>
          <t>a9882802-f84f-48a2-a04c-a931b901e3c6.jpg</t>
        </is>
      </c>
      <c r="B698">
        <f>HYPERLINK("Объекты недвижимости, не соответствующие градостроительным нормам_00-022_Август/a9882802-f84f-48a2-a04c-a931b901e3c6.jpg","open")</f>
        <v/>
      </c>
      <c r="C698" t="inlineStr">
        <is>
          <t>4cd87d14-7440-44b7-a5b2-a738e10006f7</t>
        </is>
      </c>
      <c r="D698" t="n">
        <v>55.7515</v>
      </c>
      <c r="E698" t="n">
        <v>37.58241</v>
      </c>
      <c r="F698" t="inlineStr"/>
      <c r="G698" t="inlineStr"/>
      <c r="H698" t="inlineStr"/>
    </row>
    <row r="699">
      <c r="A699" t="inlineStr">
        <is>
          <t>c00e2ded-1049-4d81-b114-6a0467a39906.jpg</t>
        </is>
      </c>
      <c r="B699">
        <f>HYPERLINK("Объекты недвижимости, не соответствующие градостроительным нормам_00-022_Август/c00e2ded-1049-4d81-b114-6a0467a39906.jpg","open")</f>
        <v/>
      </c>
      <c r="C699" t="inlineStr">
        <is>
          <t>8cde1fd0-eca1-4510-86ab-3c743b65fdfc</t>
        </is>
      </c>
      <c r="D699" t="n">
        <v>55.7371</v>
      </c>
      <c r="E699" t="n">
        <v>37.75059</v>
      </c>
      <c r="F699" t="inlineStr"/>
      <c r="G699" t="inlineStr"/>
      <c r="H699" t="inlineStr"/>
    </row>
    <row r="700">
      <c r="A700" t="inlineStr">
        <is>
          <t>a2c45456-d7b8-4fe7-b208-b34424cfe607.jpg</t>
        </is>
      </c>
      <c r="B700">
        <f>HYPERLINK("Объекты недвижимости, не соответствующие градостроительным нормам_00-022_Август/a2c45456-d7b8-4fe7-b208-b34424cfe607.jpg","open")</f>
        <v/>
      </c>
      <c r="C700" t="inlineStr">
        <is>
          <t>e26f5fc2-1353-4f29-85f3-87c56419161c</t>
        </is>
      </c>
      <c r="D700" t="n">
        <v>55.7515</v>
      </c>
      <c r="E700" t="n">
        <v>37.58241</v>
      </c>
      <c r="F700" t="inlineStr"/>
      <c r="G700" t="inlineStr"/>
      <c r="H700" t="inlineStr"/>
    </row>
    <row r="701">
      <c r="A701" t="inlineStr">
        <is>
          <t>355760f6-f301-4956-b0ea-74aa799d705f.jpg</t>
        </is>
      </c>
      <c r="B701">
        <f>HYPERLINK("Объекты недвижимости, не соответствующие градостроительным нормам_00-022_Август/355760f6-f301-4956-b0ea-74aa799d705f.jpg","open")</f>
        <v/>
      </c>
      <c r="C701" t="inlineStr">
        <is>
          <t>8cde1fd0-eca1-4510-86ab-3c743b65fdfc</t>
        </is>
      </c>
      <c r="D701" t="n">
        <v>55.73672</v>
      </c>
      <c r="E701" t="n">
        <v>37.75916</v>
      </c>
      <c r="F701" t="inlineStr"/>
      <c r="G701" t="inlineStr"/>
      <c r="H701" t="inlineStr"/>
    </row>
    <row r="702">
      <c r="A702" t="inlineStr">
        <is>
          <t>e7b97032-5bb9-43f7-bfb7-df43d3165109.jpg</t>
        </is>
      </c>
      <c r="B702">
        <f>HYPERLINK("Объекты недвижимости, не соответствующие градостроительным нормам_00-022_Август/e7b97032-5bb9-43f7-bfb7-df43d3165109.jpg","open")</f>
        <v/>
      </c>
      <c r="C702" t="inlineStr">
        <is>
          <t>1231bbc5-e64c-4dc7-9acc-77710f47607a</t>
        </is>
      </c>
      <c r="D702" t="n">
        <v>55.62561</v>
      </c>
      <c r="E702" t="n">
        <v>37.50848</v>
      </c>
      <c r="F702" t="inlineStr"/>
      <c r="G702" t="inlineStr"/>
      <c r="H702" t="inlineStr"/>
    </row>
    <row r="703">
      <c r="A703" t="inlineStr">
        <is>
          <t>11a45c50-27de-473f-ac30-8e766546f28d.jpg</t>
        </is>
      </c>
      <c r="B703">
        <f>HYPERLINK("Объекты недвижимости, не соответствующие градостроительным нормам_00-022_Август/11a45c50-27de-473f-ac30-8e766546f28d.jpg","open")</f>
        <v/>
      </c>
      <c r="C703" t="inlineStr">
        <is>
          <t>8cde1fd0-eca1-4510-86ab-3c743b65fdfc</t>
        </is>
      </c>
      <c r="D703" t="n">
        <v>55.73606</v>
      </c>
      <c r="E703" t="n">
        <v>37.75906</v>
      </c>
      <c r="F703" t="inlineStr"/>
      <c r="G703" t="inlineStr"/>
      <c r="H703" t="inlineStr"/>
    </row>
    <row r="704">
      <c r="A704" t="inlineStr">
        <is>
          <t>e88dee9f-ed72-461a-8a9c-9fb7541aed97.jpg</t>
        </is>
      </c>
      <c r="B704">
        <f>HYPERLINK("Объекты недвижимости, не соответствующие градостроительным нормам_00-022_Август/e88dee9f-ed72-461a-8a9c-9fb7541aed97.jpg","open")</f>
        <v/>
      </c>
      <c r="C704" t="inlineStr">
        <is>
          <t>e26f5fc2-1353-4f29-85f3-87c56419161c</t>
        </is>
      </c>
      <c r="D704" t="n">
        <v>55.7515</v>
      </c>
      <c r="E704" t="n">
        <v>37.58241</v>
      </c>
      <c r="F704" t="inlineStr"/>
      <c r="G704" t="inlineStr"/>
      <c r="H704" t="inlineStr"/>
    </row>
    <row r="705">
      <c r="A705" t="inlineStr">
        <is>
          <t>fbbd1f15-3942-4502-805d-de49a83ce9f7.jpg</t>
        </is>
      </c>
      <c r="B705">
        <f>HYPERLINK("Объекты недвижимости, не соответствующие градостроительным нормам_00-022_Август/fbbd1f15-3942-4502-805d-de49a83ce9f7.jpg","open")</f>
        <v/>
      </c>
      <c r="C705" t="inlineStr">
        <is>
          <t>4cd87d14-7440-44b7-a5b2-a738e10006f7</t>
        </is>
      </c>
      <c r="D705" t="n">
        <v>55.7515</v>
      </c>
      <c r="E705" t="n">
        <v>37.58241</v>
      </c>
      <c r="F705" t="inlineStr"/>
      <c r="G705" t="inlineStr"/>
      <c r="H705" t="inlineStr"/>
    </row>
    <row r="706">
      <c r="A706" t="inlineStr">
        <is>
          <t>22da0591-8a39-4bef-9526-bee8e4444713.jpg</t>
        </is>
      </c>
      <c r="B706">
        <f>HYPERLINK("Объекты недвижимости, не соответствующие градостроительным нормам_00-022_Август/22da0591-8a39-4bef-9526-bee8e4444713.jpg","open")</f>
        <v/>
      </c>
      <c r="C706" t="inlineStr">
        <is>
          <t>e26f5fc2-1353-4f29-85f3-87c56419161c</t>
        </is>
      </c>
      <c r="D706" t="n">
        <v>55.7515</v>
      </c>
      <c r="E706" t="n">
        <v>37.58241</v>
      </c>
      <c r="F706" t="inlineStr"/>
      <c r="G706" t="inlineStr"/>
      <c r="H706" t="inlineStr"/>
    </row>
    <row r="707">
      <c r="A707" t="inlineStr">
        <is>
          <t>9ef6abec-8282-4657-b63d-59cd1fb991d4.jpg</t>
        </is>
      </c>
      <c r="B707">
        <f>HYPERLINK("Объекты недвижимости, не соответствующие градостроительным нормам_00-022_Август/9ef6abec-8282-4657-b63d-59cd1fb991d4.jpg","open")</f>
        <v/>
      </c>
      <c r="C707" t="inlineStr">
        <is>
          <t>ed2bf0f1-3a66-4913-896e-4420a9796c0b</t>
        </is>
      </c>
      <c r="D707" t="n">
        <v>55.78228</v>
      </c>
      <c r="E707" t="n">
        <v>37.53003</v>
      </c>
      <c r="F707" t="inlineStr"/>
      <c r="G707" t="inlineStr"/>
      <c r="H707" t="inlineStr"/>
    </row>
    <row r="708">
      <c r="A708" t="inlineStr">
        <is>
          <t>3c615cbc-b8e7-44bc-bf82-1875d41633c3.jpg</t>
        </is>
      </c>
      <c r="B708">
        <f>HYPERLINK("Объекты недвижимости, не соответствующие градостроительным нормам_00-022_Август/3c615cbc-b8e7-44bc-bf82-1875d41633c3.jpg","open")</f>
        <v/>
      </c>
      <c r="C708" t="inlineStr">
        <is>
          <t>c008bda0-324b-4c90-9c2f-36cfc930e0b5</t>
        </is>
      </c>
      <c r="D708" t="n">
        <v>55.75024</v>
      </c>
      <c r="E708" t="n">
        <v>37.70279</v>
      </c>
      <c r="F708" t="inlineStr"/>
      <c r="G708" t="inlineStr"/>
      <c r="H708" t="inlineStr"/>
    </row>
    <row r="709">
      <c r="A709" t="inlineStr">
        <is>
          <t>43260c75-feb9-4e5e-9f89-fcfef2b502a0.jpg</t>
        </is>
      </c>
      <c r="B709">
        <f>HYPERLINK("Объекты недвижимости, не соответствующие градостроительным нормам_00-022_Август/43260c75-feb9-4e5e-9f89-fcfef2b502a0.jpg","open")</f>
        <v/>
      </c>
      <c r="C709" t="inlineStr">
        <is>
          <t>29ad9edb-d533-4272-a986-be24eb004851</t>
        </is>
      </c>
      <c r="D709" t="n">
        <v>55.75024</v>
      </c>
      <c r="E709" t="n">
        <v>37.70279</v>
      </c>
      <c r="F709" t="inlineStr"/>
      <c r="G709" t="inlineStr"/>
      <c r="H709" t="inlineStr"/>
    </row>
    <row r="710">
      <c r="A710" t="inlineStr">
        <is>
          <t>45ec1848-5239-434c-a40b-2deeefe5b32c.jpg</t>
        </is>
      </c>
      <c r="B710">
        <f>HYPERLINK("Объекты недвижимости, не соответствующие градостроительным нормам_00-022_Август/45ec1848-5239-434c-a40b-2deeefe5b32c.jpg","open")</f>
        <v/>
      </c>
      <c r="C710" t="inlineStr">
        <is>
          <t>4cd87d14-7440-44b7-a5b2-a738e10006f7</t>
        </is>
      </c>
      <c r="D710" t="n">
        <v>55.7515</v>
      </c>
      <c r="E710" t="n">
        <v>37.58241</v>
      </c>
      <c r="F710" t="inlineStr"/>
      <c r="G710" t="inlineStr"/>
      <c r="H710" t="inlineStr"/>
    </row>
    <row r="711">
      <c r="A711" t="inlineStr">
        <is>
          <t>92ae6a45-bc0b-48b0-9854-f771a29f940d.jpg</t>
        </is>
      </c>
      <c r="B711">
        <f>HYPERLINK("Объекты недвижимости, не соответствующие градостроительным нормам_00-022_Август/92ae6a45-bc0b-48b0-9854-f771a29f940d.jpg","open")</f>
        <v/>
      </c>
      <c r="C711" t="inlineStr">
        <is>
          <t>e26f5fc2-1353-4f29-85f3-87c56419161c</t>
        </is>
      </c>
      <c r="D711" t="n">
        <v>55.7515</v>
      </c>
      <c r="E711" t="n">
        <v>37.58241</v>
      </c>
      <c r="F711" t="inlineStr"/>
      <c r="G711" t="inlineStr"/>
      <c r="H711" t="inlineStr"/>
    </row>
    <row r="712">
      <c r="A712" t="inlineStr">
        <is>
          <t>81b1285d-1e32-4737-a4c7-22746ffb281e.jpg</t>
        </is>
      </c>
      <c r="B712">
        <f>HYPERLINK("Объекты недвижимости, не соответствующие градостроительным нормам_00-022_Август/81b1285d-1e32-4737-a4c7-22746ffb281e.jpg","open")</f>
        <v/>
      </c>
      <c r="C712" t="inlineStr">
        <is>
          <t>e26f5fc2-1353-4f29-85f3-87c56419161c</t>
        </is>
      </c>
      <c r="D712" t="n">
        <v>55.7515</v>
      </c>
      <c r="E712" t="n">
        <v>37.58241</v>
      </c>
      <c r="F712" t="inlineStr"/>
      <c r="G712" t="inlineStr"/>
      <c r="H712" t="inlineStr"/>
    </row>
    <row r="713">
      <c r="A713" t="inlineStr">
        <is>
          <t>3e90d401-6009-4a29-bb66-e43a4af69a2a.jpg</t>
        </is>
      </c>
      <c r="B713">
        <f>HYPERLINK("Объекты недвижимости, не соответствующие градостроительным нормам_00-022_Август/3e90d401-6009-4a29-bb66-e43a4af69a2a.jpg","open")</f>
        <v/>
      </c>
      <c r="C713" t="inlineStr">
        <is>
          <t>8cde1fd0-eca1-4510-86ab-3c743b65fdfc</t>
        </is>
      </c>
      <c r="D713" t="n">
        <v>55.73693</v>
      </c>
      <c r="E713" t="n">
        <v>37.75932</v>
      </c>
      <c r="F713" t="inlineStr"/>
      <c r="G713" t="inlineStr"/>
      <c r="H713" t="inlineStr"/>
    </row>
    <row r="714">
      <c r="A714" t="inlineStr">
        <is>
          <t>fccb641c-8894-449f-a46d-6b8ffad153df.jpg</t>
        </is>
      </c>
      <c r="B714">
        <f>HYPERLINK("Объекты недвижимости, не соответствующие градостроительным нормам_00-022_Август/fccb641c-8894-449f-a46d-6b8ffad153df.jpg","open")</f>
        <v/>
      </c>
      <c r="C714" t="inlineStr">
        <is>
          <t>8cde1fd0-eca1-4510-86ab-3c743b65fdfc</t>
        </is>
      </c>
      <c r="D714" t="n">
        <v>55.73698</v>
      </c>
      <c r="E714" t="n">
        <v>37.75931</v>
      </c>
      <c r="F714" t="inlineStr"/>
      <c r="G714" t="inlineStr"/>
      <c r="H714" t="inlineStr"/>
    </row>
    <row r="715">
      <c r="A715" t="inlineStr">
        <is>
          <t>1d03e00c-02f5-476c-aef6-1b19e38f72e2.jpg</t>
        </is>
      </c>
      <c r="B715">
        <f>HYPERLINK("Объекты недвижимости, не соответствующие градостроительным нормам_00-022_Август/1d03e00c-02f5-476c-aef6-1b19e38f72e2.jpg","open")</f>
        <v/>
      </c>
      <c r="C715" t="inlineStr">
        <is>
          <t>1c951e11-4940-43c6-a447-394097e5609a</t>
        </is>
      </c>
      <c r="D715" t="n">
        <v>55.73694</v>
      </c>
      <c r="E715" t="n">
        <v>37.75932</v>
      </c>
      <c r="F715" t="inlineStr"/>
      <c r="G715" t="inlineStr"/>
      <c r="H715" t="inlineStr"/>
    </row>
    <row r="716">
      <c r="A716" t="inlineStr">
        <is>
          <t>e52eaedf-7592-4d0d-b402-5dd777ea3667.jpg</t>
        </is>
      </c>
      <c r="B716">
        <f>HYPERLINK("Объекты недвижимости, не соответствующие градостроительным нормам_00-022_Август/e52eaedf-7592-4d0d-b402-5dd777ea3667.jpg","open")</f>
        <v/>
      </c>
      <c r="C716" t="inlineStr">
        <is>
          <t>1c951e11-4940-43c6-a447-394097e5609a</t>
        </is>
      </c>
      <c r="D716" t="n">
        <v>55.73701</v>
      </c>
      <c r="E716" t="n">
        <v>37.75931</v>
      </c>
      <c r="F716" t="inlineStr"/>
      <c r="G716" t="inlineStr"/>
      <c r="H716" t="inlineStr"/>
    </row>
    <row r="717">
      <c r="A717" t="inlineStr">
        <is>
          <t>eb36a69d-3b4c-4b8c-bf14-a743de8c64d2.jpg</t>
        </is>
      </c>
      <c r="B717">
        <f>HYPERLINK("Объекты недвижимости, не соответствующие градостроительным нормам_00-022_Август/eb36a69d-3b4c-4b8c-bf14-a743de8c64d2.jpg","open")</f>
        <v/>
      </c>
      <c r="C717" t="inlineStr">
        <is>
          <t>8cde1fd0-eca1-4510-86ab-3c743b65fdfc</t>
        </is>
      </c>
      <c r="D717" t="n">
        <v>55.73721</v>
      </c>
      <c r="E717" t="n">
        <v>37.75878</v>
      </c>
      <c r="F717" t="inlineStr"/>
      <c r="G717" t="inlineStr"/>
      <c r="H717" t="inlineStr"/>
    </row>
    <row r="718">
      <c r="A718" t="inlineStr">
        <is>
          <t>84dcce56-a51c-46e1-82a8-45e0bd7ae4f7.jpg</t>
        </is>
      </c>
      <c r="B718">
        <f>HYPERLINK("Объекты недвижимости, не соответствующие градостроительным нормам_00-022_Август/84dcce56-a51c-46e1-82a8-45e0bd7ae4f7.jpg","open")</f>
        <v/>
      </c>
      <c r="C718" t="inlineStr">
        <is>
          <t>8cde1fd0-eca1-4510-86ab-3c743b65fdfc</t>
        </is>
      </c>
      <c r="D718" t="n">
        <v>55.73738</v>
      </c>
      <c r="E718" t="n">
        <v>37.75665</v>
      </c>
      <c r="F718" t="inlineStr"/>
      <c r="G718" t="inlineStr"/>
      <c r="H718" t="inlineStr"/>
    </row>
    <row r="719">
      <c r="A719" t="inlineStr">
        <is>
          <t>1ad094fc-037c-466f-b7e6-fd40fd097988.jpg</t>
        </is>
      </c>
      <c r="B719">
        <f>HYPERLINK("Объекты недвижимости, не соответствующие градостроительным нормам_00-022_Август/1ad094fc-037c-466f-b7e6-fd40fd097988.jpg","open")</f>
        <v/>
      </c>
      <c r="C719" t="inlineStr">
        <is>
          <t>1c951e11-4940-43c6-a447-394097e5609a</t>
        </is>
      </c>
      <c r="D719" t="n">
        <v>55.73672</v>
      </c>
      <c r="E719" t="n">
        <v>37.75099</v>
      </c>
      <c r="F719" t="inlineStr"/>
      <c r="G719" t="inlineStr"/>
      <c r="H719" t="inlineStr"/>
    </row>
    <row r="720">
      <c r="A720" t="inlineStr">
        <is>
          <t>ada2de17-3f4d-4b03-a0d6-2f826c798642.jpg</t>
        </is>
      </c>
      <c r="B720">
        <f>HYPERLINK("Объекты недвижимости, не соответствующие градостроительным нормам_00-022_Август/ada2de17-3f4d-4b03-a0d6-2f826c798642.jpg","open")</f>
        <v/>
      </c>
      <c r="C720" t="inlineStr">
        <is>
          <t>8cde1fd0-eca1-4510-86ab-3c743b65fdfc</t>
        </is>
      </c>
      <c r="D720" t="n">
        <v>55.73795</v>
      </c>
      <c r="E720" t="n">
        <v>37.74994</v>
      </c>
      <c r="F720" t="inlineStr"/>
      <c r="G720" t="inlineStr"/>
      <c r="H720" t="inlineStr"/>
    </row>
    <row r="721">
      <c r="A721" t="inlineStr">
        <is>
          <t>cbbc34ca-9d98-4314-8de2-348da0a7dd36.jpg</t>
        </is>
      </c>
      <c r="B721">
        <f>HYPERLINK("Объекты недвижимости, не соответствующие градостроительным нормам_00-022_Август/cbbc34ca-9d98-4314-8de2-348da0a7dd36.jpg","open")</f>
        <v/>
      </c>
      <c r="C721" t="inlineStr">
        <is>
          <t>1231bbc5-e64c-4dc7-9acc-77710f47607a</t>
        </is>
      </c>
      <c r="D721" t="n">
        <v>55.62397</v>
      </c>
      <c r="E721" t="n">
        <v>37.50647</v>
      </c>
      <c r="F721" t="inlineStr"/>
      <c r="G721" t="inlineStr"/>
      <c r="H721" t="inlineStr"/>
    </row>
    <row r="722">
      <c r="A722" t="inlineStr">
        <is>
          <t>6539e57e-92d9-41bd-927e-c65b0ba36c2d.jpg</t>
        </is>
      </c>
      <c r="B722">
        <f>HYPERLINK("Объекты недвижимости, не соответствующие градостроительным нормам_00-022_Август/6539e57e-92d9-41bd-927e-c65b0ba36c2d.jpg","open")</f>
        <v/>
      </c>
      <c r="C722" t="inlineStr">
        <is>
          <t>ed2bf0f1-3a66-4913-896e-4420a9796c0b</t>
        </is>
      </c>
      <c r="D722" t="n">
        <v>55.78933</v>
      </c>
      <c r="E722" t="n">
        <v>37.53977</v>
      </c>
      <c r="F722" t="inlineStr"/>
      <c r="G722" t="inlineStr"/>
      <c r="H722" t="inlineStr"/>
    </row>
    <row r="723">
      <c r="A723" t="inlineStr">
        <is>
          <t>10a09228-25d4-45fc-b1ca-a5fadf858311.jpg</t>
        </is>
      </c>
      <c r="B723">
        <f>HYPERLINK("Объекты недвижимости, не соответствующие градостроительным нормам_00-022_Август/10a09228-25d4-45fc-b1ca-a5fadf858311.jpg","open")</f>
        <v/>
      </c>
      <c r="C723" t="inlineStr">
        <is>
          <t>ed2bf0f1-3a66-4913-896e-4420a9796c0b</t>
        </is>
      </c>
      <c r="D723" t="n">
        <v>55.78933</v>
      </c>
      <c r="E723" t="n">
        <v>37.53977</v>
      </c>
      <c r="F723" t="inlineStr"/>
      <c r="G723" t="inlineStr"/>
      <c r="H723" t="inlineStr"/>
    </row>
    <row r="724">
      <c r="A724" t="inlineStr">
        <is>
          <t>6f0c3aee-6586-48c4-9f8d-aa7443ea613c.jpg</t>
        </is>
      </c>
      <c r="B724">
        <f>HYPERLINK("Объекты недвижимости, не соответствующие градостроительным нормам_00-022_Август/6f0c3aee-6586-48c4-9f8d-aa7443ea613c.jpg","open")</f>
        <v/>
      </c>
      <c r="C724" t="inlineStr">
        <is>
          <t>ed2bf0f1-3a66-4913-896e-4420a9796c0b</t>
        </is>
      </c>
      <c r="D724" t="n">
        <v>55.93223</v>
      </c>
      <c r="E724" t="n">
        <v>37.4012</v>
      </c>
      <c r="F724" t="inlineStr"/>
      <c r="G724" t="inlineStr"/>
      <c r="H724" t="inlineStr"/>
    </row>
    <row r="725">
      <c r="A725" t="inlineStr">
        <is>
          <t>1bb947c7-dea3-486e-a19d-9a177cc2bf03.jpg</t>
        </is>
      </c>
      <c r="B725">
        <f>HYPERLINK("Объекты недвижимости, не соответствующие градостроительным нормам_00-022_Август/1bb947c7-dea3-486e-a19d-9a177cc2bf03.jpg","open")</f>
        <v/>
      </c>
      <c r="C725" t="inlineStr">
        <is>
          <t>e85aff3b-73e8-4856-827e-477ccc0aea77</t>
        </is>
      </c>
      <c r="D725" t="n">
        <v>55.96877</v>
      </c>
      <c r="E725" t="n">
        <v>37.42815</v>
      </c>
      <c r="F725" t="inlineStr"/>
      <c r="G725" t="inlineStr"/>
      <c r="H725" t="inlineStr"/>
    </row>
    <row r="726">
      <c r="A726" t="inlineStr">
        <is>
          <t>1505ce66-c09f-4416-aee6-b5d70344505a.jpg</t>
        </is>
      </c>
      <c r="B726">
        <f>HYPERLINK("Объекты недвижимости, не соответствующие градостроительным нормам_00-022_Август/1505ce66-c09f-4416-aee6-b5d70344505a.jpg","open")</f>
        <v/>
      </c>
      <c r="C726" t="inlineStr">
        <is>
          <t>1a55986c-2c3f-40c0-b3d1-014dce77832e</t>
        </is>
      </c>
      <c r="D726" t="n">
        <v>55.93223</v>
      </c>
      <c r="E726" t="n">
        <v>37.4012</v>
      </c>
      <c r="F726" t="inlineStr"/>
      <c r="G726" t="inlineStr"/>
      <c r="H726" t="inlineStr"/>
    </row>
    <row r="727">
      <c r="A727" t="inlineStr">
        <is>
          <t>b1fbb018-6f22-4a6d-955f-e20d8f3a32d1.jpg</t>
        </is>
      </c>
      <c r="B727">
        <f>HYPERLINK("Объекты недвижимости, не соответствующие градостроительным нормам_00-022_Август/b1fbb018-6f22-4a6d-955f-e20d8f3a32d1.jpg","open")</f>
        <v/>
      </c>
      <c r="C727" t="inlineStr">
        <is>
          <t>750bf7e4-0f0f-4f1a-96af-607dc8c1f1c9</t>
        </is>
      </c>
      <c r="D727" t="n">
        <v>55.81822</v>
      </c>
      <c r="E727" t="n">
        <v>37.5137</v>
      </c>
      <c r="F727" t="inlineStr"/>
      <c r="G727" t="inlineStr"/>
      <c r="H727" t="inlineStr"/>
    </row>
    <row r="728">
      <c r="A728" t="inlineStr">
        <is>
          <t>3fba0889-9aac-45ce-9bf8-312551aad548.jpg</t>
        </is>
      </c>
      <c r="B728">
        <f>HYPERLINK("Объекты недвижимости, не соответствующие градостроительным нормам_00-022_Август/3fba0889-9aac-45ce-9bf8-312551aad548.jpg","open")</f>
        <v/>
      </c>
      <c r="C728" t="inlineStr">
        <is>
          <t>8cde1fd0-eca1-4510-86ab-3c743b65fdfc</t>
        </is>
      </c>
      <c r="D728" t="n">
        <v>55.71408</v>
      </c>
      <c r="E728" t="n">
        <v>37.66739</v>
      </c>
      <c r="F728" t="inlineStr"/>
      <c r="G728" t="inlineStr"/>
      <c r="H728" t="inlineStr"/>
    </row>
    <row r="729">
      <c r="A729" t="inlineStr">
        <is>
          <t>44b579ee-5e6a-461e-9dc1-a6446ce93a54.jpg</t>
        </is>
      </c>
      <c r="B729">
        <f>HYPERLINK("Объекты недвижимости, не соответствующие градостроительным нормам_00-022_Август/44b579ee-5e6a-461e-9dc1-a6446ce93a54.jpg","open")</f>
        <v/>
      </c>
      <c r="C729" t="inlineStr">
        <is>
          <t>ed2bf0f1-3a66-4913-896e-4420a9796c0b</t>
        </is>
      </c>
      <c r="D729" t="n">
        <v>55.97992</v>
      </c>
      <c r="E729" t="n">
        <v>37.40842</v>
      </c>
      <c r="F729" t="inlineStr"/>
      <c r="G729" t="inlineStr"/>
      <c r="H729" t="inlineStr"/>
    </row>
    <row r="730">
      <c r="A730" t="inlineStr">
        <is>
          <t>b6007134-df22-42eb-a312-b6990cce603d.jpg</t>
        </is>
      </c>
      <c r="B730">
        <f>HYPERLINK("Объекты недвижимости, не соответствующие градостроительным нормам_00-022_Август/b6007134-df22-42eb-a312-b6990cce603d.jpg","open")</f>
        <v/>
      </c>
      <c r="C730" t="inlineStr">
        <is>
          <t>1a55986c-2c3f-40c0-b3d1-014dce77832e</t>
        </is>
      </c>
      <c r="D730" t="n">
        <v>55.98005</v>
      </c>
      <c r="E730" t="n">
        <v>37.40939</v>
      </c>
      <c r="F730" t="inlineStr"/>
      <c r="G730" t="inlineStr"/>
      <c r="H730" t="inlineStr"/>
    </row>
    <row r="731">
      <c r="A731" t="inlineStr">
        <is>
          <t>aa248f33-58f4-41ce-8d5b-5f137e40c88b.jpg</t>
        </is>
      </c>
      <c r="B731">
        <f>HYPERLINK("Объекты недвижимости, не соответствующие градостроительным нормам_00-022_Август/aa248f33-58f4-41ce-8d5b-5f137e40c88b.jpg","open")</f>
        <v/>
      </c>
      <c r="C731" t="inlineStr">
        <is>
          <t>8cde1fd0-eca1-4510-86ab-3c743b65fdfc</t>
        </is>
      </c>
      <c r="D731" t="n">
        <v>55.71431</v>
      </c>
      <c r="E731" t="n">
        <v>37.67166</v>
      </c>
      <c r="F731" t="inlineStr"/>
      <c r="G731" t="inlineStr"/>
      <c r="H731" t="inlineStr"/>
    </row>
    <row r="732">
      <c r="A732" t="inlineStr">
        <is>
          <t>7e31ea3e-8523-4f98-ace4-3ff7bd9ebe11.jpg</t>
        </is>
      </c>
      <c r="B732">
        <f>HYPERLINK("Объекты недвижимости, не соответствующие градостроительным нормам_00-022_Август/7e31ea3e-8523-4f98-ace4-3ff7bd9ebe11.jpg","open")</f>
        <v/>
      </c>
      <c r="C732" t="inlineStr">
        <is>
          <t>750bf7e4-0f0f-4f1a-96af-607dc8c1f1c9</t>
        </is>
      </c>
      <c r="D732" t="n">
        <v>55.82238</v>
      </c>
      <c r="E732" t="n">
        <v>37.51825</v>
      </c>
      <c r="F732" t="inlineStr"/>
      <c r="G732" t="inlineStr"/>
      <c r="H732" t="inlineStr"/>
    </row>
    <row r="733">
      <c r="A733" t="inlineStr">
        <is>
          <t>21844684-69e9-4195-b8fa-f6f8f66e5826.jpg</t>
        </is>
      </c>
      <c r="B733">
        <f>HYPERLINK("Объекты недвижимости, не соответствующие градостроительным нормам_00-022_Август/21844684-69e9-4195-b8fa-f6f8f66e5826.jpg","open")</f>
        <v/>
      </c>
      <c r="C733" t="inlineStr">
        <is>
          <t>ed2bf0f1-3a66-4913-896e-4420a9796c0b</t>
        </is>
      </c>
      <c r="D733" t="n">
        <v>55.97015</v>
      </c>
      <c r="E733" t="n">
        <v>37.42266</v>
      </c>
      <c r="F733" t="inlineStr"/>
      <c r="G733" t="inlineStr"/>
      <c r="H733" t="inlineStr"/>
    </row>
    <row r="734">
      <c r="A734" t="inlineStr">
        <is>
          <t>d8def854-afc9-4f8a-97db-ac5e69e7d591.jpg</t>
        </is>
      </c>
      <c r="B734">
        <f>HYPERLINK("Объекты недвижимости, не соответствующие градостроительным нормам_00-022_Август/d8def854-afc9-4f8a-97db-ac5e69e7d591.jpg","open")</f>
        <v/>
      </c>
      <c r="C734" t="inlineStr">
        <is>
          <t>8cde1fd0-eca1-4510-86ab-3c743b65fdfc</t>
        </is>
      </c>
      <c r="D734" t="n">
        <v>55.71634</v>
      </c>
      <c r="E734" t="n">
        <v>37.68518</v>
      </c>
      <c r="F734" t="inlineStr"/>
      <c r="G734" t="inlineStr"/>
      <c r="H734" t="inlineStr"/>
    </row>
    <row r="735">
      <c r="A735" t="inlineStr">
        <is>
          <t>623b5359-b8c6-4208-aade-2e3b6ccf75c6.jpg</t>
        </is>
      </c>
      <c r="B735">
        <f>HYPERLINK("Объекты недвижимости, не соответствующие градостроительным нормам_00-022_Август/623b5359-b8c6-4208-aade-2e3b6ccf75c6.jpg","open")</f>
        <v/>
      </c>
      <c r="C735" t="inlineStr">
        <is>
          <t>685d9054-b74f-49ab-857b-109fd2cec80d</t>
        </is>
      </c>
      <c r="D735" t="n">
        <v>55.62312</v>
      </c>
      <c r="E735" t="n">
        <v>37.50614</v>
      </c>
      <c r="F735" t="inlineStr"/>
      <c r="G735" t="inlineStr"/>
      <c r="H735" t="inlineStr"/>
    </row>
    <row r="736">
      <c r="A736" t="inlineStr">
        <is>
          <t>f95efedb-f9a0-46f8-88ff-d9073cf219b1.jpg</t>
        </is>
      </c>
      <c r="B736">
        <f>HYPERLINK("Объекты недвижимости, не соответствующие градостроительным нормам_00-022_Август/f95efedb-f9a0-46f8-88ff-d9073cf219b1.jpg","open")</f>
        <v/>
      </c>
      <c r="C736" t="inlineStr">
        <is>
          <t>8cde1fd0-eca1-4510-86ab-3c743b65fdfc</t>
        </is>
      </c>
      <c r="D736" t="n">
        <v>55.71432</v>
      </c>
      <c r="E736" t="n">
        <v>37.66737</v>
      </c>
      <c r="F736" t="inlineStr"/>
      <c r="G736" t="inlineStr"/>
      <c r="H736" t="inlineStr"/>
    </row>
    <row r="737">
      <c r="A737" t="inlineStr">
        <is>
          <t>cbed0b2c-dc87-43cf-8f41-334516dcdb2b.jpg</t>
        </is>
      </c>
      <c r="B737">
        <f>HYPERLINK("Объекты недвижимости, не соответствующие градостроительным нормам_00-022_Август/cbed0b2c-dc87-43cf-8f41-334516dcdb2b.jpg","open")</f>
        <v/>
      </c>
      <c r="C737" t="inlineStr">
        <is>
          <t>ed2bf0f1-3a66-4913-896e-4420a9796c0b</t>
        </is>
      </c>
      <c r="D737" t="n">
        <v>55.97645</v>
      </c>
      <c r="E737" t="n">
        <v>37.37814</v>
      </c>
      <c r="F737" t="inlineStr"/>
      <c r="G737" t="inlineStr"/>
      <c r="H737" t="inlineStr"/>
    </row>
    <row r="738">
      <c r="A738" t="inlineStr">
        <is>
          <t>8f838f45-eb5e-4fd0-a9f6-40f0272080a0.jpg</t>
        </is>
      </c>
      <c r="B738">
        <f>HYPERLINK("Объекты недвижимости, не соответствующие градостроительным нормам_00-022_Август/8f838f45-eb5e-4fd0-a9f6-40f0272080a0.jpg","open")</f>
        <v/>
      </c>
      <c r="C738" t="inlineStr">
        <is>
          <t>8cde1fd0-eca1-4510-86ab-3c743b65fdfc</t>
        </is>
      </c>
      <c r="D738" t="n">
        <v>55.71729</v>
      </c>
      <c r="E738" t="n">
        <v>37.66412</v>
      </c>
      <c r="F738" t="inlineStr"/>
      <c r="G738" t="inlineStr"/>
      <c r="H738" t="inlineStr"/>
    </row>
    <row r="739">
      <c r="A739" t="inlineStr">
        <is>
          <t>69fe4eba-0a46-4099-ae96-3c59c4e6abe8.jpg</t>
        </is>
      </c>
      <c r="B739">
        <f>HYPERLINK("Объекты недвижимости, не соответствующие градостроительным нормам_00-022_Август/69fe4eba-0a46-4099-ae96-3c59c4e6abe8.jpg","open")</f>
        <v/>
      </c>
      <c r="C739" t="inlineStr">
        <is>
          <t>8cde1fd0-eca1-4510-86ab-3c743b65fdfc</t>
        </is>
      </c>
      <c r="D739" t="n">
        <v>55.71745</v>
      </c>
      <c r="E739" t="n">
        <v>37.66403</v>
      </c>
      <c r="F739" t="inlineStr"/>
      <c r="G739" t="inlineStr"/>
      <c r="H739" t="inlineStr"/>
    </row>
    <row r="740">
      <c r="A740" t="inlineStr">
        <is>
          <t>cd51e09c-078d-4dc7-91ce-e677701b4a1b.jpg</t>
        </is>
      </c>
      <c r="B740">
        <f>HYPERLINK("Объекты недвижимости, не соответствующие градостроительным нормам_00-022_Август/cd51e09c-078d-4dc7-91ce-e677701b4a1b.jpg","open")</f>
        <v/>
      </c>
      <c r="C740" t="inlineStr">
        <is>
          <t>8cde1fd0-eca1-4510-86ab-3c743b65fdfc</t>
        </is>
      </c>
      <c r="D740" t="n">
        <v>55.71742</v>
      </c>
      <c r="E740" t="n">
        <v>37.6641</v>
      </c>
      <c r="F740" t="inlineStr"/>
      <c r="G740" t="inlineStr"/>
      <c r="H740" t="inlineStr"/>
    </row>
    <row r="741">
      <c r="A741" t="inlineStr">
        <is>
          <t>ef07269b-26fa-4f16-85f2-71798950b36b.jpg</t>
        </is>
      </c>
      <c r="B741">
        <f>HYPERLINK("Объекты недвижимости, не соответствующие градостроительным нормам_00-022_Август/ef07269b-26fa-4f16-85f2-71798950b36b.jpg","open")</f>
        <v/>
      </c>
      <c r="C741" t="inlineStr">
        <is>
          <t>1c951e11-4940-43c6-a447-394097e5609a</t>
        </is>
      </c>
      <c r="D741" t="n">
        <v>55.71736</v>
      </c>
      <c r="E741" t="n">
        <v>37.66411</v>
      </c>
      <c r="F741" t="inlineStr"/>
      <c r="G741" t="inlineStr"/>
      <c r="H741" t="inlineStr"/>
    </row>
    <row r="742">
      <c r="A742" t="inlineStr">
        <is>
          <t>4d716b95-6128-4a64-9f7a-9971993e4698.jpg</t>
        </is>
      </c>
      <c r="B742">
        <f>HYPERLINK("Объекты недвижимости, не соответствующие градостроительным нормам_00-022_Август/4d716b95-6128-4a64-9f7a-9971993e4698.jpg","open")</f>
        <v/>
      </c>
      <c r="C742" t="inlineStr">
        <is>
          <t>8cde1fd0-eca1-4510-86ab-3c743b65fdfc</t>
        </is>
      </c>
      <c r="D742" t="n">
        <v>55.71738</v>
      </c>
      <c r="E742" t="n">
        <v>37.66424</v>
      </c>
      <c r="F742" t="inlineStr"/>
      <c r="G742" t="inlineStr"/>
      <c r="H742" t="inlineStr"/>
    </row>
    <row r="743">
      <c r="A743" t="inlineStr">
        <is>
          <t>5da910ed-dd6d-491f-a0c9-5e278c2f3584.jpg</t>
        </is>
      </c>
      <c r="B743">
        <f>HYPERLINK("Объекты недвижимости, не соответствующие градостроительным нормам_00-022_Август/5da910ed-dd6d-491f-a0c9-5e278c2f3584.jpg","open")</f>
        <v/>
      </c>
      <c r="C743" t="inlineStr">
        <is>
          <t>8cde1fd0-eca1-4510-86ab-3c743b65fdfc</t>
        </is>
      </c>
      <c r="D743" t="n">
        <v>55.71738</v>
      </c>
      <c r="E743" t="n">
        <v>37.66422</v>
      </c>
      <c r="F743" t="inlineStr"/>
      <c r="G743" t="inlineStr"/>
      <c r="H743" t="inlineStr"/>
    </row>
    <row r="744">
      <c r="A744" t="inlineStr">
        <is>
          <t>1d9f1cb2-362b-4fa1-bd34-dae312720e0b.jpg</t>
        </is>
      </c>
      <c r="B744">
        <f>HYPERLINK("Объекты недвижимости, не соответствующие градостроительным нормам_00-022_Август/1d9f1cb2-362b-4fa1-bd34-dae312720e0b.jpg","open")</f>
        <v/>
      </c>
      <c r="C744" t="inlineStr">
        <is>
          <t>12e795ad-2aa7-49de-b2da-2c6aa35a4559</t>
        </is>
      </c>
      <c r="D744" t="n">
        <v>55.54762</v>
      </c>
      <c r="E744" t="n">
        <v>37.56828</v>
      </c>
      <c r="F744" t="inlineStr"/>
      <c r="G744" t="inlineStr"/>
      <c r="H744" t="inlineStr"/>
    </row>
    <row r="745">
      <c r="A745" t="inlineStr">
        <is>
          <t>60a5386d-8cc2-46cd-88bb-be776a70c1a5.jpg</t>
        </is>
      </c>
      <c r="B745">
        <f>HYPERLINK("Объекты недвижимости, не соответствующие градостроительным нормам_00-022_Август/60a5386d-8cc2-46cd-88bb-be776a70c1a5.jpg","open")</f>
        <v/>
      </c>
      <c r="C745" t="inlineStr">
        <is>
          <t>61936922-4d4b-458e-80ea-6d4c450aa1d5</t>
        </is>
      </c>
      <c r="D745" t="n">
        <v>55.64788</v>
      </c>
      <c r="E745" t="n">
        <v>37.3407</v>
      </c>
      <c r="F745" t="inlineStr"/>
      <c r="G745" t="inlineStr"/>
      <c r="H745" t="inlineStr"/>
    </row>
    <row r="746">
      <c r="A746" t="inlineStr">
        <is>
          <t>b60db01a-da11-40f6-ae68-310d8ea42052.jpg</t>
        </is>
      </c>
      <c r="B746">
        <f>HYPERLINK("Объекты недвижимости, не соответствующие градостроительным нормам_00-022_Август/b60db01a-da11-40f6-ae68-310d8ea42052.jpg","open")</f>
        <v/>
      </c>
      <c r="C746" t="inlineStr">
        <is>
          <t>31a713a9-b910-424b-b847-e0eaa2f70c70</t>
        </is>
      </c>
      <c r="D746" t="n">
        <v>55.82156</v>
      </c>
      <c r="E746" t="n">
        <v>37.51679</v>
      </c>
      <c r="F746" t="inlineStr"/>
      <c r="G746" t="inlineStr"/>
      <c r="H746" t="inlineStr"/>
    </row>
    <row r="747">
      <c r="A747" t="inlineStr">
        <is>
          <t>bea972c1-5a4c-48ec-bda5-1e84515cdd9f.jpg</t>
        </is>
      </c>
      <c r="B747">
        <f>HYPERLINK("Объекты недвижимости, не соответствующие градостроительным нормам_00-022_Август/bea972c1-5a4c-48ec-bda5-1e84515cdd9f.jpg","open")</f>
        <v/>
      </c>
      <c r="C747" t="inlineStr">
        <is>
          <t>cbf95b01-f708-45a3-9ec0-3603469b538e</t>
        </is>
      </c>
      <c r="D747" t="n">
        <v>65.05929999999999</v>
      </c>
      <c r="E747" t="n">
        <v>47.55606</v>
      </c>
      <c r="F747" t="inlineStr"/>
      <c r="G747" t="inlineStr"/>
      <c r="H747" t="inlineStr"/>
    </row>
    <row r="748">
      <c r="A748" t="inlineStr">
        <is>
          <t>4cfb0493-9325-46e0-954c-ef11b4eed3bf.jpg</t>
        </is>
      </c>
      <c r="B748">
        <f>HYPERLINK("Объекты недвижимости, не соответствующие градостроительным нормам_00-022_Август/4cfb0493-9325-46e0-954c-ef11b4eed3bf.jpg","open")</f>
        <v/>
      </c>
      <c r="C748" t="inlineStr">
        <is>
          <t>e26f5fc2-1353-4f29-85f3-87c56419161c</t>
        </is>
      </c>
      <c r="D748" t="n">
        <v>55.7563</v>
      </c>
      <c r="E748" t="n">
        <v>37.66421</v>
      </c>
      <c r="F748" t="inlineStr"/>
      <c r="G748" t="inlineStr"/>
      <c r="H748" t="inlineStr"/>
    </row>
    <row r="749">
      <c r="A749" t="inlineStr">
        <is>
          <t>ef12e680-f316-4c45-8374-5eaec38d0183.jpg</t>
        </is>
      </c>
      <c r="B749">
        <f>HYPERLINK("Объекты недвижимости, не соответствующие градостроительным нормам_00-022_Август/ef12e680-f316-4c45-8374-5eaec38d0183.jpg","open")</f>
        <v/>
      </c>
      <c r="C749" t="inlineStr">
        <is>
          <t>4cd87d14-7440-44b7-a5b2-a738e10006f7</t>
        </is>
      </c>
      <c r="D749" t="n">
        <v>55.75608</v>
      </c>
      <c r="E749" t="n">
        <v>37.66395</v>
      </c>
      <c r="F749" t="inlineStr"/>
      <c r="G749" t="inlineStr"/>
      <c r="H749" t="inlineStr"/>
    </row>
    <row r="750">
      <c r="A750" t="inlineStr">
        <is>
          <t>1fdd538c-ffdb-4cec-963e-f8557bfcf123.jpg</t>
        </is>
      </c>
      <c r="B750">
        <f>HYPERLINK("Объекты недвижимости, не соответствующие градостроительным нормам_00-022_Август/1fdd538c-ffdb-4cec-963e-f8557bfcf123.jpg","open")</f>
        <v/>
      </c>
      <c r="C750" t="inlineStr">
        <is>
          <t>57aae8a4-582b-4309-8045-c8127a9f86ae</t>
        </is>
      </c>
      <c r="D750" t="n">
        <v>55.81645</v>
      </c>
      <c r="E750" t="n">
        <v>37.69325</v>
      </c>
      <c r="F750" t="inlineStr"/>
      <c r="G750" t="inlineStr"/>
      <c r="H750" t="inlineStr"/>
    </row>
    <row r="751">
      <c r="A751" t="inlineStr">
        <is>
          <t>a500f61b-203d-4c73-a61f-ae9d69ac7fdf.jpg</t>
        </is>
      </c>
      <c r="B751">
        <f>HYPERLINK("Объекты недвижимости, не соответствующие градостроительным нормам_00-022_Август/a500f61b-203d-4c73-a61f-ae9d69ac7fdf.jpg","open")</f>
        <v/>
      </c>
      <c r="C751" t="inlineStr">
        <is>
          <t>1a55986c-2c3f-40c0-b3d1-014dce77832e</t>
        </is>
      </c>
      <c r="D751" t="n">
        <v>55.96756</v>
      </c>
      <c r="E751" t="n">
        <v>37.42734</v>
      </c>
      <c r="F751" t="inlineStr"/>
      <c r="G751" t="inlineStr"/>
      <c r="H751" t="inlineStr"/>
    </row>
    <row r="752">
      <c r="A752" t="inlineStr">
        <is>
          <t>0015c34c-80f4-448e-8387-a20fa0edcb73.jpg</t>
        </is>
      </c>
      <c r="B752">
        <f>HYPERLINK("Объекты недвижимости, не соответствующие градостроительным нормам_00-022_Август/0015c34c-80f4-448e-8387-a20fa0edcb73.jpg","open")</f>
        <v/>
      </c>
      <c r="C752" t="inlineStr">
        <is>
          <t>ed2bf0f1-3a66-4913-896e-4420a9796c0b</t>
        </is>
      </c>
      <c r="D752" t="n">
        <v>55.96747</v>
      </c>
      <c r="E752" t="n">
        <v>37.42719</v>
      </c>
      <c r="F752" t="inlineStr"/>
      <c r="G752" t="inlineStr"/>
      <c r="H752" t="inlineStr"/>
    </row>
    <row r="753">
      <c r="A753" t="inlineStr">
        <is>
          <t>a7f49c13-91fd-4f6d-b17b-ede154871a34.jpg</t>
        </is>
      </c>
      <c r="B753">
        <f>HYPERLINK("Объекты недвижимости, не соответствующие градостроительным нормам_00-022_Август/a7f49c13-91fd-4f6d-b17b-ede154871a34.jpg","open")</f>
        <v/>
      </c>
      <c r="C753" t="inlineStr">
        <is>
          <t>1a55986c-2c3f-40c0-b3d1-014dce77832e</t>
        </is>
      </c>
      <c r="D753" t="n">
        <v>55.96594</v>
      </c>
      <c r="E753" t="n">
        <v>37.42392</v>
      </c>
      <c r="F753" t="inlineStr"/>
      <c r="G753" t="inlineStr"/>
      <c r="H753" t="inlineStr"/>
    </row>
    <row r="754">
      <c r="A754" t="inlineStr">
        <is>
          <t>51d82a25-27fd-4b09-a02b-9b0d0e51e36e.jpg</t>
        </is>
      </c>
      <c r="B754">
        <f>HYPERLINK("Объекты недвижимости, не соответствующие градостроительным нормам_00-022_Август/51d82a25-27fd-4b09-a02b-9b0d0e51e36e.jpg","open")</f>
        <v/>
      </c>
      <c r="C754" t="inlineStr">
        <is>
          <t>750bf7e4-0f0f-4f1a-96af-607dc8c1f1c9</t>
        </is>
      </c>
      <c r="D754" t="n">
        <v>55.82236</v>
      </c>
      <c r="E754" t="n">
        <v>37.51828</v>
      </c>
      <c r="F754" t="inlineStr"/>
      <c r="G754" t="inlineStr"/>
      <c r="H754" t="inlineStr"/>
    </row>
    <row r="755">
      <c r="A755" t="inlineStr">
        <is>
          <t>8e7cb01d-d303-4808-8671-241acfefa7da.jpg</t>
        </is>
      </c>
      <c r="B755">
        <f>HYPERLINK("Объекты недвижимости, не соответствующие градостроительным нормам_00-022_Август/8e7cb01d-d303-4808-8671-241acfefa7da.jpg","open")</f>
        <v/>
      </c>
      <c r="C755" t="inlineStr">
        <is>
          <t>789f6c51-64ee-4078-b7bd-443af8b8b68a</t>
        </is>
      </c>
      <c r="D755" t="n">
        <v>55.81924</v>
      </c>
      <c r="E755" t="n">
        <v>37.64911</v>
      </c>
      <c r="F755" t="inlineStr"/>
      <c r="G755" t="inlineStr"/>
      <c r="H755" t="inlineStr"/>
    </row>
    <row r="756">
      <c r="A756" t="inlineStr">
        <is>
          <t>d0cc8117-eea0-41f9-9f53-e711999c05b9.jpg</t>
        </is>
      </c>
      <c r="B756">
        <f>HYPERLINK("Объекты недвижимости, не соответствующие градостроительным нормам_00-022_Август/d0cc8117-eea0-41f9-9f53-e711999c05b9.jpg","open")</f>
        <v/>
      </c>
      <c r="C756" t="inlineStr">
        <is>
          <t>2acfb2da-e3f6-464c-bd17-4b713522c142</t>
        </is>
      </c>
      <c r="D756" t="n">
        <v>55.81924</v>
      </c>
      <c r="E756" t="n">
        <v>37.6491</v>
      </c>
      <c r="F756" t="inlineStr"/>
      <c r="G756" t="inlineStr"/>
      <c r="H756" t="inlineStr"/>
    </row>
    <row r="757">
      <c r="A757" t="inlineStr">
        <is>
          <t>b563424f-ceae-4ed4-8c0e-566c7c48edb9.jpg</t>
        </is>
      </c>
      <c r="B757">
        <f>HYPERLINK("Объекты недвижимости, не соответствующие градостроительным нормам_00-022_Август/b563424f-ceae-4ed4-8c0e-566c7c48edb9.jpg","open")</f>
        <v/>
      </c>
      <c r="C757" t="inlineStr">
        <is>
          <t>685d9054-b74f-49ab-857b-109fd2cec80d</t>
        </is>
      </c>
      <c r="D757" t="n">
        <v>55.62036</v>
      </c>
      <c r="E757" t="n">
        <v>37.49881</v>
      </c>
      <c r="F757" t="inlineStr"/>
      <c r="G757" t="inlineStr"/>
      <c r="H757" t="inlineStr"/>
    </row>
    <row r="758">
      <c r="A758" t="inlineStr">
        <is>
          <t>cdab2ab6-93e8-4800-aa3e-d6cbfc8f058f.jpg</t>
        </is>
      </c>
      <c r="B758">
        <f>HYPERLINK("Объекты недвижимости, не соответствующие градостроительным нормам_00-022_Август/cdab2ab6-93e8-4800-aa3e-d6cbfc8f058f.jpg","open")</f>
        <v/>
      </c>
      <c r="C758" t="inlineStr">
        <is>
          <t>31a713a9-b910-424b-b847-e0eaa2f70c70</t>
        </is>
      </c>
      <c r="D758" t="n">
        <v>55.82232</v>
      </c>
      <c r="E758" t="n">
        <v>37.51796</v>
      </c>
      <c r="F758" t="inlineStr"/>
      <c r="G758" t="inlineStr"/>
      <c r="H758" t="inlineStr"/>
    </row>
    <row r="759">
      <c r="A759" t="inlineStr">
        <is>
          <t>4149d4f1-d93c-4749-8346-803926c35a8c.jpg</t>
        </is>
      </c>
      <c r="B759">
        <f>HYPERLINK("Объекты недвижимости, не соответствующие градостроительным нормам_00-022_Август/4149d4f1-d93c-4749-8346-803926c35a8c.jpg","open")</f>
        <v/>
      </c>
      <c r="C759" t="inlineStr">
        <is>
          <t>12e795ad-2aa7-49de-b2da-2c6aa35a4559</t>
        </is>
      </c>
      <c r="D759" t="n">
        <v>55.54379</v>
      </c>
      <c r="E759" t="n">
        <v>37.56709</v>
      </c>
      <c r="F759" t="inlineStr"/>
      <c r="G759" t="inlineStr"/>
      <c r="H759" t="inlineStr"/>
    </row>
    <row r="760">
      <c r="A760" t="inlineStr">
        <is>
          <t>bcce6078-34ee-4a14-a582-6a22d8b90f8a.jpg</t>
        </is>
      </c>
      <c r="B760">
        <f>HYPERLINK("Объекты недвижимости, не соответствующие градостроительным нормам_00-022_Август/bcce6078-34ee-4a14-a582-6a22d8b90f8a.jpg","open")</f>
        <v/>
      </c>
      <c r="C760" t="inlineStr">
        <is>
          <t>ed2bf0f1-3a66-4913-896e-4420a9796c0b</t>
        </is>
      </c>
      <c r="D760" t="n">
        <v>55.96613</v>
      </c>
      <c r="E760" t="n">
        <v>37.42454</v>
      </c>
      <c r="F760" t="inlineStr"/>
      <c r="G760" t="inlineStr"/>
      <c r="H760" t="inlineStr"/>
    </row>
    <row r="761">
      <c r="A761" t="inlineStr">
        <is>
          <t>a5212c5b-7efc-4f7c-87da-154a77399fa9.jpg</t>
        </is>
      </c>
      <c r="B761">
        <f>HYPERLINK("Объекты недвижимости, не соответствующие градостроительным нормам_00-022_Август/a5212c5b-7efc-4f7c-87da-154a77399fa9.jpg","open")</f>
        <v/>
      </c>
      <c r="C761" t="inlineStr">
        <is>
          <t>1231bbc5-e64c-4dc7-9acc-77710f47607a</t>
        </is>
      </c>
      <c r="D761" t="n">
        <v>55.61985</v>
      </c>
      <c r="E761" t="n">
        <v>37.49977</v>
      </c>
      <c r="F761" t="inlineStr"/>
      <c r="G761" t="inlineStr"/>
      <c r="H761" t="inlineStr"/>
    </row>
    <row r="762">
      <c r="A762" t="inlineStr">
        <is>
          <t>66a4d34d-3970-4400-8320-bb2d3d4a69de.jpg</t>
        </is>
      </c>
      <c r="B762">
        <f>HYPERLINK("Объекты недвижимости, не соответствующие градостроительным нормам_00-022_Август/66a4d34d-3970-4400-8320-bb2d3d4a69de.jpg","open")</f>
        <v/>
      </c>
      <c r="C762" t="inlineStr">
        <is>
          <t>cbf95b01-f708-45a3-9ec0-3603469b538e</t>
        </is>
      </c>
      <c r="D762" t="n">
        <v>55.73397</v>
      </c>
      <c r="E762" t="n">
        <v>37.67504</v>
      </c>
      <c r="F762" t="inlineStr"/>
      <c r="G762" t="inlineStr"/>
      <c r="H762" t="inlineStr"/>
    </row>
    <row r="763">
      <c r="A763" t="inlineStr">
        <is>
          <t>60c3b98c-4a69-4c2e-8130-cdaa40de8c4f.jpg</t>
        </is>
      </c>
      <c r="B763">
        <f>HYPERLINK("Объекты недвижимости, не соответствующие градостроительным нормам_00-022_Август/60c3b98c-4a69-4c2e-8130-cdaa40de8c4f.jpg","open")</f>
        <v/>
      </c>
      <c r="C763" t="inlineStr">
        <is>
          <t>cbf95b01-f708-45a3-9ec0-3603469b538e</t>
        </is>
      </c>
      <c r="D763" t="n">
        <v>55.73397</v>
      </c>
      <c r="E763" t="n">
        <v>37.67504</v>
      </c>
      <c r="F763" t="inlineStr"/>
      <c r="G763" t="inlineStr"/>
      <c r="H763" t="inlineStr"/>
    </row>
    <row r="764">
      <c r="A764" t="inlineStr">
        <is>
          <t>c0042d13-cfbe-41d1-b157-e5e5efbe634b.jpg</t>
        </is>
      </c>
      <c r="B764">
        <f>HYPERLINK("Объекты недвижимости, не соответствующие градостроительным нормам_00-022_Август/c0042d13-cfbe-41d1-b157-e5e5efbe634b.jpg","open")</f>
        <v/>
      </c>
      <c r="C764" t="inlineStr">
        <is>
          <t>ffd931da-542f-43e9-979f-5552b17fe3dc</t>
        </is>
      </c>
      <c r="D764" t="n">
        <v>55.71313</v>
      </c>
      <c r="E764" t="n">
        <v>37.86358</v>
      </c>
      <c r="F764" t="inlineStr"/>
      <c r="G764" t="inlineStr"/>
      <c r="H764" t="inlineStr"/>
    </row>
    <row r="765">
      <c r="A765" t="inlineStr">
        <is>
          <t>7ce98b38-5296-4f9e-8ce0-2eef2e7f1a0b.jpg</t>
        </is>
      </c>
      <c r="B765">
        <f>HYPERLINK("Объекты недвижимости, не соответствующие градостроительным нормам_00-022_Август/7ce98b38-5296-4f9e-8ce0-2eef2e7f1a0b.jpg","open")</f>
        <v/>
      </c>
      <c r="C765" t="inlineStr">
        <is>
          <t>cbf95b01-f708-45a3-9ec0-3603469b538e</t>
        </is>
      </c>
      <c r="D765" t="n">
        <v>55.73397</v>
      </c>
      <c r="E765" t="n">
        <v>37.67504</v>
      </c>
      <c r="F765" t="inlineStr"/>
      <c r="G765" t="inlineStr"/>
      <c r="H765" t="inlineStr"/>
    </row>
    <row r="766">
      <c r="A766" t="inlineStr">
        <is>
          <t>235eaf02-6b22-42ca-91cd-fc0dbdf5d565.jpg</t>
        </is>
      </c>
      <c r="B766">
        <f>HYPERLINK("Объекты недвижимости, не соответствующие градостроительным нормам_00-022_Август/235eaf02-6b22-42ca-91cd-fc0dbdf5d565.jpg","open")</f>
        <v/>
      </c>
      <c r="C766" t="inlineStr">
        <is>
          <t>8cde1fd0-eca1-4510-86ab-3c743b65fdfc</t>
        </is>
      </c>
      <c r="D766" t="n">
        <v>55.71739</v>
      </c>
      <c r="E766" t="n">
        <v>37.66423</v>
      </c>
      <c r="F766" t="inlineStr"/>
      <c r="G766" t="inlineStr"/>
      <c r="H766" t="inlineStr"/>
    </row>
    <row r="767">
      <c r="A767" t="inlineStr">
        <is>
          <t>5b9ea099-4a1d-4626-bb4c-0d940c5f73e3.jpg</t>
        </is>
      </c>
      <c r="B767">
        <f>HYPERLINK("Объекты недвижимости, не соответствующие градостроительным нормам_00-022_Август/5b9ea099-4a1d-4626-bb4c-0d940c5f73e3.jpg","open")</f>
        <v/>
      </c>
      <c r="C767" t="inlineStr">
        <is>
          <t>cbf95b01-f708-45a3-9ec0-3603469b538e</t>
        </is>
      </c>
      <c r="D767" t="n">
        <v>55.73397</v>
      </c>
      <c r="E767" t="n">
        <v>37.67504</v>
      </c>
      <c r="F767" t="inlineStr"/>
      <c r="G767" t="inlineStr"/>
      <c r="H767" t="inlineStr"/>
    </row>
    <row r="768">
      <c r="A768" t="inlineStr">
        <is>
          <t>ec58bfad-0701-4fac-bdd0-a22b972220a4.jpg</t>
        </is>
      </c>
      <c r="B768">
        <f>HYPERLINK("Объекты недвижимости, не соответствующие градостроительным нормам_00-022_Август/ec58bfad-0701-4fac-bdd0-a22b972220a4.jpg","open")</f>
        <v/>
      </c>
      <c r="C768" t="inlineStr">
        <is>
          <t>1231bbc5-e64c-4dc7-9acc-77710f47607a</t>
        </is>
      </c>
      <c r="D768" t="n">
        <v>55.62137</v>
      </c>
      <c r="E768" t="n">
        <v>37.49644</v>
      </c>
      <c r="F768" t="inlineStr"/>
      <c r="G768" t="inlineStr"/>
      <c r="H768" t="inlineStr"/>
    </row>
    <row r="769">
      <c r="A769" t="inlineStr">
        <is>
          <t>2250f2e6-2f74-4ff7-a5fe-30a244515336.jpg</t>
        </is>
      </c>
      <c r="B769">
        <f>HYPERLINK("Объекты недвижимости, не соответствующие градостроительным нормам_00-022_Август/2250f2e6-2f74-4ff7-a5fe-30a244515336.jpg","open")</f>
        <v/>
      </c>
      <c r="C769" t="inlineStr">
        <is>
          <t>685d9054-b74f-49ab-857b-109fd2cec80d</t>
        </is>
      </c>
      <c r="D769" t="n">
        <v>55.62138</v>
      </c>
      <c r="E769" t="n">
        <v>37.49643</v>
      </c>
      <c r="F769" t="inlineStr"/>
      <c r="G769" t="inlineStr"/>
      <c r="H769" t="inlineStr"/>
    </row>
    <row r="770">
      <c r="A770" t="inlineStr">
        <is>
          <t>835a3b23-8f67-40d5-89d0-12feb630fd76.jpg</t>
        </is>
      </c>
      <c r="B770">
        <f>HYPERLINK("Объекты недвижимости, не соответствующие градостроительным нормам_00-022_Август/835a3b23-8f67-40d5-89d0-12feb630fd76.jpg","open")</f>
        <v/>
      </c>
      <c r="C770" t="inlineStr">
        <is>
          <t>12e795ad-2aa7-49de-b2da-2c6aa35a4559</t>
        </is>
      </c>
      <c r="D770" t="n">
        <v>55.54339</v>
      </c>
      <c r="E770" t="n">
        <v>37.56234</v>
      </c>
      <c r="F770" t="inlineStr"/>
      <c r="G770" t="inlineStr"/>
      <c r="H770" t="inlineStr"/>
    </row>
    <row r="771">
      <c r="A771" t="inlineStr">
        <is>
          <t>22ef127c-4b25-4fbc-839e-dbf79b4e4d75.jpg</t>
        </is>
      </c>
      <c r="B771">
        <f>HYPERLINK("Объекты недвижимости, не соответствующие градостроительным нормам_00-022_Август/22ef127c-4b25-4fbc-839e-dbf79b4e4d75.jpg","open")</f>
        <v/>
      </c>
      <c r="C771" t="inlineStr">
        <is>
          <t>31a713a9-b910-424b-b847-e0eaa2f70c70</t>
        </is>
      </c>
      <c r="D771" t="n">
        <v>55.81789</v>
      </c>
      <c r="E771" t="n">
        <v>37.51727</v>
      </c>
      <c r="F771" t="inlineStr"/>
      <c r="G771" t="inlineStr"/>
      <c r="H771" t="inlineStr"/>
    </row>
    <row r="772">
      <c r="A772" t="inlineStr">
        <is>
          <t>bd2d43d1-8790-4a76-8671-c295d43dce24.jpg</t>
        </is>
      </c>
      <c r="B772">
        <f>HYPERLINK("Объекты недвижимости, не соответствующие градостроительным нормам_00-022_Август/bd2d43d1-8790-4a76-8671-c295d43dce24.jpg","open")</f>
        <v/>
      </c>
      <c r="C772" t="inlineStr">
        <is>
          <t>750bf7e4-0f0f-4f1a-96af-607dc8c1f1c9</t>
        </is>
      </c>
      <c r="D772" t="n">
        <v>55.81792</v>
      </c>
      <c r="E772" t="n">
        <v>37.5173</v>
      </c>
      <c r="F772" t="inlineStr"/>
      <c r="G772" t="inlineStr"/>
      <c r="H772" t="inlineStr"/>
    </row>
    <row r="773">
      <c r="A773" t="inlineStr">
        <is>
          <t>59a0210c-0f6d-4642-9f5e-591f1292c260.jpg</t>
        </is>
      </c>
      <c r="B773">
        <f>HYPERLINK("Объекты недвижимости, не соответствующие градостроительным нормам_00-022_Август/59a0210c-0f6d-4642-9f5e-591f1292c260.jpg","open")</f>
        <v/>
      </c>
      <c r="C773" t="inlineStr">
        <is>
          <t>685d9054-b74f-49ab-857b-109fd2cec80d</t>
        </is>
      </c>
      <c r="D773" t="n">
        <v>55.6216</v>
      </c>
      <c r="E773" t="n">
        <v>37.49624</v>
      </c>
      <c r="F773" t="inlineStr"/>
      <c r="G773" t="inlineStr"/>
      <c r="H773" t="inlineStr"/>
    </row>
    <row r="774">
      <c r="A774" t="inlineStr">
        <is>
          <t>2fcb6657-b6c0-4cd6-b50a-55648b779f66.jpg</t>
        </is>
      </c>
      <c r="B774">
        <f>HYPERLINK("Объекты недвижимости, не соответствующие градостроительным нормам_00-022_Август/2fcb6657-b6c0-4cd6-b50a-55648b779f66.jpg","open")</f>
        <v/>
      </c>
      <c r="C774" t="inlineStr">
        <is>
          <t>750bf7e4-0f0f-4f1a-96af-607dc8c1f1c9</t>
        </is>
      </c>
      <c r="D774" t="n">
        <v>55.81871</v>
      </c>
      <c r="E774" t="n">
        <v>37.51016</v>
      </c>
      <c r="F774" t="inlineStr"/>
      <c r="G774" t="inlineStr"/>
      <c r="H774" t="inlineStr"/>
    </row>
    <row r="775">
      <c r="A775" t="inlineStr">
        <is>
          <t>bb7156ce-7787-4f54-aaea-a5c9874435f6.jpg</t>
        </is>
      </c>
      <c r="B775">
        <f>HYPERLINK("Объекты недвижимости, не соответствующие градостроительным нормам_00-022_Август/bb7156ce-7787-4f54-aaea-a5c9874435f6.jpg","open")</f>
        <v/>
      </c>
      <c r="C775" t="inlineStr">
        <is>
          <t>31a713a9-b910-424b-b847-e0eaa2f70c70</t>
        </is>
      </c>
      <c r="D775" t="n">
        <v>55.81881</v>
      </c>
      <c r="E775" t="n">
        <v>37.51011</v>
      </c>
      <c r="F775" t="inlineStr"/>
      <c r="G775" t="inlineStr"/>
      <c r="H775" t="inlineStr"/>
    </row>
    <row r="776">
      <c r="A776" t="inlineStr">
        <is>
          <t>3f051fd3-50b6-4aa9-8808-cd48f46dccad.jpg</t>
        </is>
      </c>
      <c r="B776">
        <f>HYPERLINK("Объекты недвижимости, не соответствующие градостроительным нормам_00-022_Август/3f051fd3-50b6-4aa9-8808-cd48f46dccad.jpg","open")</f>
        <v/>
      </c>
      <c r="C776" t="inlineStr">
        <is>
          <t>685d9054-b74f-49ab-857b-109fd2cec80d</t>
        </is>
      </c>
      <c r="D776" t="n">
        <v>55.619</v>
      </c>
      <c r="E776" t="n">
        <v>37.49825</v>
      </c>
      <c r="F776" t="inlineStr"/>
      <c r="G776" t="inlineStr"/>
      <c r="H776" t="inlineStr"/>
    </row>
    <row r="777">
      <c r="A777" t="inlineStr">
        <is>
          <t>fdb2f187-54d0-429e-bd49-004e4484cbaf.jpg</t>
        </is>
      </c>
      <c r="B777">
        <f>HYPERLINK("Объекты недвижимости, не соответствующие градостроительным нормам_00-022_Август/fdb2f187-54d0-429e-bd49-004e4484cbaf.jpg","open")</f>
        <v/>
      </c>
      <c r="C777" t="inlineStr">
        <is>
          <t>ffd931da-542f-43e9-979f-5552b17fe3dc</t>
        </is>
      </c>
      <c r="D777" t="n">
        <v>55.71272</v>
      </c>
      <c r="E777" t="n">
        <v>37.85612</v>
      </c>
      <c r="F777" t="inlineStr"/>
      <c r="G777" t="inlineStr"/>
      <c r="H777" t="inlineStr"/>
    </row>
    <row r="778">
      <c r="A778" t="inlineStr">
        <is>
          <t>91e66864-de05-4f98-93d4-2c23be3e0195.jpg</t>
        </is>
      </c>
      <c r="B778">
        <f>HYPERLINK("Объекты недвижимости, не соответствующие градостроительным нормам_00-022_Август/91e66864-de05-4f98-93d4-2c23be3e0195.jpg","open")</f>
        <v/>
      </c>
      <c r="C778" t="inlineStr">
        <is>
          <t>fce890a6-27da-4062-a046-08262a160ee6</t>
        </is>
      </c>
      <c r="D778" t="n">
        <v>55.72334</v>
      </c>
      <c r="E778" t="n">
        <v>37.712</v>
      </c>
      <c r="F778" t="inlineStr"/>
      <c r="G778" t="inlineStr"/>
      <c r="H778" t="inlineStr"/>
    </row>
    <row r="779">
      <c r="A779" t="inlineStr">
        <is>
          <t>bf02693d-a9d5-4691-925a-78608b2b5cd7.jpg</t>
        </is>
      </c>
      <c r="B779">
        <f>HYPERLINK("Объекты недвижимости, не соответствующие градостроительным нормам_00-022_Август/bf02693d-a9d5-4691-925a-78608b2b5cd7.jpg","open")</f>
        <v/>
      </c>
      <c r="C779" t="inlineStr">
        <is>
          <t>1a55986c-2c3f-40c0-b3d1-014dce77832e</t>
        </is>
      </c>
      <c r="D779" t="n">
        <v>55.97511</v>
      </c>
      <c r="E779" t="n">
        <v>37.3993</v>
      </c>
      <c r="F779" t="inlineStr"/>
      <c r="G779" t="inlineStr"/>
      <c r="H779" t="inlineStr"/>
    </row>
    <row r="780">
      <c r="A780" t="inlineStr">
        <is>
          <t>a670987a-5f41-45c2-b061-e8f92c6daa5e.jpg</t>
        </is>
      </c>
      <c r="B780">
        <f>HYPERLINK("Объекты недвижимости, не соответствующие градостроительным нормам_00-022_Август/a670987a-5f41-45c2-b061-e8f92c6daa5e.jpg","open")</f>
        <v/>
      </c>
      <c r="C780" t="inlineStr">
        <is>
          <t>31a713a9-b910-424b-b847-e0eaa2f70c70</t>
        </is>
      </c>
      <c r="D780" t="n">
        <v>55.81878</v>
      </c>
      <c r="E780" t="n">
        <v>37.51007</v>
      </c>
      <c r="F780" t="inlineStr"/>
      <c r="G780" t="inlineStr"/>
      <c r="H780" t="inlineStr"/>
    </row>
    <row r="781">
      <c r="A781" t="inlineStr">
        <is>
          <t>dbe4c6b5-5bd7-4e77-bee8-49385e40f80f.jpg</t>
        </is>
      </c>
      <c r="B781">
        <f>HYPERLINK("Объекты недвижимости, не соответствующие градостроительным нормам_00-022_Август/dbe4c6b5-5bd7-4e77-bee8-49385e40f80f.jpg","open")</f>
        <v/>
      </c>
      <c r="C781" t="inlineStr">
        <is>
          <t>1c951e11-4940-43c6-a447-394097e5609a</t>
        </is>
      </c>
      <c r="D781" t="n">
        <v>55.72395</v>
      </c>
      <c r="E781" t="n">
        <v>37.6675</v>
      </c>
      <c r="F781" t="inlineStr"/>
      <c r="G781" t="inlineStr"/>
      <c r="H781" t="inlineStr"/>
    </row>
    <row r="782">
      <c r="A782" t="inlineStr">
        <is>
          <t>61be707a-0ce7-4801-8a04-d9ec72ccbb20.jpg</t>
        </is>
      </c>
      <c r="B782">
        <f>HYPERLINK("Объекты недвижимости, не соответствующие градостроительным нормам_00-022_Август/61be707a-0ce7-4801-8a04-d9ec72ccbb20.jpg","open")</f>
        <v/>
      </c>
      <c r="C782" t="inlineStr">
        <is>
          <t>61936922-4d4b-458e-80ea-6d4c450aa1d5</t>
        </is>
      </c>
      <c r="D782" t="n">
        <v>55.65189</v>
      </c>
      <c r="E782" t="n">
        <v>37.34108</v>
      </c>
      <c r="F782" t="inlineStr"/>
      <c r="G782" t="inlineStr"/>
      <c r="H782" t="inlineStr"/>
    </row>
    <row r="783">
      <c r="A783" t="inlineStr">
        <is>
          <t>52988c8e-544b-4e98-87e2-6efe485de25f.jpg</t>
        </is>
      </c>
      <c r="B783">
        <f>HYPERLINK("Объекты недвижимости, не соответствующие градостроительным нормам_00-022_Август/52988c8e-544b-4e98-87e2-6efe485de25f.jpg","open")</f>
        <v/>
      </c>
      <c r="C783" t="inlineStr">
        <is>
          <t>29ad9edb-d533-4272-a986-be24eb004851</t>
        </is>
      </c>
      <c r="D783" t="n">
        <v>57.79195</v>
      </c>
      <c r="E783" t="n">
        <v>40.09173</v>
      </c>
      <c r="F783" t="inlineStr"/>
      <c r="G783" t="inlineStr"/>
      <c r="H783" t="inlineStr"/>
    </row>
    <row r="784">
      <c r="A784" t="inlineStr">
        <is>
          <t>a0d6fbfd-310d-4386-ade9-544c0ca98ebe.jpg</t>
        </is>
      </c>
      <c r="B784">
        <f>HYPERLINK("Объекты недвижимости, не соответствующие градостроительным нормам_00-022_Август/a0d6fbfd-310d-4386-ade9-544c0ca98ebe.jpg","open")</f>
        <v/>
      </c>
      <c r="C784" t="inlineStr">
        <is>
          <t>c008bda0-324b-4c90-9c2f-36cfc930e0b5</t>
        </is>
      </c>
      <c r="D784" t="n">
        <v>57.79195</v>
      </c>
      <c r="E784" t="n">
        <v>40.09173</v>
      </c>
      <c r="F784" t="inlineStr"/>
      <c r="G784" t="inlineStr"/>
      <c r="H784" t="inlineStr"/>
    </row>
    <row r="785">
      <c r="A785" t="inlineStr">
        <is>
          <t>d09cc3fa-9f21-420c-8276-8986dd3e84b5.jpg</t>
        </is>
      </c>
      <c r="B785">
        <f>HYPERLINK("Объекты недвижимости, не соответствующие градостроительным нормам_00-022_Август/d09cc3fa-9f21-420c-8276-8986dd3e84b5.jpg","open")</f>
        <v/>
      </c>
      <c r="C785" t="inlineStr">
        <is>
          <t>29ad9edb-d533-4272-a986-be24eb004851</t>
        </is>
      </c>
      <c r="D785" t="n">
        <v>57.79195</v>
      </c>
      <c r="E785" t="n">
        <v>40.09173</v>
      </c>
      <c r="F785" t="inlineStr"/>
      <c r="G785" t="inlineStr"/>
      <c r="H785" t="inlineStr"/>
    </row>
    <row r="786">
      <c r="A786" t="inlineStr">
        <is>
          <t>048d3ede-7dcb-41de-8da9-5e1a340dcf0d.jpg</t>
        </is>
      </c>
      <c r="B786">
        <f>HYPERLINK("Объекты недвижимости, не соответствующие градостроительным нормам_00-022_Август/048d3ede-7dcb-41de-8da9-5e1a340dcf0d.jpg","open")</f>
        <v/>
      </c>
      <c r="C786" t="inlineStr">
        <is>
          <t>1a55986c-2c3f-40c0-b3d1-014dce77832e</t>
        </is>
      </c>
      <c r="D786" t="n">
        <v>55.96441</v>
      </c>
      <c r="E786" t="n">
        <v>37.41486</v>
      </c>
      <c r="F786" t="inlineStr"/>
      <c r="G786" t="inlineStr"/>
      <c r="H786" t="inlineStr"/>
    </row>
    <row r="787">
      <c r="A787" t="inlineStr">
        <is>
          <t>bf8cb0a4-76da-495b-b69b-351d35319f97.jpg</t>
        </is>
      </c>
      <c r="B787">
        <f>HYPERLINK("Объекты недвижимости, не соответствующие градостроительным нормам_00-022_Август/bf8cb0a4-76da-495b-b69b-351d35319f97.jpg","open")</f>
        <v/>
      </c>
      <c r="C787" t="inlineStr">
        <is>
          <t>ed2bf0f1-3a66-4913-896e-4420a9796c0b</t>
        </is>
      </c>
      <c r="D787" t="n">
        <v>55.9644</v>
      </c>
      <c r="E787" t="n">
        <v>37.41463</v>
      </c>
      <c r="F787" t="inlineStr"/>
      <c r="G787" t="inlineStr"/>
      <c r="H787" t="inlineStr"/>
    </row>
    <row r="788">
      <c r="A788" t="inlineStr">
        <is>
          <t>ca94ec8d-6f83-4903-b1ff-e267e6d4ed1b.jpg</t>
        </is>
      </c>
      <c r="B788">
        <f>HYPERLINK("Объекты недвижимости, не соответствующие градостроительным нормам_00-022_Август/ca94ec8d-6f83-4903-b1ff-e267e6d4ed1b.jpg","open")</f>
        <v/>
      </c>
      <c r="C788" t="inlineStr">
        <is>
          <t>1231bbc5-e64c-4dc7-9acc-77710f47607a</t>
        </is>
      </c>
      <c r="D788" t="n">
        <v>55.6191</v>
      </c>
      <c r="E788" t="n">
        <v>37.49385</v>
      </c>
      <c r="F788" t="inlineStr"/>
      <c r="G788" t="inlineStr"/>
      <c r="H788" t="inlineStr"/>
    </row>
    <row r="789">
      <c r="A789" t="inlineStr">
        <is>
          <t>17d86f2a-78d8-4bdb-89ec-0f61b04374dc.jpg</t>
        </is>
      </c>
      <c r="B789">
        <f>HYPERLINK("Объекты недвижимости, не соответствующие градостроительным нормам_00-022_Август/17d86f2a-78d8-4bdb-89ec-0f61b04374dc.jpg","open")</f>
        <v/>
      </c>
      <c r="C789" t="inlineStr">
        <is>
          <t>61936922-4d4b-458e-80ea-6d4c450aa1d5</t>
        </is>
      </c>
      <c r="D789" t="n">
        <v>55.65287</v>
      </c>
      <c r="E789" t="n">
        <v>37.34548</v>
      </c>
      <c r="F789" t="inlineStr"/>
      <c r="G789" t="inlineStr"/>
      <c r="H789" t="inlineStr"/>
    </row>
    <row r="790">
      <c r="A790" t="inlineStr">
        <is>
          <t>beaef64a-1e79-4b44-a638-62fb3a5c1c1f.jpg</t>
        </is>
      </c>
      <c r="B790">
        <f>HYPERLINK("Объекты недвижимости, не соответствующие градостроительным нормам_00-022_Август/beaef64a-1e79-4b44-a638-62fb3a5c1c1f.jpg","open")</f>
        <v/>
      </c>
      <c r="C790" t="inlineStr">
        <is>
          <t>1231bbc5-e64c-4dc7-9acc-77710f47607a</t>
        </is>
      </c>
      <c r="D790" t="n">
        <v>55.62009</v>
      </c>
      <c r="E790" t="n">
        <v>37.49548</v>
      </c>
      <c r="F790" t="inlineStr"/>
      <c r="G790" t="inlineStr"/>
      <c r="H790" t="inlineStr"/>
    </row>
    <row r="791">
      <c r="A791" t="inlineStr">
        <is>
          <t>3e436a2e-ec60-43a1-947e-b76a1d6088f7.jpg</t>
        </is>
      </c>
      <c r="B791">
        <f>HYPERLINK("Объекты недвижимости, не соответствующие градостроительным нормам_00-022_Август/3e436a2e-ec60-43a1-947e-b76a1d6088f7.jpg","open")</f>
        <v/>
      </c>
      <c r="C791" t="inlineStr">
        <is>
          <t>685d9054-b74f-49ab-857b-109fd2cec80d</t>
        </is>
      </c>
      <c r="D791" t="n">
        <v>55.61985</v>
      </c>
      <c r="E791" t="n">
        <v>37.49541</v>
      </c>
      <c r="F791" t="inlineStr"/>
      <c r="G791" t="inlineStr"/>
      <c r="H791" t="inlineStr"/>
    </row>
    <row r="792">
      <c r="A792" t="inlineStr">
        <is>
          <t>0c3fe0ae-4738-4d21-969e-01cc62ccf07a.jpg</t>
        </is>
      </c>
      <c r="B792">
        <f>HYPERLINK("Объекты недвижимости, не соответствующие градостроительным нормам_00-022_Август/0c3fe0ae-4738-4d21-969e-01cc62ccf07a.jpg","open")</f>
        <v/>
      </c>
      <c r="C792" t="inlineStr">
        <is>
          <t>1a55986c-2c3f-40c0-b3d1-014dce77832e</t>
        </is>
      </c>
      <c r="D792" t="n">
        <v>55.96473</v>
      </c>
      <c r="E792" t="n">
        <v>37.42028</v>
      </c>
      <c r="F792" t="inlineStr"/>
      <c r="G792" t="inlineStr"/>
      <c r="H792" t="inlineStr"/>
    </row>
    <row r="793">
      <c r="A793" t="inlineStr">
        <is>
          <t>d16bdf73-4819-45a4-8a1e-837dd202c6ac.jpg</t>
        </is>
      </c>
      <c r="B793">
        <f>HYPERLINK("Объекты недвижимости, не соответствующие градостроительным нормам_00-022_Август/d16bdf73-4819-45a4-8a1e-837dd202c6ac.jpg","open")</f>
        <v/>
      </c>
      <c r="C793" t="inlineStr">
        <is>
          <t>ed2bf0f1-3a66-4913-896e-4420a9796c0b</t>
        </is>
      </c>
      <c r="D793" t="n">
        <v>55.96473</v>
      </c>
      <c r="E793" t="n">
        <v>37.42028</v>
      </c>
      <c r="F793" t="inlineStr"/>
      <c r="G793" t="inlineStr"/>
      <c r="H793" t="inlineStr"/>
    </row>
    <row r="794">
      <c r="A794" t="inlineStr">
        <is>
          <t>b3552d9e-6ca5-4120-822b-04a756d41b42.jpg</t>
        </is>
      </c>
      <c r="B794">
        <f>HYPERLINK("Объекты недвижимости, не соответствующие градостроительным нормам_00-022_Август/b3552d9e-6ca5-4120-822b-04a756d41b42.jpg","open")</f>
        <v/>
      </c>
      <c r="C794" t="inlineStr">
        <is>
          <t>789f6c51-64ee-4078-b7bd-443af8b8b68a</t>
        </is>
      </c>
      <c r="D794" t="n">
        <v>55.82051</v>
      </c>
      <c r="E794" t="n">
        <v>37.64992</v>
      </c>
      <c r="F794" t="inlineStr"/>
      <c r="G794" t="inlineStr"/>
      <c r="H794" t="inlineStr"/>
    </row>
    <row r="795">
      <c r="A795" t="inlineStr">
        <is>
          <t>d707ae88-ab66-4b91-8f48-57fa7540d7b1.jpg</t>
        </is>
      </c>
      <c r="B795">
        <f>HYPERLINK("Объекты недвижимости, не соответствующие градостроительным нормам_00-022_Август/d707ae88-ab66-4b91-8f48-57fa7540d7b1.jpg","open")</f>
        <v/>
      </c>
      <c r="C795" t="inlineStr">
        <is>
          <t>1a55986c-2c3f-40c0-b3d1-014dce77832e</t>
        </is>
      </c>
      <c r="D795" t="n">
        <v>55.97989</v>
      </c>
      <c r="E795" t="n">
        <v>37.42638</v>
      </c>
      <c r="F795" t="inlineStr"/>
      <c r="G795" t="inlineStr"/>
      <c r="H795" t="inlineStr"/>
    </row>
    <row r="796">
      <c r="A796" t="inlineStr">
        <is>
          <t>296a7b88-f81f-466b-ae77-e75e95c95bf5.jpg</t>
        </is>
      </c>
      <c r="B796">
        <f>HYPERLINK("Объекты недвижимости, не соответствующие градостроительным нормам_00-022_Август/296a7b88-f81f-466b-ae77-e75e95c95bf5.jpg","open")</f>
        <v/>
      </c>
      <c r="C796" t="inlineStr">
        <is>
          <t>ed2bf0f1-3a66-4913-896e-4420a9796c0b</t>
        </is>
      </c>
      <c r="D796" t="n">
        <v>55.97937</v>
      </c>
      <c r="E796" t="n">
        <v>37.42714</v>
      </c>
      <c r="F796" t="inlineStr"/>
      <c r="G796" t="inlineStr"/>
      <c r="H796" t="inlineStr"/>
    </row>
    <row r="797">
      <c r="A797" t="inlineStr">
        <is>
          <t>3cc9358d-f566-498e-bbe1-324c89a9cf3b.jpg</t>
        </is>
      </c>
      <c r="B797">
        <f>HYPERLINK("Объекты недвижимости, не соответствующие градостроительным нормам_00-022_Август/3cc9358d-f566-498e-bbe1-324c89a9cf3b.jpg","open")</f>
        <v/>
      </c>
      <c r="C797" t="inlineStr">
        <is>
          <t>caa4772d-6278-4484-a046-ee25514bf521</t>
        </is>
      </c>
      <c r="D797" t="n">
        <v>55.81924</v>
      </c>
      <c r="E797" t="n">
        <v>37.67112</v>
      </c>
      <c r="F797" t="inlineStr"/>
      <c r="G797" t="inlineStr"/>
      <c r="H797" t="inlineStr"/>
    </row>
    <row r="798">
      <c r="A798" t="inlineStr">
        <is>
          <t>45c581e1-8f56-4c9b-9aa9-3caf02e3bc35.jpg</t>
        </is>
      </c>
      <c r="B798">
        <f>HYPERLINK("Объекты недвижимости, не соответствующие градостроительным нормам_00-022_Август/45c581e1-8f56-4c9b-9aa9-3caf02e3bc35.jpg","open")</f>
        <v/>
      </c>
      <c r="C798" t="inlineStr">
        <is>
          <t>1a55986c-2c3f-40c0-b3d1-014dce77832e</t>
        </is>
      </c>
      <c r="D798" t="n">
        <v>55.96744</v>
      </c>
      <c r="E798" t="n">
        <v>37.42681</v>
      </c>
      <c r="F798" t="inlineStr"/>
      <c r="G798" t="inlineStr"/>
      <c r="H798" t="inlineStr"/>
    </row>
    <row r="799">
      <c r="A799" t="inlineStr">
        <is>
          <t>11635f1b-cf51-47ec-a09a-8337f655b894.jpg</t>
        </is>
      </c>
      <c r="B799">
        <f>HYPERLINK("Объекты недвижимости, не соответствующие градостроительным нормам_00-022_Август/11635f1b-cf51-47ec-a09a-8337f655b894.jpg","open")</f>
        <v/>
      </c>
      <c r="C799" t="inlineStr">
        <is>
          <t>ed2bf0f1-3a66-4913-896e-4420a9796c0b</t>
        </is>
      </c>
      <c r="D799" t="n">
        <v>55.96635</v>
      </c>
      <c r="E799" t="n">
        <v>37.42469</v>
      </c>
      <c r="F799" t="inlineStr"/>
      <c r="G799" t="inlineStr"/>
      <c r="H799" t="inlineStr"/>
    </row>
    <row r="800">
      <c r="A800" t="inlineStr">
        <is>
          <t>7be9a040-1259-440f-9d31-893c07374355.jpg</t>
        </is>
      </c>
      <c r="B800">
        <f>HYPERLINK("Объекты недвижимости, не соответствующие градостроительным нормам_00-022_Август/7be9a040-1259-440f-9d31-893c07374355.jpg","open")</f>
        <v/>
      </c>
      <c r="C800" t="inlineStr">
        <is>
          <t>b0429a31-0c70-4b9f-8ea5-73929d82f89e</t>
        </is>
      </c>
      <c r="D800" t="n">
        <v>55.6618</v>
      </c>
      <c r="E800" t="n">
        <v>37.64597</v>
      </c>
      <c r="F800" t="inlineStr"/>
      <c r="G800" t="inlineStr"/>
      <c r="H800" t="inlineStr"/>
    </row>
    <row r="801">
      <c r="A801" t="inlineStr">
        <is>
          <t>f97130cb-d0b5-4bb8-b76b-5a2525098891.jpg</t>
        </is>
      </c>
      <c r="B801">
        <f>HYPERLINK("Объекты недвижимости, не соответствующие градостроительным нормам_00-022_Август/f97130cb-d0b5-4bb8-b76b-5a2525098891.jpg","open")</f>
        <v/>
      </c>
      <c r="C801" t="inlineStr">
        <is>
          <t>caa4772d-6278-4484-a046-ee25514bf521</t>
        </is>
      </c>
      <c r="D801" t="n">
        <v>55.83042</v>
      </c>
      <c r="E801" t="n">
        <v>37.65173</v>
      </c>
      <c r="F801" t="inlineStr"/>
      <c r="G801" t="inlineStr"/>
      <c r="H801" t="inlineStr"/>
    </row>
    <row r="802">
      <c r="A802" t="inlineStr">
        <is>
          <t>0eddc0bf-946d-4c1b-90f4-c3cfa523c6f2.jpg</t>
        </is>
      </c>
      <c r="B802">
        <f>HYPERLINK("Объекты недвижимости, не соответствующие градостроительным нормам_00-022_Август/0eddc0bf-946d-4c1b-90f4-c3cfa523c6f2.jpg","open")</f>
        <v/>
      </c>
      <c r="C802" t="inlineStr">
        <is>
          <t>036c664f-5408-4fd0-b479-342c00468eeb</t>
        </is>
      </c>
      <c r="D802" t="n">
        <v>55.6378</v>
      </c>
      <c r="E802" t="n">
        <v>37.41418</v>
      </c>
      <c r="F802" t="inlineStr"/>
      <c r="G802" t="inlineStr"/>
      <c r="H802" t="inlineStr"/>
    </row>
    <row r="803">
      <c r="A803" t="inlineStr">
        <is>
          <t>b961b51e-7c0f-4345-9681-94a9ac6e289d.jpg</t>
        </is>
      </c>
      <c r="B803">
        <f>HYPERLINK("Объекты недвижимости, не соответствующие градостроительным нормам_00-022_Август/b961b51e-7c0f-4345-9681-94a9ac6e289d.jpg","open")</f>
        <v/>
      </c>
      <c r="C803" t="inlineStr">
        <is>
          <t>99f3abba-c55b-49f0-9de5-9f88e9597cc0</t>
        </is>
      </c>
      <c r="D803" t="n">
        <v>55.66298</v>
      </c>
      <c r="E803" t="n">
        <v>37.6453</v>
      </c>
      <c r="F803" t="inlineStr"/>
      <c r="G803" t="inlineStr"/>
      <c r="H803" t="inlineStr"/>
    </row>
    <row r="804">
      <c r="A804" t="inlineStr">
        <is>
          <t>eb25cf1e-24cd-421f-9008-d658b9ce1790.jpg</t>
        </is>
      </c>
      <c r="B804">
        <f>HYPERLINK("Объекты недвижимости, не соответствующие градостроительным нормам_00-022_Август/eb25cf1e-24cd-421f-9008-d658b9ce1790.jpg","open")</f>
        <v/>
      </c>
      <c r="C804" t="inlineStr">
        <is>
          <t>ed2bf0f1-3a66-4913-896e-4420a9796c0b</t>
        </is>
      </c>
      <c r="D804" t="n">
        <v>55.97798</v>
      </c>
      <c r="E804" t="n">
        <v>37.40133</v>
      </c>
      <c r="F804" t="inlineStr"/>
      <c r="G804" t="inlineStr"/>
      <c r="H804" t="inlineStr"/>
    </row>
    <row r="805">
      <c r="A805" t="inlineStr">
        <is>
          <t>e2365fe5-e10e-42fb-ac69-e28bca24cfdd.jpg</t>
        </is>
      </c>
      <c r="B805">
        <f>HYPERLINK("Объекты недвижимости, не соответствующие градостроительным нормам_00-022_Август/e2365fe5-e10e-42fb-ac69-e28bca24cfdd.jpg","open")</f>
        <v/>
      </c>
      <c r="C805" t="inlineStr">
        <is>
          <t>8996eb30-6497-4318-8a0e-b95314b8172e</t>
        </is>
      </c>
      <c r="D805" t="n">
        <v>55.6413</v>
      </c>
      <c r="E805" t="n">
        <v>37.48636</v>
      </c>
      <c r="F805" t="inlineStr"/>
      <c r="G805" t="inlineStr"/>
      <c r="H805" t="inlineStr"/>
    </row>
    <row r="806">
      <c r="A806" t="inlineStr">
        <is>
          <t>7974a1f1-6df4-4fe0-8b49-580f16aba807.jpg</t>
        </is>
      </c>
      <c r="B806">
        <f>HYPERLINK("Объекты недвижимости, не соответствующие градостроительным нормам_00-022_Август/7974a1f1-6df4-4fe0-8b49-580f16aba807.jpg","open")</f>
        <v/>
      </c>
      <c r="C806" t="inlineStr">
        <is>
          <t>8cde1fd0-eca1-4510-86ab-3c743b65fdfc</t>
        </is>
      </c>
      <c r="D806" t="n">
        <v>55.72395</v>
      </c>
      <c r="E806" t="n">
        <v>37.6675</v>
      </c>
      <c r="F806" t="inlineStr"/>
      <c r="G806" t="inlineStr"/>
      <c r="H806" t="inlineStr"/>
    </row>
    <row r="807">
      <c r="A807" t="inlineStr">
        <is>
          <t>a3f7b5a8-6a54-4279-821e-f12769c36167.jpg</t>
        </is>
      </c>
      <c r="B807">
        <f>HYPERLINK("Объекты недвижимости, не соответствующие градостроительным нормам_00-022_Август/a3f7b5a8-6a54-4279-821e-f12769c36167.jpg","open")</f>
        <v/>
      </c>
      <c r="C807" t="inlineStr">
        <is>
          <t>8cde1fd0-eca1-4510-86ab-3c743b65fdfc</t>
        </is>
      </c>
      <c r="D807" t="n">
        <v>55.72395</v>
      </c>
      <c r="E807" t="n">
        <v>37.6675</v>
      </c>
      <c r="F807" t="inlineStr"/>
      <c r="G807" t="inlineStr"/>
      <c r="H807" t="inlineStr"/>
    </row>
    <row r="808">
      <c r="A808" t="inlineStr">
        <is>
          <t>51dd6d01-6102-43b6-aad4-57003710f809.jpg</t>
        </is>
      </c>
      <c r="B808">
        <f>HYPERLINK("Объекты недвижимости, не соответствующие градостроительным нормам_00-022_Август/51dd6d01-6102-43b6-aad4-57003710f809.jpg","open")</f>
        <v/>
      </c>
      <c r="C808" t="inlineStr">
        <is>
          <t>1c951e11-4940-43c6-a447-394097e5609a</t>
        </is>
      </c>
      <c r="D808" t="n">
        <v>55.72395</v>
      </c>
      <c r="E808" t="n">
        <v>37.6675</v>
      </c>
      <c r="F808" t="inlineStr"/>
      <c r="G808" t="inlineStr"/>
      <c r="H808" t="inlineStr"/>
    </row>
    <row r="809">
      <c r="A809" t="inlineStr">
        <is>
          <t>c44f71e9-c4c3-47b5-9ad5-b63411025a34.jpg</t>
        </is>
      </c>
      <c r="B809">
        <f>HYPERLINK("Объекты недвижимости, не соответствующие градостроительным нормам_00-022_Август/c44f71e9-c4c3-47b5-9ad5-b63411025a34.jpg","open")</f>
        <v/>
      </c>
      <c r="C809" t="inlineStr">
        <is>
          <t>1231bbc5-e64c-4dc7-9acc-77710f47607a</t>
        </is>
      </c>
      <c r="D809" t="n">
        <v>55.62096</v>
      </c>
      <c r="E809" t="n">
        <v>37.49281</v>
      </c>
      <c r="F809" t="inlineStr"/>
      <c r="G809" t="inlineStr"/>
      <c r="H809" t="inlineStr"/>
    </row>
    <row r="810">
      <c r="A810" t="inlineStr">
        <is>
          <t>57454a53-ba6a-4447-ae5b-53315ba58852.jpg</t>
        </is>
      </c>
      <c r="B810">
        <f>HYPERLINK("Объекты недвижимости, не соответствующие градостроительным нормам_00-022_Август/57454a53-ba6a-4447-ae5b-53315ba58852.jpg","open")</f>
        <v/>
      </c>
      <c r="C810" t="inlineStr">
        <is>
          <t>8cde1fd0-eca1-4510-86ab-3c743b65fdfc</t>
        </is>
      </c>
      <c r="D810" t="n">
        <v>55.72395</v>
      </c>
      <c r="E810" t="n">
        <v>37.6675</v>
      </c>
      <c r="F810" t="inlineStr"/>
      <c r="G810" t="inlineStr"/>
      <c r="H810" t="inlineStr"/>
    </row>
    <row r="811">
      <c r="A811" t="inlineStr">
        <is>
          <t>b0b7b443-1e92-4b99-998b-5680d0f03d8c.jpg</t>
        </is>
      </c>
      <c r="B811">
        <f>HYPERLINK("Объекты недвижимости, не соответствующие градостроительным нормам_00-022_Август/b0b7b443-1e92-4b99-998b-5680d0f03d8c.jpg","open")</f>
        <v/>
      </c>
      <c r="C811" t="inlineStr">
        <is>
          <t>8cde1fd0-eca1-4510-86ab-3c743b65fdfc</t>
        </is>
      </c>
      <c r="D811" t="n">
        <v>55.72395</v>
      </c>
      <c r="E811" t="n">
        <v>37.6675</v>
      </c>
      <c r="F811" t="inlineStr"/>
      <c r="G811" t="inlineStr"/>
      <c r="H811" t="inlineStr"/>
    </row>
    <row r="812">
      <c r="A812" t="inlineStr">
        <is>
          <t>e5d2fa64-d6c1-4228-974d-73c507a1236e.jpg</t>
        </is>
      </c>
      <c r="B812">
        <f>HYPERLINK("Объекты недвижимости, не соответствующие градостроительным нормам_00-022_Август/e5d2fa64-d6c1-4228-974d-73c507a1236e.jpg","open")</f>
        <v/>
      </c>
      <c r="C812" t="inlineStr">
        <is>
          <t>1c951e11-4940-43c6-a447-394097e5609a</t>
        </is>
      </c>
      <c r="D812" t="n">
        <v>55.72395</v>
      </c>
      <c r="E812" t="n">
        <v>37.6675</v>
      </c>
      <c r="F812" t="inlineStr"/>
      <c r="G812" t="inlineStr"/>
      <c r="H812" t="inlineStr"/>
    </row>
    <row r="813">
      <c r="A813" t="inlineStr">
        <is>
          <t>f5751423-f913-4bd2-a591-f05798fbf311.jpg</t>
        </is>
      </c>
      <c r="B813">
        <f>HYPERLINK("Объекты недвижимости, не соответствующие градостроительным нормам_00-022_Август/f5751423-f913-4bd2-a591-f05798fbf311.jpg","open")</f>
        <v/>
      </c>
      <c r="C813" t="inlineStr">
        <is>
          <t>8cde1fd0-eca1-4510-86ab-3c743b65fdfc</t>
        </is>
      </c>
      <c r="D813" t="n">
        <v>55.72395</v>
      </c>
      <c r="E813" t="n">
        <v>37.6675</v>
      </c>
      <c r="F813" t="inlineStr"/>
      <c r="G813" t="inlineStr"/>
      <c r="H813" t="inlineStr"/>
    </row>
    <row r="814">
      <c r="A814" t="inlineStr">
        <is>
          <t>874918b1-0430-4d24-9320-73114ec59711.jpg</t>
        </is>
      </c>
      <c r="B814">
        <f>HYPERLINK("Объекты недвижимости, не соответствующие градостроительным нормам_00-022_Август/874918b1-0430-4d24-9320-73114ec59711.jpg","open")</f>
        <v/>
      </c>
      <c r="C814" t="inlineStr">
        <is>
          <t>cb4060b2-34d3-44a4-9f60-115fb1e9278e</t>
        </is>
      </c>
      <c r="D814" t="n">
        <v>55.78228</v>
      </c>
      <c r="E814" t="n">
        <v>37.67112</v>
      </c>
      <c r="F814" t="inlineStr"/>
      <c r="G814" t="inlineStr"/>
      <c r="H814" t="inlineStr"/>
    </row>
    <row r="815">
      <c r="A815" t="inlineStr">
        <is>
          <t>c8f9e1d7-7b81-40c4-b6d2-2c6f1cdf681c.jpg</t>
        </is>
      </c>
      <c r="B815">
        <f>HYPERLINK("Объекты недвижимости, не соответствующие градостроительным нормам_00-022_Август/c8f9e1d7-7b81-40c4-b6d2-2c6f1cdf681c.jpg","open")</f>
        <v/>
      </c>
      <c r="C815" t="inlineStr">
        <is>
          <t>936502dd-24a4-4256-9fdf-0d8fb72af3ed</t>
        </is>
      </c>
      <c r="D815" t="n">
        <v>55.70519</v>
      </c>
      <c r="E815" t="n">
        <v>37.62042</v>
      </c>
      <c r="F815" t="inlineStr"/>
      <c r="G815" t="inlineStr"/>
      <c r="H815" t="inlineStr"/>
    </row>
    <row r="816">
      <c r="A816" t="inlineStr">
        <is>
          <t>299c7681-6ff2-4457-b8c2-7ecedf0c2f14.jpg</t>
        </is>
      </c>
      <c r="B816">
        <f>HYPERLINK("Объекты недвижимости, не соответствующие градостроительным нормам_00-022_Август/299c7681-6ff2-4457-b8c2-7ecedf0c2f14.jpg","open")</f>
        <v/>
      </c>
      <c r="C816" t="inlineStr">
        <is>
          <t>030e8755-17c1-44eb-9530-707d0d3121cb</t>
        </is>
      </c>
      <c r="D816" t="n">
        <v>55.70519</v>
      </c>
      <c r="E816" t="n">
        <v>37.62043</v>
      </c>
      <c r="F816" t="inlineStr"/>
      <c r="G816" t="inlineStr"/>
      <c r="H816" t="inlineStr"/>
    </row>
    <row r="817">
      <c r="A817" t="inlineStr">
        <is>
          <t>87737e70-42fb-4a67-a011-79132e3e712e.jpg</t>
        </is>
      </c>
      <c r="B817">
        <f>HYPERLINK("Объекты недвижимости, не соответствующие градостроительным нормам_00-022_Август/87737e70-42fb-4a67-a011-79132e3e712e.jpg","open")</f>
        <v/>
      </c>
      <c r="C817" t="inlineStr">
        <is>
          <t>8cde1fd0-eca1-4510-86ab-3c743b65fdfc</t>
        </is>
      </c>
      <c r="D817" t="n">
        <v>55.72395</v>
      </c>
      <c r="E817" t="n">
        <v>37.6675</v>
      </c>
      <c r="F817" t="inlineStr"/>
      <c r="G817" t="inlineStr"/>
      <c r="H817" t="inlineStr"/>
    </row>
    <row r="818">
      <c r="A818" t="inlineStr">
        <is>
          <t>93f66bab-dc37-4cbd-8e4b-e88605653505.jpg</t>
        </is>
      </c>
      <c r="B818">
        <f>HYPERLINK("Объекты недвижимости, не соответствующие градостроительным нормам_00-022_Август/93f66bab-dc37-4cbd-8e4b-e88605653505.jpg","open")</f>
        <v/>
      </c>
      <c r="C818" t="inlineStr">
        <is>
          <t>8cde1fd0-eca1-4510-86ab-3c743b65fdfc</t>
        </is>
      </c>
      <c r="D818" t="n">
        <v>55.72395</v>
      </c>
      <c r="E818" t="n">
        <v>37.6675</v>
      </c>
      <c r="F818" t="inlineStr"/>
      <c r="G818" t="inlineStr"/>
      <c r="H818" t="inlineStr"/>
    </row>
    <row r="819">
      <c r="A819" t="inlineStr">
        <is>
          <t>38090763-33e4-44a6-af31-880bb0d4fb3e.jpg</t>
        </is>
      </c>
      <c r="B819">
        <f>HYPERLINK("Объекты недвижимости, не соответствующие градостроительным нормам_00-022_Август/38090763-33e4-44a6-af31-880bb0d4fb3e.jpg","open")</f>
        <v/>
      </c>
      <c r="C819" t="inlineStr">
        <is>
          <t>caa4772d-6278-4484-a046-ee25514bf521</t>
        </is>
      </c>
      <c r="D819" t="n">
        <v>55.80988</v>
      </c>
      <c r="E819" t="n">
        <v>37.63723</v>
      </c>
      <c r="F819" t="inlineStr"/>
      <c r="G819" t="inlineStr"/>
      <c r="H819" t="inlineStr"/>
    </row>
    <row r="820">
      <c r="A820" t="inlineStr">
        <is>
          <t>d9969813-e6b0-4e6b-89e4-2319eb74c04c.jpg</t>
        </is>
      </c>
      <c r="B820">
        <f>HYPERLINK("Объекты недвижимости, не соответствующие градостроительным нормам_00-022_Август/d9969813-e6b0-4e6b-89e4-2319eb74c04c.jpg","open")</f>
        <v/>
      </c>
      <c r="C820" t="inlineStr">
        <is>
          <t>8cde1fd0-eca1-4510-86ab-3c743b65fdfc</t>
        </is>
      </c>
      <c r="D820" t="n">
        <v>55.72395</v>
      </c>
      <c r="E820" t="n">
        <v>37.6675</v>
      </c>
      <c r="F820" t="inlineStr"/>
      <c r="G820" t="inlineStr"/>
      <c r="H820" t="inlineStr"/>
    </row>
    <row r="821">
      <c r="A821" t="inlineStr">
        <is>
          <t>a77b7649-737e-42a1-b5d4-bcc4890558d5.jpg</t>
        </is>
      </c>
      <c r="B821">
        <f>HYPERLINK("Объекты недвижимости, не соответствующие градостроительным нормам_00-022_Август/a77b7649-737e-42a1-b5d4-bcc4890558d5.jpg","open")</f>
        <v/>
      </c>
      <c r="C821" t="inlineStr">
        <is>
          <t>12e795ad-2aa7-49de-b2da-2c6aa35a4559</t>
        </is>
      </c>
      <c r="D821" t="n">
        <v>55.53962</v>
      </c>
      <c r="E821" t="n">
        <v>37.57643</v>
      </c>
      <c r="F821" t="inlineStr"/>
      <c r="G821" t="inlineStr"/>
      <c r="H821" t="inlineStr"/>
    </row>
    <row r="822">
      <c r="A822" t="inlineStr">
        <is>
          <t>a687012c-dd9a-4238-a861-677f53fe3313.jpg</t>
        </is>
      </c>
      <c r="B822">
        <f>HYPERLINK("Объекты недвижимости, не соответствующие градостроительным нормам_00-022_Август/a687012c-dd9a-4238-a861-677f53fe3313.jpg","open")</f>
        <v/>
      </c>
      <c r="C822" t="inlineStr">
        <is>
          <t>ad64e6b9-1ed5-44d7-a101-4945a1f9dec6</t>
        </is>
      </c>
      <c r="D822" t="n">
        <v>55.53961</v>
      </c>
      <c r="E822" t="n">
        <v>37.57647</v>
      </c>
      <c r="F822" t="inlineStr"/>
      <c r="G822" t="inlineStr"/>
      <c r="H822" t="inlineStr"/>
    </row>
    <row r="823">
      <c r="A823" t="inlineStr">
        <is>
          <t>450b8a0b-d880-47cf-8b82-3e998e42c644.jpg</t>
        </is>
      </c>
      <c r="B823">
        <f>HYPERLINK("Объекты недвижимости, не соответствующие градостроительным нормам_00-022_Август/450b8a0b-d880-47cf-8b82-3e998e42c644.jpg","open")</f>
        <v/>
      </c>
      <c r="C823" t="inlineStr">
        <is>
          <t>030e8755-17c1-44eb-9530-707d0d3121cb</t>
        </is>
      </c>
      <c r="D823" t="n">
        <v>55.69896</v>
      </c>
      <c r="E823" t="n">
        <v>37.61916</v>
      </c>
      <c r="F823" t="inlineStr"/>
      <c r="G823" t="inlineStr"/>
      <c r="H823" t="inlineStr"/>
    </row>
    <row r="824">
      <c r="A824" t="inlineStr">
        <is>
          <t>74794bc1-1b77-463f-a34c-7846759bd42a.jpg</t>
        </is>
      </c>
      <c r="B824">
        <f>HYPERLINK("Объекты недвижимости, не соответствующие градостроительным нормам_00-022_Август/74794bc1-1b77-463f-a34c-7846759bd42a.jpg","open")</f>
        <v/>
      </c>
      <c r="C824" t="inlineStr">
        <is>
          <t>ffd931da-542f-43e9-979f-5552b17fe3dc</t>
        </is>
      </c>
      <c r="D824" t="n">
        <v>55.71233</v>
      </c>
      <c r="E824" t="n">
        <v>37.86029</v>
      </c>
      <c r="F824" t="inlineStr"/>
      <c r="G824" t="inlineStr"/>
      <c r="H824" t="inlineStr"/>
    </row>
    <row r="825">
      <c r="A825" t="inlineStr">
        <is>
          <t>583a70c3-796c-4e0c-858b-2e9163856bc5.jpg</t>
        </is>
      </c>
      <c r="B825">
        <f>HYPERLINK("Объекты недвижимости, не соответствующие градостроительным нормам_00-022_Август/583a70c3-796c-4e0c-858b-2e9163856bc5.jpg","open")</f>
        <v/>
      </c>
      <c r="C825" t="inlineStr">
        <is>
          <t>1c951e11-4940-43c6-a447-394097e5609a</t>
        </is>
      </c>
      <c r="D825" t="n">
        <v>55.72395</v>
      </c>
      <c r="E825" t="n">
        <v>37.6675</v>
      </c>
      <c r="F825" t="inlineStr"/>
      <c r="G825" t="inlineStr"/>
      <c r="H825" t="inlineStr"/>
    </row>
    <row r="826">
      <c r="A826" t="inlineStr">
        <is>
          <t>f61151ca-99d0-4ac1-ba52-a10575d4d59e.jpg</t>
        </is>
      </c>
      <c r="B826">
        <f>HYPERLINK("Объекты недвижимости, не соответствующие градостроительным нормам_00-022_Август/f61151ca-99d0-4ac1-ba52-a10575d4d59e.jpg","open")</f>
        <v/>
      </c>
      <c r="C826" t="inlineStr">
        <is>
          <t>030e8755-17c1-44eb-9530-707d0d3121cb</t>
        </is>
      </c>
      <c r="D826" t="n">
        <v>55.69896</v>
      </c>
      <c r="E826" t="n">
        <v>37.61898</v>
      </c>
      <c r="F826" t="inlineStr"/>
      <c r="G826" t="inlineStr"/>
      <c r="H826" t="inlineStr"/>
    </row>
    <row r="827">
      <c r="A827" t="inlineStr">
        <is>
          <t>81f965c7-dc73-4b40-9825-cc83de2af0ca.jpg</t>
        </is>
      </c>
      <c r="B827">
        <f>HYPERLINK("Объекты недвижимости, не соответствующие градостроительным нормам_00-022_Август/81f965c7-dc73-4b40-9825-cc83de2af0ca.jpg","open")</f>
        <v/>
      </c>
      <c r="C827" t="inlineStr">
        <is>
          <t>b0429a31-0c70-4b9f-8ea5-73929d82f89e</t>
        </is>
      </c>
      <c r="D827" t="n">
        <v>55.66499</v>
      </c>
      <c r="E827" t="n">
        <v>37.65211</v>
      </c>
      <c r="F827" t="inlineStr"/>
      <c r="G827" t="inlineStr"/>
      <c r="H827" t="inlineStr"/>
    </row>
    <row r="828">
      <c r="A828" t="inlineStr">
        <is>
          <t>3725e16a-d299-4c09-b623-ba87a374603c.jpg</t>
        </is>
      </c>
      <c r="B828">
        <f>HYPERLINK("Объекты недвижимости, не соответствующие градостроительным нормам_00-022_Август/3725e16a-d299-4c09-b623-ba87a374603c.jpg","open")</f>
        <v/>
      </c>
      <c r="C828" t="inlineStr">
        <is>
          <t>1c951e11-4940-43c6-a447-394097e5609a</t>
        </is>
      </c>
      <c r="D828" t="n">
        <v>55.72395</v>
      </c>
      <c r="E828" t="n">
        <v>37.6675</v>
      </c>
      <c r="F828" t="inlineStr"/>
      <c r="G828" t="inlineStr"/>
      <c r="H828" t="inlineStr"/>
    </row>
    <row r="829">
      <c r="A829" t="inlineStr">
        <is>
          <t>801764cc-f685-4bb4-8191-d3c630c281aa.jpg</t>
        </is>
      </c>
      <c r="B829">
        <f>HYPERLINK("Объекты недвижимости, не соответствующие градостроительным нормам_00-022_Август/801764cc-f685-4bb4-8191-d3c630c281aa.jpg","open")</f>
        <v/>
      </c>
      <c r="C829" t="inlineStr">
        <is>
          <t>685d9054-b74f-49ab-857b-109fd2cec80d</t>
        </is>
      </c>
      <c r="D829" t="n">
        <v>55.61415</v>
      </c>
      <c r="E829" t="n">
        <v>37.49246</v>
      </c>
      <c r="F829" t="inlineStr"/>
      <c r="G829" t="inlineStr"/>
      <c r="H829" t="inlineStr"/>
    </row>
    <row r="830">
      <c r="A830" t="inlineStr">
        <is>
          <t>5d09a1b0-535d-4390-8b1d-820e5f0b98c0.jpg</t>
        </is>
      </c>
      <c r="B830">
        <f>HYPERLINK("Объекты недвижимости, не соответствующие градостроительным нормам_00-022_Август/5d09a1b0-535d-4390-8b1d-820e5f0b98c0.jpg","open")</f>
        <v/>
      </c>
      <c r="C830" t="inlineStr">
        <is>
          <t>ed2bf0f1-3a66-4913-896e-4420a9796c0b</t>
        </is>
      </c>
      <c r="D830" t="n">
        <v>55.9823</v>
      </c>
      <c r="E830" t="n">
        <v>37.41813</v>
      </c>
      <c r="F830" t="inlineStr"/>
      <c r="G830" t="inlineStr"/>
      <c r="H830" t="inlineStr"/>
    </row>
    <row r="831">
      <c r="A831" t="inlineStr">
        <is>
          <t>6a564e9e-58f6-4384-8a88-6a1b46e56d4f.jpg</t>
        </is>
      </c>
      <c r="B831">
        <f>HYPERLINK("Объекты недвижимости, не соответствующие градостроительным нормам_00-022_Август/6a564e9e-58f6-4384-8a88-6a1b46e56d4f.jpg","open")</f>
        <v/>
      </c>
      <c r="C831" t="inlineStr">
        <is>
          <t>57aae8a4-582b-4309-8045-c8127a9f86ae</t>
        </is>
      </c>
      <c r="D831" t="n">
        <v>55.81807</v>
      </c>
      <c r="E831" t="n">
        <v>37.69987</v>
      </c>
      <c r="F831" t="inlineStr"/>
      <c r="G831" t="inlineStr"/>
      <c r="H831" t="inlineStr"/>
    </row>
    <row r="832">
      <c r="A832" t="inlineStr">
        <is>
          <t>3537f754-2004-4d7d-8e28-7736992319fd.jpg</t>
        </is>
      </c>
      <c r="B832">
        <f>HYPERLINK("Объекты недвижимости, не соответствующие градостроительным нормам_00-022_Август/3537f754-2004-4d7d-8e28-7736992319fd.jpg","open")</f>
        <v/>
      </c>
      <c r="C832" t="inlineStr">
        <is>
          <t>1a55986c-2c3f-40c0-b3d1-014dce77832e</t>
        </is>
      </c>
      <c r="D832" t="n">
        <v>55.97464</v>
      </c>
      <c r="E832" t="n">
        <v>37.39917</v>
      </c>
      <c r="F832" t="inlineStr"/>
      <c r="G832" t="inlineStr"/>
      <c r="H832" t="inlineStr"/>
    </row>
    <row r="833">
      <c r="A833" t="inlineStr">
        <is>
          <t>d29ddad4-3561-49cc-868e-bd480bb0be88.jpg</t>
        </is>
      </c>
      <c r="B833">
        <f>HYPERLINK("Объекты недвижимости, не соответствующие градостроительным нормам_00-022_Август/d29ddad4-3561-49cc-868e-bd480bb0be88.jpg","open")</f>
        <v/>
      </c>
      <c r="C833" t="inlineStr">
        <is>
          <t>ed2bf0f1-3a66-4913-896e-4420a9796c0b</t>
        </is>
      </c>
      <c r="D833" t="n">
        <v>55.97514</v>
      </c>
      <c r="E833" t="n">
        <v>37.39931</v>
      </c>
      <c r="F833" t="inlineStr"/>
      <c r="G833" t="inlineStr"/>
      <c r="H833" t="inlineStr"/>
    </row>
    <row r="834">
      <c r="A834" t="inlineStr">
        <is>
          <t>dee96f32-e8b7-4f13-8413-8a3b6d69eb50.jpg</t>
        </is>
      </c>
      <c r="B834">
        <f>HYPERLINK("Объекты недвижимости, не соответствующие градостроительным нормам_00-022_Август/dee96f32-e8b7-4f13-8413-8a3b6d69eb50.jpg","open")</f>
        <v/>
      </c>
      <c r="C834" t="inlineStr">
        <is>
          <t>ed2bf0f1-3a66-4913-896e-4420a9796c0b</t>
        </is>
      </c>
      <c r="D834" t="n">
        <v>55.97969</v>
      </c>
      <c r="E834" t="n">
        <v>37.40335</v>
      </c>
      <c r="F834" t="inlineStr"/>
      <c r="G834" t="inlineStr"/>
      <c r="H834" t="inlineStr"/>
    </row>
    <row r="835">
      <c r="A835" t="inlineStr">
        <is>
          <t>205a2c42-1624-4085-bd15-0713a41b0281.jpg</t>
        </is>
      </c>
      <c r="B835">
        <f>HYPERLINK("Объекты недвижимости, не соответствующие градостроительным нормам_00-022_Август/205a2c42-1624-4085-bd15-0713a41b0281.jpg","open")</f>
        <v/>
      </c>
      <c r="C835" t="inlineStr">
        <is>
          <t>685d9054-b74f-49ab-857b-109fd2cec80d</t>
        </is>
      </c>
      <c r="D835" t="n">
        <v>55.61402</v>
      </c>
      <c r="E835" t="n">
        <v>37.49226</v>
      </c>
      <c r="F835" t="inlineStr"/>
      <c r="G835" t="inlineStr"/>
      <c r="H835" t="inlineStr"/>
    </row>
    <row r="836">
      <c r="A836" t="inlineStr">
        <is>
          <t>95e4eeaf-0c06-4896-9bc1-ed46201668ff.jpg</t>
        </is>
      </c>
      <c r="B836">
        <f>HYPERLINK("Объекты недвижимости, не соответствующие градостроительным нормам_00-022_Август/95e4eeaf-0c06-4896-9bc1-ed46201668ff.jpg","open")</f>
        <v/>
      </c>
      <c r="C836" t="inlineStr">
        <is>
          <t>0dd30d74-4dbc-46a8-b638-91e1431bb398</t>
        </is>
      </c>
      <c r="D836" t="n">
        <v>55.65744</v>
      </c>
      <c r="E836" t="n">
        <v>37.62411</v>
      </c>
      <c r="F836" t="inlineStr"/>
      <c r="G836" t="inlineStr"/>
      <c r="H836" t="inlineStr"/>
    </row>
    <row r="837">
      <c r="A837" t="inlineStr">
        <is>
          <t>456b68ae-3994-4c2a-a9d2-522a030aa92b.jpg</t>
        </is>
      </c>
      <c r="B837">
        <f>HYPERLINK("Объекты недвижимости, не соответствующие градостроительным нормам_00-022_Август/456b68ae-3994-4c2a-a9d2-522a030aa92b.jpg","open")</f>
        <v/>
      </c>
      <c r="C837" t="inlineStr">
        <is>
          <t>57aae8a4-582b-4309-8045-c8127a9f86ae</t>
        </is>
      </c>
      <c r="D837" t="n">
        <v>55.81801</v>
      </c>
      <c r="E837" t="n">
        <v>37.70012</v>
      </c>
      <c r="F837" t="inlineStr"/>
      <c r="G837" t="inlineStr"/>
      <c r="H837" t="inlineStr"/>
    </row>
    <row r="838">
      <c r="A838" t="inlineStr">
        <is>
          <t>ccffcbaa-25ea-467e-9ff9-79e9cf59029c.jpg</t>
        </is>
      </c>
      <c r="B838">
        <f>HYPERLINK("Объекты недвижимости, не соответствующие градостроительным нормам_00-022_Август/ccffcbaa-25ea-467e-9ff9-79e9cf59029c.jpg","open")</f>
        <v/>
      </c>
      <c r="C838" t="inlineStr">
        <is>
          <t>8cde1fd0-eca1-4510-86ab-3c743b65fdfc</t>
        </is>
      </c>
      <c r="D838" t="n">
        <v>55.72395</v>
      </c>
      <c r="E838" t="n">
        <v>37.6675</v>
      </c>
      <c r="F838" t="inlineStr"/>
      <c r="G838" t="inlineStr"/>
      <c r="H838" t="inlineStr"/>
    </row>
    <row r="839">
      <c r="A839" t="inlineStr">
        <is>
          <t>6d5fc363-ff80-45a1-8bf4-bd8a61a6814c.jpg</t>
        </is>
      </c>
      <c r="B839">
        <f>HYPERLINK("Объекты недвижимости, не соответствующие градостроительным нормам_00-022_Август/6d5fc363-ff80-45a1-8bf4-bd8a61a6814c.jpg","open")</f>
        <v/>
      </c>
      <c r="C839" t="inlineStr">
        <is>
          <t>b0429a31-0c70-4b9f-8ea5-73929d82f89e</t>
        </is>
      </c>
      <c r="D839" t="n">
        <v>55.66523</v>
      </c>
      <c r="E839" t="n">
        <v>37.64951</v>
      </c>
      <c r="F839" t="inlineStr"/>
      <c r="G839" t="inlineStr"/>
      <c r="H839" t="inlineStr"/>
    </row>
    <row r="840">
      <c r="A840" t="inlineStr">
        <is>
          <t>45e4b4eb-85f6-41db-ab01-1b68610b44c3.jpg</t>
        </is>
      </c>
      <c r="B840">
        <f>HYPERLINK("Объекты недвижимости, не соответствующие градостроительным нормам_00-022_Август/45e4b4eb-85f6-41db-ab01-1b68610b44c3.jpg","open")</f>
        <v/>
      </c>
      <c r="C840" t="inlineStr">
        <is>
          <t>8cde1fd0-eca1-4510-86ab-3c743b65fdfc</t>
        </is>
      </c>
      <c r="D840" t="n">
        <v>55.72395</v>
      </c>
      <c r="E840" t="n">
        <v>37.6675</v>
      </c>
      <c r="F840" t="inlineStr"/>
      <c r="G840" t="inlineStr"/>
      <c r="H840" t="inlineStr"/>
    </row>
    <row r="841">
      <c r="A841" t="inlineStr">
        <is>
          <t>9d809d1c-1bb9-4ac1-bebd-052bee36ad32.jpg</t>
        </is>
      </c>
      <c r="B841">
        <f>HYPERLINK("Объекты недвижимости, не соответствующие градостроительным нормам_00-022_Август/9d809d1c-1bb9-4ac1-bebd-052bee36ad32.jpg","open")</f>
        <v/>
      </c>
      <c r="C841" t="inlineStr">
        <is>
          <t>1c951e11-4940-43c6-a447-394097e5609a</t>
        </is>
      </c>
      <c r="D841" t="n">
        <v>55.72395</v>
      </c>
      <c r="E841" t="n">
        <v>37.6675</v>
      </c>
      <c r="F841" t="inlineStr"/>
      <c r="G841" t="inlineStr"/>
      <c r="H841" t="inlineStr"/>
    </row>
    <row r="842">
      <c r="A842" t="inlineStr">
        <is>
          <t>cab9b3ec-4d02-4f01-b117-7c64742390a3.jpg</t>
        </is>
      </c>
      <c r="B842">
        <f>HYPERLINK("Объекты недвижимости, не соответствующие градостроительным нормам_00-022_Август/cab9b3ec-4d02-4f01-b117-7c64742390a3.jpg","open")</f>
        <v/>
      </c>
      <c r="C842" t="inlineStr">
        <is>
          <t>8cde1fd0-eca1-4510-86ab-3c743b65fdfc</t>
        </is>
      </c>
      <c r="D842" t="n">
        <v>55.72395</v>
      </c>
      <c r="E842" t="n">
        <v>37.6675</v>
      </c>
      <c r="F842" t="inlineStr"/>
      <c r="G842" t="inlineStr"/>
      <c r="H842" t="inlineStr"/>
    </row>
    <row r="843">
      <c r="A843" t="inlineStr">
        <is>
          <t>c64f0e1a-5264-4bd9-811e-ffb8e88945fd.jpg</t>
        </is>
      </c>
      <c r="B843">
        <f>HYPERLINK("Объекты недвижимости, не соответствующие градостроительным нормам_00-022_Август/c64f0e1a-5264-4bd9-811e-ffb8e88945fd.jpg","open")</f>
        <v/>
      </c>
      <c r="C843" t="inlineStr">
        <is>
          <t>e26f5fc2-1353-4f29-85f3-87c56419161c</t>
        </is>
      </c>
      <c r="D843" t="n">
        <v>55.74779</v>
      </c>
      <c r="E843" t="n">
        <v>37.6647</v>
      </c>
      <c r="F843" t="inlineStr"/>
      <c r="G843" t="inlineStr"/>
      <c r="H843" t="inlineStr"/>
    </row>
    <row r="844">
      <c r="A844" t="inlineStr">
        <is>
          <t>00981663-ff0f-48b9-8029-2b41098ff37a.jpg</t>
        </is>
      </c>
      <c r="B844">
        <f>HYPERLINK("Объекты недвижимости, не соответствующие градостроительным нормам_00-022_Август/00981663-ff0f-48b9-8029-2b41098ff37a.jpg","open")</f>
        <v/>
      </c>
      <c r="C844" t="inlineStr">
        <is>
          <t>e26f5fc2-1353-4f29-85f3-87c56419161c</t>
        </is>
      </c>
      <c r="D844" t="n">
        <v>55.74779</v>
      </c>
      <c r="E844" t="n">
        <v>37.6647</v>
      </c>
      <c r="F844" t="inlineStr"/>
      <c r="G844" t="inlineStr"/>
      <c r="H844" t="inlineStr"/>
    </row>
    <row r="845">
      <c r="A845" t="inlineStr">
        <is>
          <t>f274d6dc-4725-46e5-8342-e37d5e2afdcc.jpg</t>
        </is>
      </c>
      <c r="B845">
        <f>HYPERLINK("Объекты недвижимости, не соответствующие градостроительным нормам_00-022_Август/f274d6dc-4725-46e5-8342-e37d5e2afdcc.jpg","open")</f>
        <v/>
      </c>
      <c r="C845" t="inlineStr">
        <is>
          <t>caa4772d-6278-4484-a046-ee25514bf521</t>
        </is>
      </c>
      <c r="D845" t="n">
        <v>55.75609</v>
      </c>
      <c r="E845" t="n">
        <v>37.68547</v>
      </c>
      <c r="F845" t="inlineStr"/>
      <c r="G845" t="inlineStr"/>
      <c r="H845" t="inlineStr"/>
    </row>
    <row r="846">
      <c r="A846" t="inlineStr">
        <is>
          <t>4bb890cb-68d9-41a5-864a-352f29e60c55.jpg</t>
        </is>
      </c>
      <c r="B846">
        <f>HYPERLINK("Объекты недвижимости, не соответствующие градостроительным нормам_00-022_Август/4bb890cb-68d9-41a5-864a-352f29e60c55.jpg","open")</f>
        <v/>
      </c>
      <c r="C846" t="inlineStr">
        <is>
          <t>31a713a9-b910-424b-b847-e0eaa2f70c70</t>
        </is>
      </c>
      <c r="D846" t="n">
        <v>55.7794</v>
      </c>
      <c r="E846" t="n">
        <v>37.64548</v>
      </c>
      <c r="F846" t="inlineStr"/>
      <c r="G846" t="inlineStr"/>
      <c r="H846" t="inlineStr"/>
    </row>
    <row r="847">
      <c r="A847" t="inlineStr">
        <is>
          <t>8641b7e1-da30-44d2-96cc-faf065dacfa2.jpg</t>
        </is>
      </c>
      <c r="B847">
        <f>HYPERLINK("Объекты недвижимости, не соответствующие градостроительным нормам_00-022_Август/8641b7e1-da30-44d2-96cc-faf065dacfa2.jpg","open")</f>
        <v/>
      </c>
      <c r="C847" t="inlineStr">
        <is>
          <t>f60286ac-55e7-4099-85bd-cc599a7a0c65</t>
        </is>
      </c>
      <c r="D847" t="n">
        <v>55.71023</v>
      </c>
      <c r="E847" t="n">
        <v>37.85693</v>
      </c>
      <c r="F847" t="inlineStr"/>
      <c r="G847" t="inlineStr"/>
      <c r="H847" t="inlineStr"/>
    </row>
    <row r="848">
      <c r="A848" t="inlineStr">
        <is>
          <t>871bfc9f-6170-438d-a2d8-764bef0f5fae.jpg</t>
        </is>
      </c>
      <c r="B848">
        <f>HYPERLINK("Объекты недвижимости, не соответствующие градостроительным нормам_00-022_Август/871bfc9f-6170-438d-a2d8-764bef0f5fae.jpg","open")</f>
        <v/>
      </c>
      <c r="C848" t="inlineStr">
        <is>
          <t>ed2bf0f1-3a66-4913-896e-4420a9796c0b</t>
        </is>
      </c>
      <c r="D848" t="n">
        <v>55.96557</v>
      </c>
      <c r="E848" t="n">
        <v>37.41351</v>
      </c>
      <c r="F848" t="inlineStr"/>
      <c r="G848" t="inlineStr"/>
      <c r="H848" t="inlineStr"/>
    </row>
    <row r="849">
      <c r="A849" t="inlineStr">
        <is>
          <t>3b000e38-4ef3-4415-a220-03e3183e5d69.jpg</t>
        </is>
      </c>
      <c r="B849">
        <f>HYPERLINK("Объекты недвижимости, не соответствующие градостроительным нормам_00-022_Август/3b000e38-4ef3-4415-a220-03e3183e5d69.jpg","open")</f>
        <v/>
      </c>
      <c r="C849" t="inlineStr">
        <is>
          <t>1a55986c-2c3f-40c0-b3d1-014dce77832e</t>
        </is>
      </c>
      <c r="D849" t="n">
        <v>55.96827</v>
      </c>
      <c r="E849" t="n">
        <v>37.40197</v>
      </c>
      <c r="F849" t="inlineStr"/>
      <c r="G849" t="inlineStr"/>
      <c r="H849" t="inlineStr"/>
    </row>
    <row r="850">
      <c r="A850" t="inlineStr">
        <is>
          <t>18bdf82c-936b-4241-86d3-623ffe9a2a56.jpg</t>
        </is>
      </c>
      <c r="B850">
        <f>HYPERLINK("Объекты недвижимости, не соответствующие градостроительным нормам_00-022_Август/18bdf82c-936b-4241-86d3-623ffe9a2a56.jpg","open")</f>
        <v/>
      </c>
      <c r="C850" t="inlineStr">
        <is>
          <t>ed2bf0f1-3a66-4913-896e-4420a9796c0b</t>
        </is>
      </c>
      <c r="D850" t="n">
        <v>55.9688</v>
      </c>
      <c r="E850" t="n">
        <v>37.40137</v>
      </c>
      <c r="F850" t="inlineStr"/>
      <c r="G850" t="inlineStr"/>
      <c r="H850" t="inlineStr"/>
    </row>
    <row r="851">
      <c r="A851" t="inlineStr">
        <is>
          <t>a49e221c-9b8b-4a75-9551-336c70e34319.jpg</t>
        </is>
      </c>
      <c r="B851">
        <f>HYPERLINK("Объекты недвижимости, не соответствующие градостроительным нормам_00-022_Август/a49e221c-9b8b-4a75-9551-336c70e34319.jpg","open")</f>
        <v/>
      </c>
      <c r="C851" t="inlineStr">
        <is>
          <t>9fb3d110-951f-48da-9d90-cfd7e1b5800d</t>
        </is>
      </c>
      <c r="D851" t="n">
        <v>55.67295</v>
      </c>
      <c r="E851" t="n">
        <v>37.46536</v>
      </c>
      <c r="F851" t="inlineStr"/>
      <c r="G851" t="inlineStr"/>
      <c r="H851" t="inlineStr"/>
    </row>
    <row r="852">
      <c r="A852" t="inlineStr">
        <is>
          <t>7e33139a-fc71-4515-b232-b88f55f50014.jpg</t>
        </is>
      </c>
      <c r="B852">
        <f>HYPERLINK("Объекты недвижимости, не соответствующие градостроительным нормам_00-022_Август/7e33139a-fc71-4515-b232-b88f55f50014.jpg","open")</f>
        <v/>
      </c>
      <c r="C852" t="inlineStr">
        <is>
          <t>61936922-4d4b-458e-80ea-6d4c450aa1d5</t>
        </is>
      </c>
      <c r="D852" t="n">
        <v>55.673</v>
      </c>
      <c r="E852" t="n">
        <v>37.46544</v>
      </c>
      <c r="F852" t="inlineStr"/>
      <c r="G852" t="inlineStr"/>
      <c r="H852" t="inlineStr"/>
    </row>
    <row r="853">
      <c r="A853" t="inlineStr">
        <is>
          <t>b971afa8-eb2f-4d5a-8997-649d564a5930.jpg</t>
        </is>
      </c>
      <c r="B853">
        <f>HYPERLINK("Объекты недвижимости, не соответствующие градостроительным нормам_00-022_Август/b971afa8-eb2f-4d5a-8997-649d564a5930.jpg","open")</f>
        <v/>
      </c>
      <c r="C853" t="inlineStr">
        <is>
          <t>1231bbc5-e64c-4dc7-9acc-77710f47607a</t>
        </is>
      </c>
      <c r="D853" t="n">
        <v>55.61915</v>
      </c>
      <c r="E853" t="n">
        <v>37.49088</v>
      </c>
      <c r="F853" t="inlineStr"/>
      <c r="G853" t="inlineStr"/>
      <c r="H853" t="inlineStr"/>
    </row>
    <row r="854">
      <c r="A854" t="inlineStr">
        <is>
          <t>f9125481-9a7d-41a4-b469-d78256552fbe.jpg</t>
        </is>
      </c>
      <c r="B854">
        <f>HYPERLINK("Объекты недвижимости, не соответствующие градостроительным нормам_00-022_Август/f9125481-9a7d-41a4-b469-d78256552fbe.jpg","open")</f>
        <v/>
      </c>
      <c r="C854" t="inlineStr">
        <is>
          <t>685d9054-b74f-49ab-857b-109fd2cec80d</t>
        </is>
      </c>
      <c r="D854" t="n">
        <v>55.61912</v>
      </c>
      <c r="E854" t="n">
        <v>37.49085</v>
      </c>
      <c r="F854" t="inlineStr"/>
      <c r="G854" t="inlineStr"/>
      <c r="H854" t="inlineStr"/>
    </row>
    <row r="855">
      <c r="A855" t="inlineStr">
        <is>
          <t>3be2d5bf-4c39-4bbc-ab9e-4959b77c8a01.jpg</t>
        </is>
      </c>
      <c r="B855">
        <f>HYPERLINK("Объекты недвижимости, не соответствующие градостроительным нормам_00-022_Август/3be2d5bf-4c39-4bbc-ab9e-4959b77c8a01.jpg","open")</f>
        <v/>
      </c>
      <c r="C855" t="inlineStr">
        <is>
          <t>1231bbc5-e64c-4dc7-9acc-77710f47607a</t>
        </is>
      </c>
      <c r="D855" t="n">
        <v>55.61921</v>
      </c>
      <c r="E855" t="n">
        <v>37.49086</v>
      </c>
      <c r="F855" t="inlineStr"/>
      <c r="G855" t="inlineStr"/>
      <c r="H855" t="inlineStr"/>
    </row>
    <row r="856">
      <c r="A856" t="inlineStr">
        <is>
          <t>5666a87e-6485-4dd9-8d90-6a6162b5417e.jpg</t>
        </is>
      </c>
      <c r="B856">
        <f>HYPERLINK("Объекты недвижимости, не соответствующие градостроительным нормам_00-022_Август/5666a87e-6485-4dd9-8d90-6a6162b5417e.jpg","open")</f>
        <v/>
      </c>
      <c r="C856" t="inlineStr">
        <is>
          <t>0dd30d74-4dbc-46a8-b638-91e1431bb398</t>
        </is>
      </c>
      <c r="D856" t="n">
        <v>55.64825</v>
      </c>
      <c r="E856" t="n">
        <v>37.62848</v>
      </c>
      <c r="F856" t="inlineStr"/>
      <c r="G856" t="inlineStr"/>
      <c r="H856" t="inlineStr"/>
    </row>
    <row r="857">
      <c r="A857" t="inlineStr">
        <is>
          <t>3dc77827-20d6-4b11-8fc5-b66fe15ec002.jpg</t>
        </is>
      </c>
      <c r="B857">
        <f>HYPERLINK("Объекты недвижимости, не соответствующие градостроительным нормам_00-022_Август/3dc77827-20d6-4b11-8fc5-b66fe15ec002.jpg","open")</f>
        <v/>
      </c>
      <c r="C857" t="inlineStr">
        <is>
          <t>685d9054-b74f-49ab-857b-109fd2cec80d</t>
        </is>
      </c>
      <c r="D857" t="n">
        <v>55.61909</v>
      </c>
      <c r="E857" t="n">
        <v>37.49083</v>
      </c>
      <c r="F857" t="inlineStr"/>
      <c r="G857" t="inlineStr"/>
      <c r="H857" t="inlineStr"/>
    </row>
    <row r="858">
      <c r="A858" t="inlineStr">
        <is>
          <t>e2dc82d5-0bf6-45d3-a6e8-1b2f56c2b23a.jpg</t>
        </is>
      </c>
      <c r="B858">
        <f>HYPERLINK("Объекты недвижимости, не соответствующие градостроительным нормам_00-022_Август/e2dc82d5-0bf6-45d3-a6e8-1b2f56c2b23a.jpg","open")</f>
        <v/>
      </c>
      <c r="C858" t="inlineStr">
        <is>
          <t>685d9054-b74f-49ab-857b-109fd2cec80d</t>
        </is>
      </c>
      <c r="D858" t="n">
        <v>55.61934</v>
      </c>
      <c r="E858" t="n">
        <v>37.49116</v>
      </c>
      <c r="F858" t="inlineStr"/>
      <c r="G858" t="inlineStr"/>
      <c r="H858" t="inlineStr"/>
    </row>
    <row r="859">
      <c r="A859" t="inlineStr">
        <is>
          <t>9c832b9a-24b1-4c53-809f-90ee43496294.jpg</t>
        </is>
      </c>
      <c r="B859">
        <f>HYPERLINK("Объекты недвижимости, не соответствующие градостроительным нормам_00-022_Август/9c832b9a-24b1-4c53-809f-90ee43496294.jpg","open")</f>
        <v/>
      </c>
      <c r="C859" t="inlineStr">
        <is>
          <t>1a55986c-2c3f-40c0-b3d1-014dce77832e</t>
        </is>
      </c>
      <c r="D859" t="n">
        <v>55.96636</v>
      </c>
      <c r="E859" t="n">
        <v>37.42493</v>
      </c>
      <c r="F859" t="inlineStr"/>
      <c r="G859" t="inlineStr"/>
      <c r="H859" t="inlineStr"/>
    </row>
    <row r="860">
      <c r="A860" t="inlineStr">
        <is>
          <t>d26c8f24-002f-42f9-978c-39dab436fca4.jpg</t>
        </is>
      </c>
      <c r="B860">
        <f>HYPERLINK("Объекты недвижимости, не соответствующие градостроительным нормам_00-022_Август/d26c8f24-002f-42f9-978c-39dab436fca4.jpg","open")</f>
        <v/>
      </c>
      <c r="C860" t="inlineStr">
        <is>
          <t>ed2bf0f1-3a66-4913-896e-4420a9796c0b</t>
        </is>
      </c>
      <c r="D860" t="n">
        <v>55.96628</v>
      </c>
      <c r="E860" t="n">
        <v>37.42474</v>
      </c>
      <c r="F860" t="inlineStr"/>
      <c r="G860" t="inlineStr"/>
      <c r="H860" t="inlineStr"/>
    </row>
    <row r="861">
      <c r="A861" t="inlineStr">
        <is>
          <t>fb057b61-c30c-4f0a-944f-fbfb55300d4c.jpg</t>
        </is>
      </c>
      <c r="B861">
        <f>HYPERLINK("Объекты недвижимости, не соответствующие градостроительным нормам_00-022_Август/fb057b61-c30c-4f0a-944f-fbfb55300d4c.jpg","open")</f>
        <v/>
      </c>
      <c r="C861" t="inlineStr">
        <is>
          <t>ed2bf0f1-3a66-4913-896e-4420a9796c0b</t>
        </is>
      </c>
      <c r="D861" t="n">
        <v>55.98221</v>
      </c>
      <c r="E861" t="n">
        <v>37.41208</v>
      </c>
      <c r="F861" t="inlineStr"/>
      <c r="G861" t="inlineStr"/>
      <c r="H861" t="inlineStr"/>
    </row>
    <row r="862">
      <c r="A862" t="inlineStr">
        <is>
          <t>5732a2cf-06cb-4864-b6d3-6326239fc762.jpg</t>
        </is>
      </c>
      <c r="B862">
        <f>HYPERLINK("Объекты недвижимости, не соответствующие градостроительным нормам_00-022_Август/5732a2cf-06cb-4864-b6d3-6326239fc762.jpg","open")</f>
        <v/>
      </c>
      <c r="C862" t="inlineStr">
        <is>
          <t>e26f5fc2-1353-4f29-85f3-87c56419161c</t>
        </is>
      </c>
      <c r="D862" t="n">
        <v>55.74867</v>
      </c>
      <c r="E862" t="n">
        <v>37.66291</v>
      </c>
      <c r="F862" t="inlineStr"/>
      <c r="G862" t="inlineStr"/>
      <c r="H862" t="inlineStr"/>
    </row>
    <row r="863">
      <c r="A863" t="inlineStr">
        <is>
          <t>b2057f51-3a0b-4a34-a247-92e90d8fb447.jpg</t>
        </is>
      </c>
      <c r="B863">
        <f>HYPERLINK("Объекты недвижимости, не соответствующие градостроительным нормам_00-022_Август/b2057f51-3a0b-4a34-a247-92e90d8fb447.jpg","open")</f>
        <v/>
      </c>
      <c r="C863" t="inlineStr">
        <is>
          <t>1231bbc5-e64c-4dc7-9acc-77710f47607a</t>
        </is>
      </c>
      <c r="D863" t="n">
        <v>55.6173</v>
      </c>
      <c r="E863" t="n">
        <v>37.49014</v>
      </c>
      <c r="F863" t="inlineStr"/>
      <c r="G863" t="inlineStr"/>
      <c r="H863" t="inlineStr"/>
    </row>
    <row r="864">
      <c r="A864" t="inlineStr">
        <is>
          <t>5783bf10-4340-4c01-b824-daa91e162ea6.jpg</t>
        </is>
      </c>
      <c r="B864">
        <f>HYPERLINK("Объекты недвижимости, не соответствующие градостроительным нормам_00-022_Август/5783bf10-4340-4c01-b824-daa91e162ea6.jpg","open")</f>
        <v/>
      </c>
      <c r="C864" t="inlineStr">
        <is>
          <t>b0429a31-0c70-4b9f-8ea5-73929d82f89e</t>
        </is>
      </c>
      <c r="D864" t="n">
        <v>55.66786</v>
      </c>
      <c r="E864" t="n">
        <v>37.64809</v>
      </c>
      <c r="F864" t="inlineStr"/>
      <c r="G864" t="inlineStr"/>
      <c r="H864" t="inlineStr"/>
    </row>
    <row r="865">
      <c r="A865" t="inlineStr">
        <is>
          <t>fc5851d5-f717-41db-ab6e-dcf0fe89d986.jpg</t>
        </is>
      </c>
      <c r="B865">
        <f>HYPERLINK("Объекты недвижимости, не соответствующие градостроительным нормам_00-022_Август/fc5851d5-f717-41db-ab6e-dcf0fe89d986.jpg","open")</f>
        <v/>
      </c>
      <c r="C865" t="inlineStr">
        <is>
          <t>fce890a6-27da-4062-a046-08262a160ee6</t>
        </is>
      </c>
      <c r="D865" t="n">
        <v>55.72334</v>
      </c>
      <c r="E865" t="n">
        <v>37.712</v>
      </c>
      <c r="F865" t="inlineStr"/>
      <c r="G865" t="inlineStr"/>
      <c r="H865" t="inlineStr"/>
    </row>
    <row r="866">
      <c r="A866" t="inlineStr">
        <is>
          <t>373fa83f-3056-421a-a3cb-fc1381f06a05.jpg</t>
        </is>
      </c>
      <c r="B866">
        <f>HYPERLINK("Объекты недвижимости, не соответствующие градостроительным нормам_00-022_Август/373fa83f-3056-421a-a3cb-fc1381f06a05.jpg","open")</f>
        <v/>
      </c>
      <c r="C866" t="inlineStr">
        <is>
          <t>1a55986c-2c3f-40c0-b3d1-014dce77832e</t>
        </is>
      </c>
      <c r="D866" t="n">
        <v>55.9646</v>
      </c>
      <c r="E866" t="n">
        <v>37.41241</v>
      </c>
      <c r="F866" t="inlineStr"/>
      <c r="G866" t="inlineStr"/>
      <c r="H866" t="inlineStr"/>
    </row>
    <row r="867">
      <c r="A867" t="inlineStr">
        <is>
          <t>1093256a-a0d2-48c0-9a3e-8f76f6fa0b19.jpg</t>
        </is>
      </c>
      <c r="B867">
        <f>HYPERLINK("Объекты недвижимости, не соответствующие градостроительным нормам_00-022_Август/1093256a-a0d2-48c0-9a3e-8f76f6fa0b19.jpg","open")</f>
        <v/>
      </c>
      <c r="C867" t="inlineStr">
        <is>
          <t>ed2bf0f1-3a66-4913-896e-4420a9796c0b</t>
        </is>
      </c>
      <c r="D867" t="n">
        <v>55.96502</v>
      </c>
      <c r="E867" t="n">
        <v>37.40958</v>
      </c>
      <c r="F867" t="inlineStr"/>
      <c r="G867" t="inlineStr"/>
      <c r="H867" t="inlineStr"/>
    </row>
    <row r="868">
      <c r="A868" t="inlineStr">
        <is>
          <t>051a8d61-d16a-476b-9783-c8d160dcb960.jpg</t>
        </is>
      </c>
      <c r="B868">
        <f>HYPERLINK("Объекты недвижимости, не соответствующие градостроительным нормам_00-022_Август/051a8d61-d16a-476b-9783-c8d160dcb960.jpg","open")</f>
        <v/>
      </c>
      <c r="C868" t="inlineStr">
        <is>
          <t>93848fc8-17e7-4748-9ebc-c7e379e11d2f</t>
        </is>
      </c>
      <c r="D868" t="n">
        <v>55.65742</v>
      </c>
      <c r="E868" t="n">
        <v>37.62405</v>
      </c>
      <c r="F868" t="inlineStr"/>
      <c r="G868" t="inlineStr"/>
      <c r="H868" t="inlineStr"/>
    </row>
    <row r="869">
      <c r="A869" t="inlineStr">
        <is>
          <t>0bfc5710-9b5e-43b1-8b91-dcba61df3a78.jpg</t>
        </is>
      </c>
      <c r="B869">
        <f>HYPERLINK("Объекты недвижимости, не соответствующие градостроительным нормам_00-022_Август/0bfc5710-9b5e-43b1-8b91-dcba61df3a78.jpg","open")</f>
        <v/>
      </c>
      <c r="C869" t="inlineStr">
        <is>
          <t>57aae8a4-582b-4309-8045-c8127a9f86ae</t>
        </is>
      </c>
      <c r="D869" t="n">
        <v>55.81095</v>
      </c>
      <c r="E869" t="n">
        <v>37.70534</v>
      </c>
      <c r="F869" t="inlineStr"/>
      <c r="G869" t="inlineStr"/>
      <c r="H869" t="inlineStr"/>
    </row>
    <row r="870">
      <c r="A870" t="inlineStr">
        <is>
          <t>3d978b80-ba14-4b05-91f4-2a87ce7b4f4f.jpg</t>
        </is>
      </c>
      <c r="B870">
        <f>HYPERLINK("Объекты недвижимости, не соответствующие градостроительным нормам_00-022_Август/3d978b80-ba14-4b05-91f4-2a87ce7b4f4f.jpg","open")</f>
        <v/>
      </c>
      <c r="C870" t="inlineStr">
        <is>
          <t>0dd30d74-4dbc-46a8-b638-91e1431bb398</t>
        </is>
      </c>
      <c r="D870" t="n">
        <v>55.64809</v>
      </c>
      <c r="E870" t="n">
        <v>37.62821</v>
      </c>
      <c r="F870" t="inlineStr"/>
      <c r="G870" t="inlineStr"/>
      <c r="H870" t="inlineStr"/>
    </row>
    <row r="871">
      <c r="A871" t="inlineStr">
        <is>
          <t>0e5f28d1-a174-4fde-9213-4bef09a533ca.jpg</t>
        </is>
      </c>
      <c r="B871">
        <f>HYPERLINK("Объекты недвижимости, не соответствующие градостроительным нормам_00-022_Август/0e5f28d1-a174-4fde-9213-4bef09a533ca.jpg","open")</f>
        <v/>
      </c>
      <c r="C871" t="inlineStr">
        <is>
          <t>55da50d9-6d31-4c29-a85b-6a228578c6de</t>
        </is>
      </c>
      <c r="D871" t="n">
        <v>55.69542</v>
      </c>
      <c r="E871" t="n">
        <v>37.6665</v>
      </c>
      <c r="F871" t="inlineStr"/>
      <c r="G871" t="inlineStr"/>
      <c r="H871" t="inlineStr"/>
    </row>
    <row r="872">
      <c r="A872" t="inlineStr">
        <is>
          <t>4f4197fa-51ee-4e4f-ac69-62f9768a69af.jpg</t>
        </is>
      </c>
      <c r="B872">
        <f>HYPERLINK("Объекты недвижимости, не соответствующие градостроительным нормам_00-022_Август/4f4197fa-51ee-4e4f-ac69-62f9768a69af.jpg","open")</f>
        <v/>
      </c>
      <c r="C872" t="inlineStr">
        <is>
          <t>55da50d9-6d31-4c29-a85b-6a228578c6de</t>
        </is>
      </c>
      <c r="D872" t="n">
        <v>55.69542</v>
      </c>
      <c r="E872" t="n">
        <v>37.6665</v>
      </c>
      <c r="F872" t="inlineStr"/>
      <c r="G872" t="inlineStr"/>
      <c r="H872" t="inlineStr"/>
    </row>
    <row r="873">
      <c r="A873" t="inlineStr">
        <is>
          <t>d2444293-7dae-4855-b7fc-07c2593263f2.jpg</t>
        </is>
      </c>
      <c r="B873">
        <f>HYPERLINK("Объекты недвижимости, не соответствующие градостроительным нормам_00-022_Август/d2444293-7dae-4855-b7fc-07c2593263f2.jpg","open")</f>
        <v/>
      </c>
      <c r="C873" t="inlineStr">
        <is>
          <t>f389b777-2837-46f0-983f-56af24850601</t>
        </is>
      </c>
      <c r="D873" t="n">
        <v>55.74117</v>
      </c>
      <c r="E873" t="n">
        <v>37.31363</v>
      </c>
      <c r="F873" t="inlineStr"/>
      <c r="G873" t="inlineStr"/>
      <c r="H873" t="inlineStr"/>
    </row>
    <row r="874">
      <c r="A874" t="inlineStr">
        <is>
          <t>513f4232-b76d-466e-bb60-efc54036a249.jpg</t>
        </is>
      </c>
      <c r="B874">
        <f>HYPERLINK("Объекты недвижимости, не соответствующие градостроительным нормам_00-022_Август/513f4232-b76d-466e-bb60-efc54036a249.jpg","open")</f>
        <v/>
      </c>
      <c r="C874" t="inlineStr">
        <is>
          <t>e85aff3b-73e8-4856-827e-477ccc0aea77</t>
        </is>
      </c>
      <c r="D874" t="n">
        <v>55.8348</v>
      </c>
      <c r="E874" t="n">
        <v>37.6455</v>
      </c>
      <c r="F874" t="inlineStr"/>
      <c r="G874" t="inlineStr"/>
      <c r="H874" t="inlineStr"/>
    </row>
    <row r="875">
      <c r="A875" t="inlineStr">
        <is>
          <t>501ca642-8264-47fb-9d26-b8b23a2c749f.jpg</t>
        </is>
      </c>
      <c r="B875">
        <f>HYPERLINK("Объекты недвижимости, не соответствующие градостроительным нормам_00-022_Август/501ca642-8264-47fb-9d26-b8b23a2c749f.jpg","open")</f>
        <v/>
      </c>
      <c r="C875" t="inlineStr">
        <is>
          <t>57812597-37e6-414c-8b11-8c661dbfeb70</t>
        </is>
      </c>
      <c r="D875" t="n">
        <v>55.74117</v>
      </c>
      <c r="E875" t="n">
        <v>37.31363</v>
      </c>
      <c r="F875" t="inlineStr"/>
      <c r="G875" t="inlineStr"/>
      <c r="H875" t="inlineStr"/>
    </row>
    <row r="876">
      <c r="A876" t="inlineStr">
        <is>
          <t>f43d0a2e-78d4-4b03-8b44-4fcd23fca5a3.jpg</t>
        </is>
      </c>
      <c r="B876">
        <f>HYPERLINK("Объекты недвижимости, не соответствующие градостроительным нормам_00-022_Август/f43d0a2e-78d4-4b03-8b44-4fcd23fca5a3.jpg","open")</f>
        <v/>
      </c>
      <c r="C876" t="inlineStr">
        <is>
          <t>685d9054-b74f-49ab-857b-109fd2cec80d</t>
        </is>
      </c>
      <c r="D876" t="n">
        <v>55.61983</v>
      </c>
      <c r="E876" t="n">
        <v>37.48704</v>
      </c>
      <c r="F876" t="inlineStr"/>
      <c r="G876" t="inlineStr"/>
      <c r="H876" t="inlineStr"/>
    </row>
    <row r="877">
      <c r="A877" t="inlineStr">
        <is>
          <t>68db5633-1aad-4fc1-a798-bd7273ad02c0.jpg</t>
        </is>
      </c>
      <c r="B877">
        <f>HYPERLINK("Объекты недвижимости, не соответствующие градостроительным нормам_00-022_Август/68db5633-1aad-4fc1-a798-bd7273ad02c0.jpg","open")</f>
        <v/>
      </c>
      <c r="C877" t="inlineStr">
        <is>
          <t>e26f5fc2-1353-4f29-85f3-87c56419161c</t>
        </is>
      </c>
      <c r="D877" t="n">
        <v>55.74867</v>
      </c>
      <c r="E877" t="n">
        <v>37.66291</v>
      </c>
      <c r="F877" t="inlineStr"/>
      <c r="G877" t="inlineStr"/>
      <c r="H877" t="inlineStr"/>
    </row>
    <row r="878">
      <c r="A878" t="inlineStr">
        <is>
          <t>dbab4a76-6248-4d4f-919d-6893872079c3.jpg</t>
        </is>
      </c>
      <c r="B878">
        <f>HYPERLINK("Объекты недвижимости, не соответствующие градостроительным нормам_00-022_Август/dbab4a76-6248-4d4f-919d-6893872079c3.jpg","open")</f>
        <v/>
      </c>
      <c r="C878" t="inlineStr">
        <is>
          <t>789f6c51-64ee-4078-b7bd-443af8b8b68a</t>
        </is>
      </c>
      <c r="D878" t="n">
        <v>55.82086</v>
      </c>
      <c r="E878" t="n">
        <v>37.66735</v>
      </c>
      <c r="F878" t="inlineStr"/>
      <c r="G878" t="inlineStr"/>
      <c r="H878" t="inlineStr"/>
    </row>
    <row r="879">
      <c r="A879" t="inlineStr">
        <is>
          <t>676c1e4c-8bfd-4ea9-bb98-9d9f9c2d324f.jpg</t>
        </is>
      </c>
      <c r="B879">
        <f>HYPERLINK("Объекты недвижимости, не соответствующие градостроительным нормам_00-022_Август/676c1e4c-8bfd-4ea9-bb98-9d9f9c2d324f.jpg","open")</f>
        <v/>
      </c>
      <c r="C879" t="inlineStr">
        <is>
          <t>4cd87d14-7440-44b7-a5b2-a738e10006f7</t>
        </is>
      </c>
      <c r="D879" t="n">
        <v>55.74867</v>
      </c>
      <c r="E879" t="n">
        <v>37.66291</v>
      </c>
      <c r="F879" t="inlineStr"/>
      <c r="G879" t="inlineStr"/>
      <c r="H879" t="inlineStr"/>
    </row>
    <row r="880">
      <c r="A880" t="inlineStr">
        <is>
          <t>04a25f09-ce3a-40fa-9bbd-586afe36a746.jpg</t>
        </is>
      </c>
      <c r="B880">
        <f>HYPERLINK("Объекты недвижимости, не соответствующие градостроительным нормам_00-022_Август/04a25f09-ce3a-40fa-9bbd-586afe36a746.jpg","open")</f>
        <v/>
      </c>
      <c r="C880" t="inlineStr">
        <is>
          <t>1a55986c-2c3f-40c0-b3d1-014dce77832e</t>
        </is>
      </c>
      <c r="D880" t="n">
        <v>55.96967</v>
      </c>
      <c r="E880" t="n">
        <v>37.40033</v>
      </c>
      <c r="F880" t="inlineStr"/>
      <c r="G880" t="inlineStr"/>
      <c r="H880" t="inlineStr"/>
    </row>
    <row r="881">
      <c r="A881" t="inlineStr">
        <is>
          <t>a0aa8f9b-2211-4c19-9f98-b37775d0761b.jpg</t>
        </is>
      </c>
      <c r="B881">
        <f>HYPERLINK("Объекты недвижимости, не соответствующие градостроительным нормам_00-022_Август/a0aa8f9b-2211-4c19-9f98-b37775d0761b.jpg","open")</f>
        <v/>
      </c>
      <c r="C881" t="inlineStr">
        <is>
          <t>ed2bf0f1-3a66-4913-896e-4420a9796c0b</t>
        </is>
      </c>
      <c r="D881" t="n">
        <v>55.96978</v>
      </c>
      <c r="E881" t="n">
        <v>37.40025</v>
      </c>
      <c r="F881" t="inlineStr"/>
      <c r="G881" t="inlineStr"/>
      <c r="H881" t="inlineStr"/>
    </row>
    <row r="882">
      <c r="A882" t="inlineStr">
        <is>
          <t>a1223476-2848-4600-8884-6016a0739df2.jpg</t>
        </is>
      </c>
      <c r="B882">
        <f>HYPERLINK("Объекты недвижимости, не соответствующие градостроительным нормам_00-022_Август/a1223476-2848-4600-8884-6016a0739df2.jpg","open")</f>
        <v/>
      </c>
      <c r="C882" t="inlineStr">
        <is>
          <t>acedacc2-0d8b-4fc1-9622-25621a89d071</t>
        </is>
      </c>
      <c r="D882" t="n">
        <v>55.81443</v>
      </c>
      <c r="E882" t="n">
        <v>37.69728</v>
      </c>
      <c r="F882" t="inlineStr"/>
      <c r="G882" t="inlineStr"/>
      <c r="H882" t="inlineStr"/>
    </row>
    <row r="883">
      <c r="A883" t="inlineStr">
        <is>
          <t>ee358861-692a-4464-818b-963b38c3b764.jpg</t>
        </is>
      </c>
      <c r="B883">
        <f>HYPERLINK("Объекты недвижимости, не соответствующие градостроительным нормам_00-022_Август/ee358861-692a-4464-818b-963b38c3b764.jpg","open")</f>
        <v/>
      </c>
      <c r="C883" t="inlineStr">
        <is>
          <t>ed2bf0f1-3a66-4913-896e-4420a9796c0b</t>
        </is>
      </c>
      <c r="D883" t="n">
        <v>55.76799</v>
      </c>
      <c r="E883" t="n">
        <v>37.52292</v>
      </c>
      <c r="F883" t="inlineStr"/>
      <c r="G883" t="inlineStr"/>
      <c r="H883" t="inlineStr"/>
    </row>
    <row r="884">
      <c r="A884" t="inlineStr">
        <is>
          <t>e7d89341-7c6d-41a6-98bf-0531ae3b9ffc.jpg</t>
        </is>
      </c>
      <c r="B884">
        <f>HYPERLINK("Объекты недвижимости, не соответствующие градостроительным нормам_00-022_Август/e7d89341-7c6d-41a6-98bf-0531ae3b9ffc.jpg","open")</f>
        <v/>
      </c>
      <c r="C884" t="inlineStr">
        <is>
          <t>ed2bf0f1-3a66-4913-896e-4420a9796c0b</t>
        </is>
      </c>
      <c r="D884" t="n">
        <v>55.76849</v>
      </c>
      <c r="E884" t="n">
        <v>37.52076</v>
      </c>
      <c r="F884" t="inlineStr"/>
      <c r="G884" t="inlineStr"/>
      <c r="H884" t="inlineStr"/>
    </row>
    <row r="885">
      <c r="A885" t="inlineStr">
        <is>
          <t>77b5008d-11d1-4c0e-b15d-1f59b3270b2e.jpg</t>
        </is>
      </c>
      <c r="B885">
        <f>HYPERLINK("Объекты недвижимости, не соответствующие градостроительным нормам_00-022_Август/77b5008d-11d1-4c0e-b15d-1f59b3270b2e.jpg","open")</f>
        <v/>
      </c>
      <c r="C885" t="inlineStr">
        <is>
          <t>750bf7e4-0f0f-4f1a-96af-607dc8c1f1c9</t>
        </is>
      </c>
      <c r="D885" t="n">
        <v>56.18188</v>
      </c>
      <c r="E885" t="n">
        <v>37.42608</v>
      </c>
      <c r="F885" t="inlineStr"/>
      <c r="G885" t="inlineStr"/>
      <c r="H885" t="inlineStr"/>
    </row>
    <row r="886">
      <c r="A886" t="inlineStr">
        <is>
          <t>f2d6a53c-caf7-49a9-87fa-60f194cac1af.jpg</t>
        </is>
      </c>
      <c r="B886">
        <f>HYPERLINK("Объекты недвижимости, не соответствующие градостроительным нормам_00-022_Август/f2d6a53c-caf7-49a9-87fa-60f194cac1af.jpg","open")</f>
        <v/>
      </c>
      <c r="C886" t="inlineStr">
        <is>
          <t>1231bbc5-e64c-4dc7-9acc-77710f47607a</t>
        </is>
      </c>
      <c r="D886" t="n">
        <v>55.62047</v>
      </c>
      <c r="E886" t="n">
        <v>37.48965</v>
      </c>
      <c r="F886" t="inlineStr"/>
      <c r="G886" t="inlineStr"/>
      <c r="H886" t="inlineStr"/>
    </row>
    <row r="887">
      <c r="A887" t="inlineStr">
        <is>
          <t>96a65840-b880-4fd6-963e-6d8001c88e51.jpg</t>
        </is>
      </c>
      <c r="B887">
        <f>HYPERLINK("Объекты недвижимости, не соответствующие градостроительным нормам_00-022_Август/96a65840-b880-4fd6-963e-6d8001c88e51.jpg","open")</f>
        <v/>
      </c>
      <c r="C887" t="inlineStr">
        <is>
          <t>685d9054-b74f-49ab-857b-109fd2cec80d</t>
        </is>
      </c>
      <c r="D887" t="n">
        <v>55.62049</v>
      </c>
      <c r="E887" t="n">
        <v>37.48967</v>
      </c>
      <c r="F887" t="inlineStr"/>
      <c r="G887" t="inlineStr"/>
      <c r="H887" t="inlineStr"/>
    </row>
    <row r="888">
      <c r="A888" t="inlineStr">
        <is>
          <t>602aca23-25b1-4a0c-8530-75479ea7c9ff.jpg</t>
        </is>
      </c>
      <c r="B888">
        <f>HYPERLINK("Объекты недвижимости, не соответствующие градостроительным нормам_00-022_Август/602aca23-25b1-4a0c-8530-75479ea7c9ff.jpg","open")</f>
        <v/>
      </c>
      <c r="C888" t="inlineStr">
        <is>
          <t>1a55986c-2c3f-40c0-b3d1-014dce77832e</t>
        </is>
      </c>
      <c r="D888" t="n">
        <v>55.77509</v>
      </c>
      <c r="E888" t="n">
        <v>37.47858</v>
      </c>
      <c r="F888" t="inlineStr"/>
      <c r="G888" t="inlineStr"/>
      <c r="H888" t="inlineStr"/>
    </row>
    <row r="889">
      <c r="A889" t="inlineStr">
        <is>
          <t>b7e16b16-f54c-4089-b225-cdbd99acc4fc.jpg</t>
        </is>
      </c>
      <c r="B889">
        <f>HYPERLINK("Объекты недвижимости, не соответствующие градостроительным нормам_00-022_Август/b7e16b16-f54c-4089-b225-cdbd99acc4fc.jpg","open")</f>
        <v/>
      </c>
      <c r="C889" t="inlineStr">
        <is>
          <t>b0429a31-0c70-4b9f-8ea5-73929d82f89e</t>
        </is>
      </c>
      <c r="D889" t="n">
        <v>55.66872</v>
      </c>
      <c r="E889" t="n">
        <v>37.65763</v>
      </c>
      <c r="F889" t="inlineStr"/>
      <c r="G889" t="inlineStr"/>
      <c r="H889" t="inlineStr"/>
    </row>
    <row r="890">
      <c r="A890" t="inlineStr">
        <is>
          <t>69b0b853-1c76-40ea-9b8d-4c9145ae0e6e.jpg</t>
        </is>
      </c>
      <c r="B890">
        <f>HYPERLINK("Объекты недвижимости, не соответствующие градостроительным нормам_00-022_Август/69b0b853-1c76-40ea-9b8d-4c9145ae0e6e.jpg","open")</f>
        <v/>
      </c>
      <c r="C890" t="inlineStr">
        <is>
          <t>99f3abba-c55b-49f0-9de5-9f88e9597cc0</t>
        </is>
      </c>
      <c r="D890" t="n">
        <v>55.66885</v>
      </c>
      <c r="E890" t="n">
        <v>37.65728</v>
      </c>
      <c r="F890" t="inlineStr"/>
      <c r="G890" t="inlineStr"/>
      <c r="H890" t="inlineStr"/>
    </row>
    <row r="891">
      <c r="A891" t="inlineStr">
        <is>
          <t>34023ac8-0a73-4e94-9e88-ce8c51e9a8c7.jpg</t>
        </is>
      </c>
      <c r="B891">
        <f>HYPERLINK("Объекты недвижимости, не соответствующие градостроительным нормам_00-022_Август/34023ac8-0a73-4e94-9e88-ce8c51e9a8c7.jpg","open")</f>
        <v/>
      </c>
      <c r="C891" t="inlineStr">
        <is>
          <t>b0429a31-0c70-4b9f-8ea5-73929d82f89e</t>
        </is>
      </c>
      <c r="D891" t="n">
        <v>55.66885</v>
      </c>
      <c r="E891" t="n">
        <v>37.65755</v>
      </c>
      <c r="F891" t="inlineStr"/>
      <c r="G891" t="inlineStr"/>
      <c r="H891" t="inlineStr"/>
    </row>
    <row r="892">
      <c r="A892" t="inlineStr">
        <is>
          <t>9b09a313-3915-4553-9582-90384e397d3b.jpg</t>
        </is>
      </c>
      <c r="B892">
        <f>HYPERLINK("Объекты недвижимости, не соответствующие градостроительным нормам_00-022_Август/9b09a313-3915-4553-9582-90384e397d3b.jpg","open")</f>
        <v/>
      </c>
      <c r="C892" t="inlineStr">
        <is>
          <t>1a55986c-2c3f-40c0-b3d1-014dce77832e</t>
        </is>
      </c>
      <c r="D892" t="n">
        <v>55.77507</v>
      </c>
      <c r="E892" t="n">
        <v>37.47937</v>
      </c>
      <c r="F892" t="inlineStr"/>
      <c r="G892" t="inlineStr"/>
      <c r="H892" t="inlineStr"/>
    </row>
    <row r="893">
      <c r="A893" t="inlineStr">
        <is>
          <t>3f76c901-e53f-43aa-bcc3-2fcef47f2279.jpg</t>
        </is>
      </c>
      <c r="B893">
        <f>HYPERLINK("Объекты недвижимости, не соответствующие градостроительным нормам_00-022_Август/3f76c901-e53f-43aa-bcc3-2fcef47f2279.jpg","open")</f>
        <v/>
      </c>
      <c r="C893" t="inlineStr">
        <is>
          <t>ed2bf0f1-3a66-4913-896e-4420a9796c0b</t>
        </is>
      </c>
      <c r="D893" t="n">
        <v>55.77513</v>
      </c>
      <c r="E893" t="n">
        <v>37.47939</v>
      </c>
      <c r="F893" t="inlineStr"/>
      <c r="G893" t="inlineStr"/>
      <c r="H893" t="inlineStr"/>
    </row>
    <row r="894">
      <c r="A894" t="inlineStr">
        <is>
          <t>de43592f-4903-4264-866f-c74ee25d7ee5.jpg</t>
        </is>
      </c>
      <c r="B894">
        <f>HYPERLINK("Объекты недвижимости, не соответствующие градостроительным нормам_00-022_Август/de43592f-4903-4264-866f-c74ee25d7ee5.jpg","open")</f>
        <v/>
      </c>
      <c r="C894" t="inlineStr">
        <is>
          <t>936502dd-24a4-4256-9fdf-0d8fb72af3ed</t>
        </is>
      </c>
      <c r="D894" t="n">
        <v>55.71785</v>
      </c>
      <c r="E894" t="n">
        <v>37.95685</v>
      </c>
      <c r="F894" t="inlineStr"/>
      <c r="G894" t="inlineStr"/>
      <c r="H894" t="inlineStr"/>
    </row>
    <row r="895">
      <c r="A895" t="inlineStr">
        <is>
          <t>c9b16ba8-5458-470b-a7ab-1686ada260b9.jpg</t>
        </is>
      </c>
      <c r="B895">
        <f>HYPERLINK("Объекты недвижимости, не соответствующие градостроительным нормам_00-022_Август/c9b16ba8-5458-470b-a7ab-1686ada260b9.jpg","open")</f>
        <v/>
      </c>
      <c r="C895" t="inlineStr">
        <is>
          <t>93848fc8-17e7-4748-9ebc-c7e379e11d2f</t>
        </is>
      </c>
      <c r="D895" t="n">
        <v>55.64412</v>
      </c>
      <c r="E895" t="n">
        <v>37.62971</v>
      </c>
      <c r="F895" t="inlineStr"/>
      <c r="G895" t="inlineStr"/>
      <c r="H895" t="inlineStr"/>
    </row>
    <row r="896">
      <c r="A896" t="inlineStr">
        <is>
          <t>93b13414-6a19-4297-a11b-866fd927ef1c.jpg</t>
        </is>
      </c>
      <c r="B896">
        <f>HYPERLINK("Объекты недвижимости, не соответствующие градостроительным нормам_00-022_Август/93b13414-6a19-4297-a11b-866fd927ef1c.jpg","open")</f>
        <v/>
      </c>
      <c r="C896" t="inlineStr">
        <is>
          <t>1231bbc5-e64c-4dc7-9acc-77710f47607a</t>
        </is>
      </c>
      <c r="D896" t="n">
        <v>55.62368</v>
      </c>
      <c r="E896" t="n">
        <v>37.48505</v>
      </c>
      <c r="F896" t="inlineStr"/>
      <c r="G896" t="inlineStr"/>
      <c r="H896" t="inlineStr"/>
    </row>
    <row r="897">
      <c r="A897" t="inlineStr">
        <is>
          <t>507b1c15-e362-4982-9ddd-b125d35e9c9c.jpg</t>
        </is>
      </c>
      <c r="B897">
        <f>HYPERLINK("Объекты недвижимости, не соответствующие градостроительным нормам_00-022_Август/507b1c15-e362-4982-9ddd-b125d35e9c9c.jpg","open")</f>
        <v/>
      </c>
      <c r="C897" t="inlineStr">
        <is>
          <t>685d9054-b74f-49ab-857b-109fd2cec80d</t>
        </is>
      </c>
      <c r="D897" t="n">
        <v>55.62469</v>
      </c>
      <c r="E897" t="n">
        <v>37.48458</v>
      </c>
      <c r="F897" t="inlineStr"/>
      <c r="G897" t="inlineStr"/>
      <c r="H897" t="inlineStr"/>
    </row>
    <row r="898">
      <c r="A898" t="inlineStr">
        <is>
          <t>c7c87bf4-b590-4e4c-973c-711f6f25a64c.jpg</t>
        </is>
      </c>
      <c r="B898">
        <f>HYPERLINK("Объекты недвижимости, не соответствующие градостроительным нормам_00-022_Август/c7c87bf4-b590-4e4c-973c-711f6f25a64c.jpg","open")</f>
        <v/>
      </c>
      <c r="C898" t="inlineStr">
        <is>
          <t>1c951e11-4940-43c6-a447-394097e5609a</t>
        </is>
      </c>
      <c r="D898" t="n">
        <v>55.70763</v>
      </c>
      <c r="E898" t="n">
        <v>37.66631</v>
      </c>
      <c r="F898" t="inlineStr"/>
      <c r="G898" t="inlineStr"/>
      <c r="H898" t="inlineStr"/>
    </row>
    <row r="899">
      <c r="A899" t="inlineStr">
        <is>
          <t>64085f9d-c4d9-4026-a2cc-83934b70109a.jpg</t>
        </is>
      </c>
      <c r="B899">
        <f>HYPERLINK("Объекты недвижимости, не соответствующие градостроительным нормам_00-022_Август/64085f9d-c4d9-4026-a2cc-83934b70109a.jpg","open")</f>
        <v/>
      </c>
      <c r="C899" t="inlineStr">
        <is>
          <t>99f3abba-c55b-49f0-9de5-9f88e9597cc0</t>
        </is>
      </c>
      <c r="D899" t="n">
        <v>55.67274</v>
      </c>
      <c r="E899" t="n">
        <v>37.66055</v>
      </c>
      <c r="F899" t="inlineStr"/>
      <c r="G899" t="inlineStr"/>
      <c r="H899" t="inlineStr"/>
    </row>
    <row r="900">
      <c r="A900" t="inlineStr">
        <is>
          <t>5a96002d-5605-4d52-b786-58952c9df0a6.jpg</t>
        </is>
      </c>
      <c r="B900">
        <f>HYPERLINK("Объекты недвижимости, не соответствующие градостроительным нормам_00-022_Август/5a96002d-5605-4d52-b786-58952c9df0a6.jpg","open")</f>
        <v/>
      </c>
      <c r="C900" t="inlineStr">
        <is>
          <t>e90a3ac0-5b70-4ede-abeb-382371713306</t>
        </is>
      </c>
      <c r="D900" t="n">
        <v>55.72255</v>
      </c>
      <c r="E900" t="n">
        <v>37.44598</v>
      </c>
      <c r="F900" t="inlineStr"/>
      <c r="G900" t="inlineStr"/>
      <c r="H900" t="inlineStr"/>
    </row>
    <row r="901">
      <c r="A901" t="inlineStr">
        <is>
          <t>df4d6ee3-1492-4835-b870-006b1761016a.jpg</t>
        </is>
      </c>
      <c r="B901">
        <f>HYPERLINK("Объекты недвижимости, не соответствующие градостроительным нормам_00-022_Август/df4d6ee3-1492-4835-b870-006b1761016a.jpg","open")</f>
        <v/>
      </c>
      <c r="C901" t="inlineStr">
        <is>
          <t>db8b536c-32f2-4d9a-ae08-679d227e61f1</t>
        </is>
      </c>
      <c r="D901" t="n">
        <v>55.72255</v>
      </c>
      <c r="E901" t="n">
        <v>37.44598</v>
      </c>
      <c r="F901" t="inlineStr"/>
      <c r="G901" t="inlineStr"/>
      <c r="H901" t="inlineStr"/>
    </row>
    <row r="902">
      <c r="A902" t="inlineStr">
        <is>
          <t>9f748666-bb2e-489b-9cb7-5587796995c5.jpg</t>
        </is>
      </c>
      <c r="B902">
        <f>HYPERLINK("Объекты недвижимости, не соответствующие градостроительным нормам_00-022_Август/9f748666-bb2e-489b-9cb7-5587796995c5.jpg","open")</f>
        <v/>
      </c>
      <c r="C902" t="inlineStr">
        <is>
          <t>db8b536c-32f2-4d9a-ae08-679d227e61f1</t>
        </is>
      </c>
      <c r="D902" t="n">
        <v>55.72255</v>
      </c>
      <c r="E902" t="n">
        <v>37.44598</v>
      </c>
      <c r="F902" t="inlineStr"/>
      <c r="G902" t="inlineStr"/>
      <c r="H902" t="inlineStr"/>
    </row>
    <row r="903">
      <c r="A903" t="inlineStr">
        <is>
          <t>01ebedff-9ad7-4d53-87cf-6e7e5fd0cd5d.jpg</t>
        </is>
      </c>
      <c r="B903">
        <f>HYPERLINK("Объекты недвижимости, не соответствующие градостроительным нормам_00-022_Август/01ebedff-9ad7-4d53-87cf-6e7e5fd0cd5d.jpg","open")</f>
        <v/>
      </c>
      <c r="C903" t="inlineStr">
        <is>
          <t>8cde1fd0-eca1-4510-86ab-3c743b65fdfc</t>
        </is>
      </c>
      <c r="D903" t="n">
        <v>55.70821</v>
      </c>
      <c r="E903" t="n">
        <v>37.67421</v>
      </c>
      <c r="F903" t="inlineStr"/>
      <c r="G903" t="inlineStr"/>
      <c r="H903" t="inlineStr"/>
    </row>
    <row r="904">
      <c r="A904" t="inlineStr">
        <is>
          <t>8e263331-0328-4e0c-ba79-c98dc0255021.jpg</t>
        </is>
      </c>
      <c r="B904">
        <f>HYPERLINK("Объекты недвижимости, не соответствующие градостроительным нормам_00-022_Август/8e263331-0328-4e0c-ba79-c98dc0255021.jpg","open")</f>
        <v/>
      </c>
      <c r="C904" t="inlineStr">
        <is>
          <t>2acfb2da-e3f6-464c-bd17-4b713522c142</t>
        </is>
      </c>
      <c r="D904" t="n">
        <v>55.82788</v>
      </c>
      <c r="E904" t="n">
        <v>37.64318</v>
      </c>
      <c r="F904" t="inlineStr"/>
      <c r="G904" t="inlineStr"/>
      <c r="H904" t="inlineStr"/>
    </row>
    <row r="905">
      <c r="A905" t="inlineStr">
        <is>
          <t>2f5ab709-faf3-4916-a05d-c1652e377204.jpg</t>
        </is>
      </c>
      <c r="B905">
        <f>HYPERLINK("Объекты недвижимости, не соответствующие градостроительным нормам_00-022_Август/2f5ab709-faf3-4916-a05d-c1652e377204.jpg","open")</f>
        <v/>
      </c>
      <c r="C905" t="inlineStr">
        <is>
          <t>685d9054-b74f-49ab-857b-109fd2cec80d</t>
        </is>
      </c>
      <c r="D905" t="n">
        <v>55.62251</v>
      </c>
      <c r="E905" t="n">
        <v>37.48417</v>
      </c>
      <c r="F905" t="inlineStr"/>
      <c r="G905" t="inlineStr"/>
      <c r="H905" t="inlineStr"/>
    </row>
    <row r="906">
      <c r="A906" t="inlineStr">
        <is>
          <t>af5c4bcf-baaf-459e-bba2-421bad6efbeb.jpg</t>
        </is>
      </c>
      <c r="B906">
        <f>HYPERLINK("Объекты недвижимости, не соответствующие градостроительным нормам_00-022_Август/af5c4bcf-baaf-459e-bba2-421bad6efbeb.jpg","open")</f>
        <v/>
      </c>
      <c r="C906" t="inlineStr">
        <is>
          <t>8cde1fd0-eca1-4510-86ab-3c743b65fdfc</t>
        </is>
      </c>
      <c r="D906" t="n">
        <v>55.70675</v>
      </c>
      <c r="E906" t="n">
        <v>37.67773</v>
      </c>
      <c r="F906" t="inlineStr"/>
      <c r="G906" t="inlineStr"/>
      <c r="H906" t="inlineStr"/>
    </row>
    <row r="907">
      <c r="A907" t="inlineStr">
        <is>
          <t>2cd52909-1019-428e-9893-6dca8e1ee74d.jpg</t>
        </is>
      </c>
      <c r="B907">
        <f>HYPERLINK("Объекты недвижимости, не соответствующие градостроительным нормам_00-022_Август/2cd52909-1019-428e-9893-6dca8e1ee74d.jpg","open")</f>
        <v/>
      </c>
      <c r="C907" t="inlineStr">
        <is>
          <t>685d9054-b74f-49ab-857b-109fd2cec80d</t>
        </is>
      </c>
      <c r="D907" t="n">
        <v>55.62493</v>
      </c>
      <c r="E907" t="n">
        <v>37.48278</v>
      </c>
      <c r="F907" t="inlineStr"/>
      <c r="G907" t="inlineStr"/>
      <c r="H907" t="inlineStr"/>
    </row>
    <row r="908">
      <c r="A908" t="inlineStr">
        <is>
          <t>92db1ca2-6315-4095-bfb3-ee43ce53936c.jpg</t>
        </is>
      </c>
      <c r="B908">
        <f>HYPERLINK("Объекты недвижимости, не соответствующие градостроительным нормам_00-022_Август/92db1ca2-6315-4095-bfb3-ee43ce53936c.jpg","open")</f>
        <v/>
      </c>
      <c r="C908" t="inlineStr">
        <is>
          <t>685d9054-b74f-49ab-857b-109fd2cec80d</t>
        </is>
      </c>
      <c r="D908" t="n">
        <v>55.62497</v>
      </c>
      <c r="E908" t="n">
        <v>37.48283</v>
      </c>
      <c r="F908" t="inlineStr"/>
      <c r="G908" t="inlineStr"/>
      <c r="H908" t="inlineStr"/>
    </row>
    <row r="909">
      <c r="A909" t="inlineStr">
        <is>
          <t>c6ea7ff8-665e-4ed3-8a67-1a7487bef454.jpg</t>
        </is>
      </c>
      <c r="B909">
        <f>HYPERLINK("Объекты недвижимости, не соответствующие градостроительным нормам_00-022_Август/c6ea7ff8-665e-4ed3-8a67-1a7487bef454.jpg","open")</f>
        <v/>
      </c>
      <c r="C909" t="inlineStr">
        <is>
          <t>b0429a31-0c70-4b9f-8ea5-73929d82f89e</t>
        </is>
      </c>
      <c r="D909" t="n">
        <v>55.67617</v>
      </c>
      <c r="E909" t="n">
        <v>37.65384</v>
      </c>
      <c r="F909" t="inlineStr"/>
      <c r="G909" t="inlineStr"/>
      <c r="H909" t="inlineStr"/>
    </row>
    <row r="910">
      <c r="A910" t="inlineStr">
        <is>
          <t>dee4b2ad-9783-4434-acb9-b94df584ad5a.jpg</t>
        </is>
      </c>
      <c r="B910">
        <f>HYPERLINK("Объекты недвижимости, не соответствующие градостроительным нормам_00-022_Август/dee4b2ad-9783-4434-acb9-b94df584ad5a.jpg","open")</f>
        <v/>
      </c>
      <c r="C910" t="inlineStr">
        <is>
          <t>b0429a31-0c70-4b9f-8ea5-73929d82f89e</t>
        </is>
      </c>
      <c r="D910" t="n">
        <v>55.67612</v>
      </c>
      <c r="E910" t="n">
        <v>37.65406</v>
      </c>
      <c r="F910" t="inlineStr"/>
      <c r="G910" t="inlineStr"/>
      <c r="H910" t="inlineStr"/>
    </row>
    <row r="911">
      <c r="A911" t="inlineStr">
        <is>
          <t>6e759028-463f-4791-b657-3a067ce44f1f.jpg</t>
        </is>
      </c>
      <c r="B911">
        <f>HYPERLINK("Объекты недвижимости, не соответствующие градостроительным нормам_00-022_Август/6e759028-463f-4791-b657-3a067ce44f1f.jpg","open")</f>
        <v/>
      </c>
      <c r="C911" t="inlineStr">
        <is>
          <t>8beacb4f-617e-4b34-8030-60c4dff5f8d1</t>
        </is>
      </c>
      <c r="D911" t="n">
        <v>55.76611</v>
      </c>
      <c r="E911" t="n">
        <v>37.5607</v>
      </c>
      <c r="F911" t="inlineStr"/>
      <c r="G911" t="inlineStr"/>
      <c r="H911" t="inlineStr"/>
    </row>
    <row r="912">
      <c r="A912" t="inlineStr">
        <is>
          <t>ca095d01-ab15-4417-aee2-a65087c53474.jpg</t>
        </is>
      </c>
      <c r="B912">
        <f>HYPERLINK("Объекты недвижимости, не соответствующие градостроительным нормам_00-022_Август/ca095d01-ab15-4417-aee2-a65087c53474.jpg","open")</f>
        <v/>
      </c>
      <c r="C912" t="inlineStr">
        <is>
          <t>b0429a31-0c70-4b9f-8ea5-73929d82f89e</t>
        </is>
      </c>
      <c r="D912" t="n">
        <v>55.67794</v>
      </c>
      <c r="E912" t="n">
        <v>37.65226</v>
      </c>
      <c r="F912" t="inlineStr"/>
      <c r="G912" t="inlineStr"/>
      <c r="H912" t="inlineStr"/>
    </row>
    <row r="913">
      <c r="A913" t="inlineStr">
        <is>
          <t>d1f7b589-0d6c-479f-aeae-b5f7c80a43e1.jpg</t>
        </is>
      </c>
      <c r="B913">
        <f>HYPERLINK("Объекты недвижимости, не соответствующие градостроительным нормам_00-022_Август/d1f7b589-0d6c-479f-aeae-b5f7c80a43e1.jpg","open")</f>
        <v/>
      </c>
      <c r="C913" t="inlineStr">
        <is>
          <t>b0429a31-0c70-4b9f-8ea5-73929d82f89e</t>
        </is>
      </c>
      <c r="D913" t="n">
        <v>55.67736</v>
      </c>
      <c r="E913" t="n">
        <v>37.65585</v>
      </c>
      <c r="F913" t="inlineStr"/>
      <c r="G913" t="inlineStr"/>
      <c r="H913" t="inlineStr"/>
    </row>
    <row r="914">
      <c r="A914" t="inlineStr">
        <is>
          <t>688f36be-b5ed-4bac-85c1-5226930b51df.jpg</t>
        </is>
      </c>
      <c r="B914">
        <f>HYPERLINK("Объекты недвижимости, не соответствующие градостроительным нормам_00-022_Август/688f36be-b5ed-4bac-85c1-5226930b51df.jpg","open")</f>
        <v/>
      </c>
      <c r="C914" t="inlineStr">
        <is>
          <t>b0429a31-0c70-4b9f-8ea5-73929d82f89e</t>
        </is>
      </c>
      <c r="D914" t="n">
        <v>55.67754</v>
      </c>
      <c r="E914" t="n">
        <v>37.6566</v>
      </c>
      <c r="F914" t="inlineStr"/>
      <c r="G914" t="inlineStr"/>
      <c r="H914" t="inlineStr"/>
    </row>
    <row r="915">
      <c r="A915" t="inlineStr">
        <is>
          <t>6d69092e-ca12-43fd-81de-db8daabf7c43.jpg</t>
        </is>
      </c>
      <c r="B915">
        <f>HYPERLINK("Объекты недвижимости, не соответствующие градостроительным нормам_00-022_Август/6d69092e-ca12-43fd-81de-db8daabf7c43.jpg","open")</f>
        <v/>
      </c>
      <c r="C915" t="inlineStr">
        <is>
          <t>48b533d5-d106-4175-ac9b-d5ce8d90cccf</t>
        </is>
      </c>
      <c r="D915" t="n">
        <v>55.65598</v>
      </c>
      <c r="E915" t="n">
        <v>37.52201</v>
      </c>
      <c r="F915" t="inlineStr"/>
      <c r="G915" t="inlineStr"/>
      <c r="H915" t="inlineStr"/>
    </row>
    <row r="916">
      <c r="A916" t="inlineStr">
        <is>
          <t>c07bd976-0e58-4741-a4c5-0adfb852ab07.jpg</t>
        </is>
      </c>
      <c r="B916">
        <f>HYPERLINK("Объекты недвижимости, не соответствующие градостроительным нормам_00-022_Август/c07bd976-0e58-4741-a4c5-0adfb852ab07.jpg","open")</f>
        <v/>
      </c>
      <c r="C916" t="inlineStr">
        <is>
          <t>a28f597e-d1cd-4d3b-b572-c86d033412e9</t>
        </is>
      </c>
      <c r="D916" t="n">
        <v>55.63407</v>
      </c>
      <c r="E916" t="n">
        <v>37.38508</v>
      </c>
      <c r="F916" t="inlineStr"/>
      <c r="G916" t="inlineStr"/>
      <c r="H916" t="inlineStr"/>
    </row>
    <row r="917">
      <c r="A917" t="inlineStr">
        <is>
          <t>f3e26039-0d6f-489c-b6c4-96ad52c99394.jpg</t>
        </is>
      </c>
      <c r="B917">
        <f>HYPERLINK("Объекты недвижимости, не соответствующие градостроительным нормам_00-022_Август/f3e26039-0d6f-489c-b6c4-96ad52c99394.jpg","open")</f>
        <v/>
      </c>
      <c r="C917" t="inlineStr">
        <is>
          <t>ffd931da-542f-43e9-979f-5552b17fe3dc</t>
        </is>
      </c>
      <c r="D917" t="n">
        <v>55.70258</v>
      </c>
      <c r="E917" t="n">
        <v>37.88525</v>
      </c>
      <c r="F917" t="inlineStr"/>
      <c r="G917" t="inlineStr"/>
      <c r="H917" t="inlineStr"/>
    </row>
    <row r="918">
      <c r="A918" t="inlineStr">
        <is>
          <t>e422897e-e393-42c3-905e-65bface02d0c.jpg</t>
        </is>
      </c>
      <c r="B918">
        <f>HYPERLINK("Объекты недвижимости, не соответствующие градостроительным нормам_00-022_Август/e422897e-e393-42c3-905e-65bface02d0c.jpg","open")</f>
        <v/>
      </c>
      <c r="C918" t="inlineStr">
        <is>
          <t>f60286ac-55e7-4099-85bd-cc599a7a0c65</t>
        </is>
      </c>
      <c r="D918" t="n">
        <v>55.70251</v>
      </c>
      <c r="E918" t="n">
        <v>37.88534</v>
      </c>
      <c r="F918" t="inlineStr"/>
      <c r="G918" t="inlineStr"/>
      <c r="H918" t="inlineStr"/>
    </row>
    <row r="919">
      <c r="A919" t="inlineStr">
        <is>
          <t>0287ec98-84cf-4655-8bdc-6c49fcb68d64.jpg</t>
        </is>
      </c>
      <c r="B919">
        <f>HYPERLINK("Объекты недвижимости, не соответствующие градостроительным нормам_00-022_Август/0287ec98-84cf-4655-8bdc-6c49fcb68d64.jpg","open")</f>
        <v/>
      </c>
      <c r="C919" t="inlineStr">
        <is>
          <t>ffd931da-542f-43e9-979f-5552b17fe3dc</t>
        </is>
      </c>
      <c r="D919" t="n">
        <v>55.70198</v>
      </c>
      <c r="E919" t="n">
        <v>37.884</v>
      </c>
      <c r="F919" t="inlineStr"/>
      <c r="G919" t="inlineStr"/>
      <c r="H919" t="inlineStr"/>
    </row>
    <row r="920">
      <c r="A920" t="inlineStr">
        <is>
          <t>e9b9c1e5-d5dd-4c05-b5b1-f9c9ec60c2b0.jpg</t>
        </is>
      </c>
      <c r="B920">
        <f>HYPERLINK("Объекты недвижимости, не соответствующие градостроительным нормам_00-022_Август/e9b9c1e5-d5dd-4c05-b5b1-f9c9ec60c2b0.jpg","open")</f>
        <v/>
      </c>
      <c r="C920" t="inlineStr">
        <is>
          <t>ffd931da-542f-43e9-979f-5552b17fe3dc</t>
        </is>
      </c>
      <c r="D920" t="n">
        <v>55.70032</v>
      </c>
      <c r="E920" t="n">
        <v>37.87964</v>
      </c>
      <c r="F920" t="inlineStr"/>
      <c r="G920" t="inlineStr"/>
      <c r="H920" t="inlineStr"/>
    </row>
    <row r="921">
      <c r="A921" t="inlineStr">
        <is>
          <t>58902d47-3efc-4ca5-8490-fa258e8974cb.jpg</t>
        </is>
      </c>
      <c r="B921">
        <f>HYPERLINK("Объекты недвижимости, не соответствующие градостроительным нормам_00-022_Август/58902d47-3efc-4ca5-8490-fa258e8974cb.jpg","open")</f>
        <v/>
      </c>
      <c r="C921" t="inlineStr">
        <is>
          <t>1c951e11-4940-43c6-a447-394097e5609a</t>
        </is>
      </c>
      <c r="D921" t="n">
        <v>55.70692</v>
      </c>
      <c r="E921" t="n">
        <v>37.68472</v>
      </c>
      <c r="F921" t="inlineStr"/>
      <c r="G921" t="inlineStr"/>
      <c r="H921" t="inlineStr"/>
    </row>
    <row r="922">
      <c r="A922" t="inlineStr">
        <is>
          <t>0c942a78-a54e-4f9b-9444-9b2f5d79cd7c.jpg</t>
        </is>
      </c>
      <c r="B922">
        <f>HYPERLINK("Объекты недвижимости, не соответствующие градостроительным нормам_00-022_Август/0c942a78-a54e-4f9b-9444-9b2f5d79cd7c.jpg","open")</f>
        <v/>
      </c>
      <c r="C922" t="inlineStr">
        <is>
          <t>8cde1fd0-eca1-4510-86ab-3c743b65fdfc</t>
        </is>
      </c>
      <c r="D922" t="n">
        <v>55.70692</v>
      </c>
      <c r="E922" t="n">
        <v>37.68472</v>
      </c>
      <c r="F922" t="inlineStr"/>
      <c r="G922" t="inlineStr"/>
      <c r="H922" t="inlineStr"/>
    </row>
    <row r="923">
      <c r="A923" t="inlineStr">
        <is>
          <t>9dffbfaf-3e09-4cf2-8528-b77f62cc31b0.jpg</t>
        </is>
      </c>
      <c r="B923">
        <f>HYPERLINK("Объекты недвижимости, не соответствующие градостроительным нормам_00-022_Август/9dffbfaf-3e09-4cf2-8528-b77f62cc31b0.jpg","open")</f>
        <v/>
      </c>
      <c r="C923" t="inlineStr">
        <is>
          <t>1c951e11-4940-43c6-a447-394097e5609a</t>
        </is>
      </c>
      <c r="D923" t="n">
        <v>55.70692</v>
      </c>
      <c r="E923" t="n">
        <v>37.68472</v>
      </c>
      <c r="F923" t="inlineStr"/>
      <c r="G923" t="inlineStr"/>
      <c r="H923" t="inlineStr"/>
    </row>
    <row r="924">
      <c r="A924" t="inlineStr">
        <is>
          <t>77889127-4b5d-4be0-856d-ee1512413472.jpg</t>
        </is>
      </c>
      <c r="B924">
        <f>HYPERLINK("Объекты недвижимости, не соответствующие градостроительным нормам_00-022_Август/77889127-4b5d-4be0-856d-ee1512413472.jpg","open")</f>
        <v/>
      </c>
      <c r="C924" t="inlineStr">
        <is>
          <t>8cde1fd0-eca1-4510-86ab-3c743b65fdfc</t>
        </is>
      </c>
      <c r="D924" t="n">
        <v>55.70692</v>
      </c>
      <c r="E924" t="n">
        <v>37.68472</v>
      </c>
      <c r="F924" t="inlineStr"/>
      <c r="G924" t="inlineStr"/>
      <c r="H924" t="inlineStr"/>
    </row>
    <row r="925">
      <c r="A925" t="inlineStr">
        <is>
          <t>bbe65976-7a37-40c7-b90c-331c969b6ec7.jpg</t>
        </is>
      </c>
      <c r="B925">
        <f>HYPERLINK("Объекты недвижимости, не соответствующие градостроительным нормам_00-022_Август/bbe65976-7a37-40c7-b90c-331c969b6ec7.jpg","open")</f>
        <v/>
      </c>
      <c r="C925" t="inlineStr">
        <is>
          <t>1c951e11-4940-43c6-a447-394097e5609a</t>
        </is>
      </c>
      <c r="D925" t="n">
        <v>55.70692</v>
      </c>
      <c r="E925" t="n">
        <v>37.68472</v>
      </c>
      <c r="F925" t="inlineStr"/>
      <c r="G925" t="inlineStr"/>
      <c r="H925" t="inlineStr"/>
    </row>
    <row r="926">
      <c r="A926" t="inlineStr">
        <is>
          <t>c87686f2-abdc-42d0-969a-922964a7e2b2.jpg</t>
        </is>
      </c>
      <c r="B926">
        <f>HYPERLINK("Объекты недвижимости, не соответствующие градостроительным нормам_00-022_Август/c87686f2-abdc-42d0-969a-922964a7e2b2.jpg","open")</f>
        <v/>
      </c>
      <c r="C926" t="inlineStr">
        <is>
          <t>8cde1fd0-eca1-4510-86ab-3c743b65fdfc</t>
        </is>
      </c>
      <c r="D926" t="n">
        <v>55.70692</v>
      </c>
      <c r="E926" t="n">
        <v>37.68472</v>
      </c>
      <c r="F926" t="inlineStr"/>
      <c r="G926" t="inlineStr"/>
      <c r="H926" t="inlineStr"/>
    </row>
    <row r="927">
      <c r="A927" t="inlineStr">
        <is>
          <t>98cca9cf-4dda-467a-af46-48a0800d2927.jpg</t>
        </is>
      </c>
      <c r="B927">
        <f>HYPERLINK("Объекты недвижимости, не соответствующие градостроительным нормам_00-022_Август/98cca9cf-4dda-467a-af46-48a0800d2927.jpg","open")</f>
        <v/>
      </c>
      <c r="C927" t="inlineStr">
        <is>
          <t>8cde1fd0-eca1-4510-86ab-3c743b65fdfc</t>
        </is>
      </c>
      <c r="D927" t="n">
        <v>55.70692</v>
      </c>
      <c r="E927" t="n">
        <v>37.68472</v>
      </c>
      <c r="F927" t="inlineStr"/>
      <c r="G927" t="inlineStr"/>
      <c r="H927" t="inlineStr"/>
    </row>
    <row r="928">
      <c r="A928" t="inlineStr">
        <is>
          <t>0ed1027a-9b99-4a2d-9658-ae792207a921.jpg</t>
        </is>
      </c>
      <c r="B928">
        <f>HYPERLINK("Объекты недвижимости, не соответствующие градостроительным нормам_00-022_Август/0ed1027a-9b99-4a2d-9658-ae792207a921.jpg","open")</f>
        <v/>
      </c>
      <c r="C928" t="inlineStr">
        <is>
          <t>8cde1fd0-eca1-4510-86ab-3c743b65fdfc</t>
        </is>
      </c>
      <c r="D928" t="n">
        <v>55.70692</v>
      </c>
      <c r="E928" t="n">
        <v>37.68472</v>
      </c>
      <c r="F928" t="inlineStr"/>
      <c r="G928" t="inlineStr"/>
      <c r="H928" t="inlineStr"/>
    </row>
    <row r="929">
      <c r="A929" t="inlineStr">
        <is>
          <t>f629dd06-010c-4ae1-a27c-39bb24f85932.jpg</t>
        </is>
      </c>
      <c r="B929">
        <f>HYPERLINK("Объекты недвижимости, не соответствующие градостроительным нормам_00-022_Август/f629dd06-010c-4ae1-a27c-39bb24f85932.jpg","open")</f>
        <v/>
      </c>
      <c r="C929" t="inlineStr">
        <is>
          <t>8cde1fd0-eca1-4510-86ab-3c743b65fdfc</t>
        </is>
      </c>
      <c r="D929" t="n">
        <v>55.70692</v>
      </c>
      <c r="E929" t="n">
        <v>37.68472</v>
      </c>
      <c r="F929" t="inlineStr"/>
      <c r="G929" t="inlineStr"/>
      <c r="H929" t="inlineStr"/>
    </row>
    <row r="930">
      <c r="A930" t="inlineStr">
        <is>
          <t>0f4f4518-5691-4883-9ea7-360650d3912e.jpg</t>
        </is>
      </c>
      <c r="B930">
        <f>HYPERLINK("Объекты недвижимости, не соответствующие градостроительным нормам_00-022_Август/0f4f4518-5691-4883-9ea7-360650d3912e.jpg","open")</f>
        <v/>
      </c>
      <c r="C930" t="inlineStr">
        <is>
          <t>8cde1fd0-eca1-4510-86ab-3c743b65fdfc</t>
        </is>
      </c>
      <c r="D930" t="n">
        <v>55.70692</v>
      </c>
      <c r="E930" t="n">
        <v>37.68472</v>
      </c>
      <c r="F930" t="inlineStr"/>
      <c r="G930" t="inlineStr"/>
      <c r="H930" t="inlineStr"/>
    </row>
    <row r="931">
      <c r="A931" t="inlineStr">
        <is>
          <t>7c296c7a-cc9e-49ef-a74a-0179171d22e8.jpg</t>
        </is>
      </c>
      <c r="B931">
        <f>HYPERLINK("Объекты недвижимости, не соответствующие градостроительным нормам_00-022_Август/7c296c7a-cc9e-49ef-a74a-0179171d22e8.jpg","open")</f>
        <v/>
      </c>
      <c r="C931" t="inlineStr">
        <is>
          <t>1c951e11-4940-43c6-a447-394097e5609a</t>
        </is>
      </c>
      <c r="D931" t="n">
        <v>55.70692</v>
      </c>
      <c r="E931" t="n">
        <v>37.68472</v>
      </c>
      <c r="F931" t="inlineStr"/>
      <c r="G931" t="inlineStr"/>
      <c r="H931" t="inlineStr"/>
    </row>
    <row r="932">
      <c r="A932" t="inlineStr">
        <is>
          <t>386380b8-fef1-490e-af2a-6ad3706bd272.jpg</t>
        </is>
      </c>
      <c r="B932">
        <f>HYPERLINK("Объекты недвижимости, не соответствующие градостроительным нормам_00-022_Август/386380b8-fef1-490e-af2a-6ad3706bd272.jpg","open")</f>
        <v/>
      </c>
      <c r="C932" t="inlineStr">
        <is>
          <t>8cde1fd0-eca1-4510-86ab-3c743b65fdfc</t>
        </is>
      </c>
      <c r="D932" t="n">
        <v>55.70692</v>
      </c>
      <c r="E932" t="n">
        <v>37.68472</v>
      </c>
      <c r="F932" t="inlineStr"/>
      <c r="G932" t="inlineStr"/>
      <c r="H932" t="inlineStr"/>
    </row>
    <row r="933">
      <c r="A933" t="inlineStr">
        <is>
          <t>48caacdc-4e5a-4cc6-828a-28cf0bb0b2ad.jpg</t>
        </is>
      </c>
      <c r="B933">
        <f>HYPERLINK("Объекты недвижимости, не соответствующие градостроительным нормам_00-022_Август/48caacdc-4e5a-4cc6-828a-28cf0bb0b2ad.jpg","open")</f>
        <v/>
      </c>
      <c r="C933" t="inlineStr">
        <is>
          <t>1c951e11-4940-43c6-a447-394097e5609a</t>
        </is>
      </c>
      <c r="D933" t="n">
        <v>55.70692</v>
      </c>
      <c r="E933" t="n">
        <v>37.68472</v>
      </c>
      <c r="F933" t="inlineStr"/>
      <c r="G933" t="inlineStr"/>
      <c r="H933" t="inlineStr"/>
    </row>
    <row r="934">
      <c r="A934" t="inlineStr">
        <is>
          <t>f2b11bcb-8870-4156-b002-15f238f8b5a0.jpg</t>
        </is>
      </c>
      <c r="B934">
        <f>HYPERLINK("Объекты недвижимости, не соответствующие градостроительным нормам_00-022_Август/f2b11bcb-8870-4156-b002-15f238f8b5a0.jpg","open")</f>
        <v/>
      </c>
      <c r="C934" t="inlineStr">
        <is>
          <t>8cde1fd0-eca1-4510-86ab-3c743b65fdfc</t>
        </is>
      </c>
      <c r="D934" t="n">
        <v>55.70692</v>
      </c>
      <c r="E934" t="n">
        <v>37.68472</v>
      </c>
      <c r="F934" t="inlineStr"/>
      <c r="G934" t="inlineStr"/>
      <c r="H934" t="inlineStr"/>
    </row>
    <row r="935">
      <c r="A935" t="inlineStr">
        <is>
          <t>1ca8fc2d-97f3-4f76-bb50-bffc4ff26e56.jpg</t>
        </is>
      </c>
      <c r="B935">
        <f>HYPERLINK("Объекты недвижимости, не соответствующие градостроительным нормам_00-022_Август/1ca8fc2d-97f3-4f76-bb50-bffc4ff26e56.jpg","open")</f>
        <v/>
      </c>
      <c r="C935" t="inlineStr">
        <is>
          <t>1c951e11-4940-43c6-a447-394097e5609a</t>
        </is>
      </c>
      <c r="D935" t="n">
        <v>55.70692</v>
      </c>
      <c r="E935" t="n">
        <v>37.68472</v>
      </c>
      <c r="F935" t="inlineStr"/>
      <c r="G935" t="inlineStr"/>
      <c r="H935" t="inlineStr"/>
    </row>
    <row r="936">
      <c r="A936" t="inlineStr">
        <is>
          <t>70284022-2f75-4f8c-98d6-de2afaa1a6a9.jpg</t>
        </is>
      </c>
      <c r="B936">
        <f>HYPERLINK("Объекты недвижимости, не соответствующие градостроительным нормам_00-022_Август/70284022-2f75-4f8c-98d6-de2afaa1a6a9.jpg","open")</f>
        <v/>
      </c>
      <c r="C936" t="inlineStr">
        <is>
          <t>ffd931da-542f-43e9-979f-5552b17fe3dc</t>
        </is>
      </c>
      <c r="D936" t="n">
        <v>55.70146</v>
      </c>
      <c r="E936" t="n">
        <v>37.86302</v>
      </c>
      <c r="F936" t="inlineStr"/>
      <c r="G936" t="inlineStr"/>
      <c r="H936" t="inlineStr"/>
    </row>
    <row r="937">
      <c r="A937" t="inlineStr">
        <is>
          <t>06d20596-ccfb-47a3-8a5b-c3514c1a6232.jpg</t>
        </is>
      </c>
      <c r="B937">
        <f>HYPERLINK("Объекты недвижимости, не соответствующие градостроительным нормам_00-022_Август/06d20596-ccfb-47a3-8a5b-c3514c1a6232.jpg","open")</f>
        <v/>
      </c>
      <c r="C937" t="inlineStr">
        <is>
          <t>db8b536c-32f2-4d9a-ae08-679d227e61f1</t>
        </is>
      </c>
      <c r="D937" t="n">
        <v>55.72255</v>
      </c>
      <c r="E937" t="n">
        <v>37.44598</v>
      </c>
      <c r="F937" t="inlineStr"/>
      <c r="G937" t="inlineStr"/>
      <c r="H937" t="inlineStr"/>
    </row>
    <row r="938">
      <c r="A938" t="inlineStr">
        <is>
          <t>25c6ba76-e459-4977-9673-b4fd097a244e.jpg</t>
        </is>
      </c>
      <c r="B938">
        <f>HYPERLINK("Объекты недвижимости, не соответствующие градостроительным нормам_00-022_Август/25c6ba76-e459-4977-9673-b4fd097a244e.jpg","open")</f>
        <v/>
      </c>
      <c r="C938" t="inlineStr">
        <is>
          <t>e90a3ac0-5b70-4ede-abeb-382371713306</t>
        </is>
      </c>
      <c r="D938" t="n">
        <v>55.72255</v>
      </c>
      <c r="E938" t="n">
        <v>37.44598</v>
      </c>
      <c r="F938" t="inlineStr"/>
      <c r="G938" t="inlineStr"/>
      <c r="H938" t="inlineStr"/>
    </row>
    <row r="939">
      <c r="A939" t="inlineStr">
        <is>
          <t>87de865b-98b7-4a14-b86c-9a0b5b4dd491.jpg</t>
        </is>
      </c>
      <c r="B939">
        <f>HYPERLINK("Объекты недвижимости, не соответствующие градостроительным нормам_00-022_Август/87de865b-98b7-4a14-b86c-9a0b5b4dd491.jpg","open")</f>
        <v/>
      </c>
      <c r="C939" t="inlineStr">
        <is>
          <t>71239877-3cfe-4ed6-87a7-5c84ab51c75a</t>
        </is>
      </c>
      <c r="D939" t="n">
        <v>55.81264</v>
      </c>
      <c r="E939" t="n">
        <v>37.47677</v>
      </c>
      <c r="F939" t="inlineStr"/>
      <c r="G939" t="inlineStr"/>
      <c r="H939" t="inlineStr"/>
    </row>
    <row r="940">
      <c r="A940" t="inlineStr">
        <is>
          <t>96ad9e71-c8e2-4870-97b5-8a29617c8ad6.jpg</t>
        </is>
      </c>
      <c r="B940">
        <f>HYPERLINK("Объекты недвижимости, не соответствующие градостроительным нормам_00-022_Август/96ad9e71-c8e2-4870-97b5-8a29617c8ad6.jpg","open")</f>
        <v/>
      </c>
      <c r="C940" t="inlineStr">
        <is>
          <t>8cde1fd0-eca1-4510-86ab-3c743b65fdfc</t>
        </is>
      </c>
      <c r="D940" t="n">
        <v>55.70953</v>
      </c>
      <c r="E940" t="n">
        <v>37.67011</v>
      </c>
      <c r="F940" t="inlineStr"/>
      <c r="G940" t="inlineStr"/>
      <c r="H940" t="inlineStr"/>
    </row>
    <row r="941">
      <c r="A941" t="inlineStr">
        <is>
          <t>7bbfd105-5ae3-49ee-bd82-18e5baac3b5e.jpg</t>
        </is>
      </c>
      <c r="B941">
        <f>HYPERLINK("Объекты недвижимости, не соответствующие градостроительным нормам_00-022_Август/7bbfd105-5ae3-49ee-bd82-18e5baac3b5e.jpg","open")</f>
        <v/>
      </c>
      <c r="C941" t="inlineStr">
        <is>
          <t>db8b536c-32f2-4d9a-ae08-679d227e61f1</t>
        </is>
      </c>
      <c r="D941" t="n">
        <v>55.72255</v>
      </c>
      <c r="E941" t="n">
        <v>37.44598</v>
      </c>
      <c r="F941" t="inlineStr"/>
      <c r="G941" t="inlineStr"/>
      <c r="H941" t="inlineStr"/>
    </row>
    <row r="942">
      <c r="A942" t="inlineStr">
        <is>
          <t>251c1deb-6645-4c00-b1c6-816bf3f6fcbf.jpg</t>
        </is>
      </c>
      <c r="B942">
        <f>HYPERLINK("Объекты недвижимости, не соответствующие градостроительным нормам_00-022_Август/251c1deb-6645-4c00-b1c6-816bf3f6fcbf.jpg","open")</f>
        <v/>
      </c>
      <c r="C942" t="inlineStr">
        <is>
          <t>db8b536c-32f2-4d9a-ae08-679d227e61f1</t>
        </is>
      </c>
      <c r="D942" t="n">
        <v>55.72255</v>
      </c>
      <c r="E942" t="n">
        <v>37.44598</v>
      </c>
      <c r="F942" t="inlineStr"/>
      <c r="G942" t="inlineStr"/>
      <c r="H942" t="inlineStr"/>
    </row>
    <row r="943">
      <c r="A943" t="inlineStr">
        <is>
          <t>900ebaac-d64f-4ec8-9a3f-f1225c4adc48.jpg</t>
        </is>
      </c>
      <c r="B943">
        <f>HYPERLINK("Объекты недвижимости, не соответствующие градостроительным нормам_00-022_Август/900ebaac-d64f-4ec8-9a3f-f1225c4adc48.jpg","open")</f>
        <v/>
      </c>
      <c r="C943" t="inlineStr">
        <is>
          <t>2acfb2da-e3f6-464c-bd17-4b713522c142</t>
        </is>
      </c>
      <c r="D943" t="n">
        <v>55.82777</v>
      </c>
      <c r="E943" t="n">
        <v>37.66562</v>
      </c>
      <c r="F943" t="inlineStr"/>
      <c r="G943" t="inlineStr"/>
      <c r="H943" t="inlineStr"/>
    </row>
    <row r="944">
      <c r="A944" t="inlineStr">
        <is>
          <t>480d76d4-6998-4cd0-a17d-7c82754de1dc.jpg</t>
        </is>
      </c>
      <c r="B944">
        <f>HYPERLINK("Объекты недвижимости, не соответствующие градостроительным нормам_00-022_Август/480d76d4-6998-4cd0-a17d-7c82754de1dc.jpg","open")</f>
        <v/>
      </c>
      <c r="C944" t="inlineStr">
        <is>
          <t>789f6c51-64ee-4078-b7bd-443af8b8b68a</t>
        </is>
      </c>
      <c r="D944" t="n">
        <v>55.82777</v>
      </c>
      <c r="E944" t="n">
        <v>37.66562</v>
      </c>
      <c r="F944" t="inlineStr"/>
      <c r="G944" t="inlineStr"/>
      <c r="H944" t="inlineStr"/>
    </row>
    <row r="945">
      <c r="A945" t="inlineStr">
        <is>
          <t>606932d1-e628-43fc-ab69-2f7082b35ea8.jpg</t>
        </is>
      </c>
      <c r="B945">
        <f>HYPERLINK("Объекты недвижимости, не соответствующие градостроительным нормам_00-022_Август/606932d1-e628-43fc-ab69-2f7082b35ea8.jpg","open")</f>
        <v/>
      </c>
      <c r="C945" t="inlineStr">
        <is>
          <t>57aae8a4-582b-4309-8045-c8127a9f86ae</t>
        </is>
      </c>
      <c r="D945" t="n">
        <v>55.00872</v>
      </c>
      <c r="E945" t="n">
        <v>82.65221</v>
      </c>
      <c r="F945" t="inlineStr"/>
      <c r="G945" t="inlineStr"/>
      <c r="H945" t="inlineStr"/>
    </row>
    <row r="946">
      <c r="A946" t="inlineStr">
        <is>
          <t>76dfbeba-034c-44b5-953c-b264f5e195bd.jpg</t>
        </is>
      </c>
      <c r="B946">
        <f>HYPERLINK("Объекты недвижимости, не соответствующие градостроительным нормам_00-022_Август/76dfbeba-034c-44b5-953c-b264f5e195bd.jpg","open")</f>
        <v/>
      </c>
      <c r="C946" t="inlineStr">
        <is>
          <t>acedacc2-0d8b-4fc1-9622-25621a89d071</t>
        </is>
      </c>
      <c r="D946" t="n">
        <v>55.00872</v>
      </c>
      <c r="E946" t="n">
        <v>82.65221</v>
      </c>
      <c r="F946" t="inlineStr"/>
      <c r="G946" t="inlineStr"/>
      <c r="H946" t="inlineStr"/>
    </row>
    <row r="947">
      <c r="A947" t="inlineStr">
        <is>
          <t>75867f5e-6da0-423a-aafc-72ef3d6b3b22.jpg</t>
        </is>
      </c>
      <c r="B947">
        <f>HYPERLINK("Объекты недвижимости, не соответствующие градостроительным нормам_00-022_Август/75867f5e-6da0-423a-aafc-72ef3d6b3b22.jpg","open")</f>
        <v/>
      </c>
      <c r="C947" t="inlineStr">
        <is>
          <t>ab4e767f-65c0-455b-af20-a5527124fd21</t>
        </is>
      </c>
      <c r="D947" t="n">
        <v>55.70675</v>
      </c>
      <c r="E947" t="n">
        <v>37.65804</v>
      </c>
      <c r="F947" t="inlineStr"/>
      <c r="G947" t="inlineStr"/>
      <c r="H947" t="inlineStr"/>
    </row>
    <row r="948">
      <c r="A948" t="inlineStr">
        <is>
          <t>144da768-c6fd-46a8-9730-f6aacf8bbef4.jpg</t>
        </is>
      </c>
      <c r="B948">
        <f>HYPERLINK("Объекты недвижимости, не соответствующие градостроительным нормам_00-022_Август/144da768-c6fd-46a8-9730-f6aacf8bbef4.jpg","open")</f>
        <v/>
      </c>
      <c r="C948" t="inlineStr">
        <is>
          <t>f60286ac-55e7-4099-85bd-cc599a7a0c65</t>
        </is>
      </c>
      <c r="D948" t="n">
        <v>55.71547</v>
      </c>
      <c r="E948" t="n">
        <v>37.84535</v>
      </c>
      <c r="F948" t="inlineStr"/>
      <c r="G948" t="inlineStr"/>
      <c r="H948" t="inlineStr"/>
    </row>
    <row r="949">
      <c r="A949" t="inlineStr">
        <is>
          <t>f874e269-d507-4825-8334-060b36c8cd55.jpg</t>
        </is>
      </c>
      <c r="B949">
        <f>HYPERLINK("Объекты недвижимости, не соответствующие градостроительным нормам_00-022_Август/f874e269-d507-4825-8334-060b36c8cd55.jpg","open")</f>
        <v/>
      </c>
      <c r="C949" t="inlineStr">
        <is>
          <t>789f6c51-64ee-4078-b7bd-443af8b8b68a</t>
        </is>
      </c>
      <c r="D949" t="n">
        <v>55.82732</v>
      </c>
      <c r="E949" t="n">
        <v>37.66732</v>
      </c>
      <c r="F949" t="inlineStr"/>
      <c r="G949" t="inlineStr"/>
      <c r="H949" t="inlineStr"/>
    </row>
    <row r="950">
      <c r="A950" t="inlineStr">
        <is>
          <t>da31785f-e93c-443c-8450-94e195e37306.jpg</t>
        </is>
      </c>
      <c r="B950">
        <f>HYPERLINK("Объекты недвижимости, не соответствующие градостроительным нормам_00-022_Август/da31785f-e93c-443c-8450-94e195e37306.jpg","open")</f>
        <v/>
      </c>
      <c r="C950" t="inlineStr">
        <is>
          <t>ab4e767f-65c0-455b-af20-a5527124fd21</t>
        </is>
      </c>
      <c r="D950" t="n">
        <v>55.70998</v>
      </c>
      <c r="E950" t="n">
        <v>37.66478</v>
      </c>
      <c r="F950" t="inlineStr"/>
      <c r="G950" t="inlineStr"/>
      <c r="H950" t="inlineStr"/>
    </row>
    <row r="951">
      <c r="A951" t="inlineStr">
        <is>
          <t>a912da26-842f-4a85-a178-722e7977f5c8.jpg</t>
        </is>
      </c>
      <c r="B951">
        <f>HYPERLINK("Объекты недвижимости, не соответствующие градостроительным нормам_00-022_Август/a912da26-842f-4a85-a178-722e7977f5c8.jpg","open")</f>
        <v/>
      </c>
      <c r="C951" t="inlineStr">
        <is>
          <t>8cde1fd0-eca1-4510-86ab-3c743b65fdfc</t>
        </is>
      </c>
      <c r="D951" t="n">
        <v>55.74158</v>
      </c>
      <c r="E951" t="n">
        <v>37.69679</v>
      </c>
      <c r="F951" t="inlineStr"/>
      <c r="G951" t="inlineStr"/>
      <c r="H951" t="inlineStr"/>
    </row>
    <row r="952">
      <c r="A952" t="inlineStr">
        <is>
          <t>a393df75-d14a-4390-9cf9-e5fd24269ec0.jpg</t>
        </is>
      </c>
      <c r="B952">
        <f>HYPERLINK("Объекты недвижимости, не соответствующие градостроительным нормам_00-022_Август/a393df75-d14a-4390-9cf9-e5fd24269ec0.jpg","open")</f>
        <v/>
      </c>
      <c r="C952" t="inlineStr">
        <is>
          <t>8cde1fd0-eca1-4510-86ab-3c743b65fdfc</t>
        </is>
      </c>
      <c r="D952" t="n">
        <v>55.74123</v>
      </c>
      <c r="E952" t="n">
        <v>37.69446</v>
      </c>
      <c r="F952" t="inlineStr"/>
      <c r="G952" t="inlineStr"/>
      <c r="H952" t="inlineStr"/>
    </row>
    <row r="953">
      <c r="A953" t="inlineStr">
        <is>
          <t>2ca2e390-c250-4998-a394-087c4d4936a2.jpg</t>
        </is>
      </c>
      <c r="B953">
        <f>HYPERLINK("Объекты недвижимости, не соответствующие градостроительным нормам_00-022_Август/2ca2e390-c250-4998-a394-087c4d4936a2.jpg","open")</f>
        <v/>
      </c>
      <c r="C953" t="inlineStr">
        <is>
          <t>9fb3d110-951f-48da-9d90-cfd7e1b5800d</t>
        </is>
      </c>
      <c r="D953" t="n">
        <v>55.66728</v>
      </c>
      <c r="E953" t="n">
        <v>37.46883</v>
      </c>
      <c r="F953" t="inlineStr"/>
      <c r="G953" t="inlineStr"/>
      <c r="H953" t="inlineStr"/>
    </row>
    <row r="954">
      <c r="A954" t="inlineStr">
        <is>
          <t>c13394ac-87a7-4b4d-a907-707ed1cfde15.jpg</t>
        </is>
      </c>
      <c r="B954">
        <f>HYPERLINK("Объекты недвижимости, не соответствующие градостроительным нормам_00-022_Август/c13394ac-87a7-4b4d-a907-707ed1cfde15.jpg","open")</f>
        <v/>
      </c>
      <c r="C954" t="inlineStr">
        <is>
          <t>8cde1fd0-eca1-4510-86ab-3c743b65fdfc</t>
        </is>
      </c>
      <c r="D954" t="n">
        <v>55.74123</v>
      </c>
      <c r="E954" t="n">
        <v>37.69446</v>
      </c>
      <c r="F954" t="inlineStr"/>
      <c r="G954" t="inlineStr"/>
      <c r="H954" t="inlineStr"/>
    </row>
    <row r="955">
      <c r="A955" t="inlineStr">
        <is>
          <t>8e2f1fca-db2c-4f40-9ac9-3b38eb637d40.jpg</t>
        </is>
      </c>
      <c r="B955">
        <f>HYPERLINK("Объекты недвижимости, не соответствующие градостроительным нормам_00-022_Август/8e2f1fca-db2c-4f40-9ac9-3b38eb637d40.jpg","open")</f>
        <v/>
      </c>
      <c r="C955" t="inlineStr">
        <is>
          <t>8cde1fd0-eca1-4510-86ab-3c743b65fdfc</t>
        </is>
      </c>
      <c r="D955" t="n">
        <v>55.74123</v>
      </c>
      <c r="E955" t="n">
        <v>37.69446</v>
      </c>
      <c r="F955" t="inlineStr"/>
      <c r="G955" t="inlineStr"/>
      <c r="H955" t="inlineStr"/>
    </row>
    <row r="956">
      <c r="A956" t="inlineStr">
        <is>
          <t>970ef23f-0e59-4d04-815d-df867f7aca0a.jpg</t>
        </is>
      </c>
      <c r="B956">
        <f>HYPERLINK("Объекты недвижимости, не соответствующие градостроительным нормам_00-022_Август/970ef23f-0e59-4d04-815d-df867f7aca0a.jpg","open")</f>
        <v/>
      </c>
      <c r="C956" t="inlineStr">
        <is>
          <t>8cde1fd0-eca1-4510-86ab-3c743b65fdfc</t>
        </is>
      </c>
      <c r="D956" t="n">
        <v>55.74123</v>
      </c>
      <c r="E956" t="n">
        <v>37.69446</v>
      </c>
      <c r="F956" t="inlineStr"/>
      <c r="G956" t="inlineStr"/>
      <c r="H956" t="inlineStr"/>
    </row>
    <row r="957">
      <c r="A957" t="inlineStr">
        <is>
          <t>ded855af-cf92-4e17-85a8-182b1451c944.jpg</t>
        </is>
      </c>
      <c r="B957">
        <f>HYPERLINK("Объекты недвижимости, не соответствующие градостроительным нормам_00-022_Август/ded855af-cf92-4e17-85a8-182b1451c944.jpg","open")</f>
        <v/>
      </c>
      <c r="C957" t="inlineStr">
        <is>
          <t>8beacb4f-617e-4b34-8030-60c4dff5f8d1</t>
        </is>
      </c>
      <c r="D957" t="n">
        <v>55.98141</v>
      </c>
      <c r="E957" t="n">
        <v>37.40726</v>
      </c>
      <c r="F957" t="inlineStr"/>
      <c r="G957" t="inlineStr"/>
      <c r="H957" t="inlineStr"/>
    </row>
    <row r="958">
      <c r="A958" t="inlineStr">
        <is>
          <t>64ba54c2-dabb-45e3-abd1-087fb268998c.jpg</t>
        </is>
      </c>
      <c r="B958">
        <f>HYPERLINK("Объекты недвижимости, не соответствующие градостроительным нормам_00-022_Август/64ba54c2-dabb-45e3-abd1-087fb268998c.jpg","open")</f>
        <v/>
      </c>
      <c r="C958" t="inlineStr">
        <is>
          <t>f60286ac-55e7-4099-85bd-cc599a7a0c65</t>
        </is>
      </c>
      <c r="D958" t="n">
        <v>55.73442</v>
      </c>
      <c r="E958" t="n">
        <v>37.70923</v>
      </c>
      <c r="F958" t="inlineStr"/>
      <c r="G958" t="inlineStr"/>
      <c r="H958" t="inlineStr"/>
    </row>
    <row r="959">
      <c r="A959" t="inlineStr">
        <is>
          <t>1b768482-e00e-403b-8b82-cd9cd138094d.jpg</t>
        </is>
      </c>
      <c r="B959">
        <f>HYPERLINK("Объекты недвижимости, не соответствующие градостроительным нормам_00-022_Август/1b768482-e00e-403b-8b82-cd9cd138094d.jpg","open")</f>
        <v/>
      </c>
      <c r="C959" t="inlineStr">
        <is>
          <t>57aae8a4-582b-4309-8045-c8127a9f86ae</t>
        </is>
      </c>
      <c r="D959" t="n">
        <v>55.00886</v>
      </c>
      <c r="E959" t="n">
        <v>82.65218</v>
      </c>
      <c r="F959" t="inlineStr"/>
      <c r="G959" t="inlineStr"/>
      <c r="H959" t="inlineStr"/>
    </row>
    <row r="960">
      <c r="A960" t="inlineStr">
        <is>
          <t>a033c248-1a7d-4ac4-ad83-e094a970a20f.jpg</t>
        </is>
      </c>
      <c r="B960">
        <f>HYPERLINK("Объекты недвижимости, не соответствующие градостроительным нормам_00-022_Август/a033c248-1a7d-4ac4-ad83-e094a970a20f.jpg","open")</f>
        <v/>
      </c>
      <c r="C960" t="inlineStr">
        <is>
          <t>1c951e11-4940-43c6-a447-394097e5609a</t>
        </is>
      </c>
      <c r="D960" t="n">
        <v>50.51071</v>
      </c>
      <c r="E960" t="n">
        <v>41.09759</v>
      </c>
      <c r="F960" t="inlineStr"/>
      <c r="G960" t="inlineStr"/>
      <c r="H960" t="inlineStr"/>
    </row>
    <row r="961">
      <c r="A961" t="inlineStr">
        <is>
          <t>214dc51a-667c-402a-8397-abcc3563d8f3.jpg</t>
        </is>
      </c>
      <c r="B961">
        <f>HYPERLINK("Объекты недвижимости, не соответствующие градостроительным нормам_00-022_Август/214dc51a-667c-402a-8397-abcc3563d8f3.jpg","open")</f>
        <v/>
      </c>
      <c r="C961" t="inlineStr">
        <is>
          <t>1c951e11-4940-43c6-a447-394097e5609a</t>
        </is>
      </c>
      <c r="D961" t="n">
        <v>50.51071</v>
      </c>
      <c r="E961" t="n">
        <v>41.09759</v>
      </c>
      <c r="F961" t="inlineStr"/>
      <c r="G961" t="inlineStr"/>
      <c r="H961" t="inlineStr"/>
    </row>
    <row r="962">
      <c r="A962" t="inlineStr">
        <is>
          <t>2a3cc0b2-4090-4b94-bdb1-fc68dfe1fd6c.jpg</t>
        </is>
      </c>
      <c r="B962">
        <f>HYPERLINK("Объекты недвижимости, не соответствующие градостроительным нормам_00-022_Август/2a3cc0b2-4090-4b94-bdb1-fc68dfe1fd6c.jpg","open")</f>
        <v/>
      </c>
      <c r="C962" t="inlineStr">
        <is>
          <t>1c951e11-4940-43c6-a447-394097e5609a</t>
        </is>
      </c>
      <c r="D962" t="n">
        <v>50.51071</v>
      </c>
      <c r="E962" t="n">
        <v>41.09759</v>
      </c>
      <c r="F962" t="inlineStr"/>
      <c r="G962" t="inlineStr"/>
      <c r="H962" t="inlineStr"/>
    </row>
    <row r="963">
      <c r="A963" t="inlineStr">
        <is>
          <t>ed7c96f9-9a25-489d-8e46-2eb98bccd328.jpg</t>
        </is>
      </c>
      <c r="B963">
        <f>HYPERLINK("Объекты недвижимости, не соответствующие градостроительным нормам_00-022_Август/ed7c96f9-9a25-489d-8e46-2eb98bccd328.jpg","open")</f>
        <v/>
      </c>
      <c r="C963" t="inlineStr">
        <is>
          <t>1c951e11-4940-43c6-a447-394097e5609a</t>
        </is>
      </c>
      <c r="D963" t="n">
        <v>50.51071</v>
      </c>
      <c r="E963" t="n">
        <v>41.09759</v>
      </c>
      <c r="F963" t="inlineStr"/>
      <c r="G963" t="inlineStr"/>
      <c r="H963" t="inlineStr"/>
    </row>
    <row r="964">
      <c r="A964" t="inlineStr">
        <is>
          <t>d3fc934d-b227-4d7e-bfc6-c1ad8f0af4bd.jpg</t>
        </is>
      </c>
      <c r="B964">
        <f>HYPERLINK("Объекты недвижимости, не соответствующие градостроительным нормам_00-022_Август/d3fc934d-b227-4d7e-bfc6-c1ad8f0af4bd.jpg","open")</f>
        <v/>
      </c>
      <c r="C964" t="inlineStr">
        <is>
          <t>1c951e11-4940-43c6-a447-394097e5609a</t>
        </is>
      </c>
      <c r="D964" t="n">
        <v>50.51071</v>
      </c>
      <c r="E964" t="n">
        <v>41.09759</v>
      </c>
      <c r="F964" t="inlineStr"/>
      <c r="G964" t="inlineStr"/>
      <c r="H964" t="inlineStr"/>
    </row>
    <row r="965">
      <c r="A965" t="inlineStr">
        <is>
          <t>d486fb6e-8dbe-491c-baec-0b625f5434fc.jpg</t>
        </is>
      </c>
      <c r="B965">
        <f>HYPERLINK("Объекты недвижимости, не соответствующие градостроительным нормам_00-022_Август/d486fb6e-8dbe-491c-baec-0b625f5434fc.jpg","open")</f>
        <v/>
      </c>
      <c r="C965" t="inlineStr">
        <is>
          <t>1c951e11-4940-43c6-a447-394097e5609a</t>
        </is>
      </c>
      <c r="D965" t="n">
        <v>50.51071</v>
      </c>
      <c r="E965" t="n">
        <v>41.09759</v>
      </c>
      <c r="F965" t="inlineStr"/>
      <c r="G965" t="inlineStr"/>
      <c r="H965" t="inlineStr"/>
    </row>
    <row r="966">
      <c r="A966" t="inlineStr">
        <is>
          <t>596c50b4-3fe1-4e51-9390-b105f4d280d6.jpg</t>
        </is>
      </c>
      <c r="B966">
        <f>HYPERLINK("Объекты недвижимости, не соответствующие градостроительным нормам_00-022_Август/596c50b4-3fe1-4e51-9390-b105f4d280d6.jpg","open")</f>
        <v/>
      </c>
      <c r="C966" t="inlineStr">
        <is>
          <t>b0429a31-0c70-4b9f-8ea5-73929d82f89e</t>
        </is>
      </c>
      <c r="D966" t="n">
        <v>55.74027</v>
      </c>
      <c r="E966" t="n">
        <v>37.71935</v>
      </c>
      <c r="F966" t="inlineStr"/>
      <c r="G966" t="inlineStr"/>
      <c r="H966" t="inlineStr"/>
    </row>
    <row r="967">
      <c r="A967" t="inlineStr">
        <is>
          <t>04d6d0ca-02de-4caa-9428-4fa7b0db5c34.jpg</t>
        </is>
      </c>
      <c r="B967">
        <f>HYPERLINK("Объекты недвижимости, не соответствующие градостроительным нормам_00-022_Август/04d6d0ca-02de-4caa-9428-4fa7b0db5c34.jpg","open")</f>
        <v/>
      </c>
      <c r="C967" t="inlineStr">
        <is>
          <t>9c930d0e-e445-452d-a046-325646b21ab7</t>
        </is>
      </c>
      <c r="D967" t="n">
        <v>55.85674</v>
      </c>
      <c r="E967" t="n">
        <v>37.56715</v>
      </c>
      <c r="F967" t="inlineStr"/>
      <c r="G967" t="inlineStr"/>
      <c r="H967" t="inlineStr"/>
    </row>
    <row r="968">
      <c r="A968" t="inlineStr">
        <is>
          <t>47b062eb-b645-44c2-b6ee-c7f08f29867f.jpg</t>
        </is>
      </c>
      <c r="B968">
        <f>HYPERLINK("Объекты недвижимости, не соответствующие градостроительным нормам_00-022_Август/47b062eb-b645-44c2-b6ee-c7f08f29867f.jpg","open")</f>
        <v/>
      </c>
      <c r="C968" t="inlineStr">
        <is>
          <t>1231bbc5-e64c-4dc7-9acc-77710f47607a</t>
        </is>
      </c>
      <c r="D968" t="n">
        <v>55.66705</v>
      </c>
      <c r="E968" t="n">
        <v>37.55127</v>
      </c>
      <c r="F968" t="inlineStr"/>
      <c r="G968" t="inlineStr"/>
      <c r="H968" t="inlineStr"/>
    </row>
    <row r="969">
      <c r="A969" t="inlineStr">
        <is>
          <t>94933c16-001d-4e2b-bcc0-3b288f8d651e.jpg</t>
        </is>
      </c>
      <c r="B969">
        <f>HYPERLINK("Объекты недвижимости, не соответствующие градостроительным нормам_00-022_Август/94933c16-001d-4e2b-bcc0-3b288f8d651e.jpg","open")</f>
        <v/>
      </c>
      <c r="C969" t="inlineStr">
        <is>
          <t>ed2bf0f1-3a66-4913-896e-4420a9796c0b</t>
        </is>
      </c>
      <c r="D969" t="n">
        <v>55.77815</v>
      </c>
      <c r="E969" t="n">
        <v>37.45331</v>
      </c>
      <c r="F969" t="inlineStr"/>
      <c r="G969" t="inlineStr"/>
      <c r="H969" t="inlineStr"/>
    </row>
    <row r="970">
      <c r="A970" t="inlineStr">
        <is>
          <t>3c34a9c7-2ce2-4c64-9217-61401abccc01.jpg</t>
        </is>
      </c>
      <c r="B970">
        <f>HYPERLINK("Объекты недвижимости, не соответствующие градостроительным нормам_00-022_Август/3c34a9c7-2ce2-4c64-9217-61401abccc01.jpg","open")</f>
        <v/>
      </c>
      <c r="C970" t="inlineStr">
        <is>
          <t>1a55986c-2c3f-40c0-b3d1-014dce77832e</t>
        </is>
      </c>
      <c r="D970" t="n">
        <v>55.77815</v>
      </c>
      <c r="E970" t="n">
        <v>37.45331</v>
      </c>
      <c r="F970" t="inlineStr"/>
      <c r="G970" t="inlineStr"/>
      <c r="H970" t="inlineStr"/>
    </row>
    <row r="971">
      <c r="A971" t="inlineStr">
        <is>
          <t>73dcf6b9-5466-4bda-bb2d-b66cebefcd8f.jpg</t>
        </is>
      </c>
      <c r="B971">
        <f>HYPERLINK("Объекты недвижимости, не соответствующие градостроительным нормам_00-022_Август/73dcf6b9-5466-4bda-bb2d-b66cebefcd8f.jpg","open")</f>
        <v/>
      </c>
      <c r="C971" t="inlineStr">
        <is>
          <t>ed2bf0f1-3a66-4913-896e-4420a9796c0b</t>
        </is>
      </c>
      <c r="D971" t="n">
        <v>55.77815</v>
      </c>
      <c r="E971" t="n">
        <v>37.45331</v>
      </c>
      <c r="F971" t="inlineStr"/>
      <c r="G971" t="inlineStr"/>
      <c r="H971" t="inlineStr"/>
    </row>
    <row r="972">
      <c r="A972" t="inlineStr">
        <is>
          <t>69f691f4-9514-4420-8ccd-35bf60ef81c1.jpg</t>
        </is>
      </c>
      <c r="B972">
        <f>HYPERLINK("Объекты недвижимости, не соответствующие градостроительным нормам_00-022_Август/69f691f4-9514-4420-8ccd-35bf60ef81c1.jpg","open")</f>
        <v/>
      </c>
      <c r="C972" t="inlineStr">
        <is>
          <t>1a55986c-2c3f-40c0-b3d1-014dce77832e</t>
        </is>
      </c>
      <c r="D972" t="n">
        <v>55.77815</v>
      </c>
      <c r="E972" t="n">
        <v>37.45331</v>
      </c>
      <c r="F972" t="inlineStr"/>
      <c r="G972" t="inlineStr"/>
      <c r="H972" t="inlineStr"/>
    </row>
    <row r="973">
      <c r="A973" t="inlineStr">
        <is>
          <t>9526ff52-26f5-4be2-84da-3d201d0adb50.jpg</t>
        </is>
      </c>
      <c r="B973">
        <f>HYPERLINK("Объекты недвижимости, не соответствующие градостроительным нормам_00-022_Август/9526ff52-26f5-4be2-84da-3d201d0adb50.jpg","open")</f>
        <v/>
      </c>
      <c r="C973" t="inlineStr">
        <is>
          <t>ed2bf0f1-3a66-4913-896e-4420a9796c0b</t>
        </is>
      </c>
      <c r="D973" t="n">
        <v>55.77815</v>
      </c>
      <c r="E973" t="n">
        <v>37.45331</v>
      </c>
      <c r="F973" t="inlineStr"/>
      <c r="G973" t="inlineStr"/>
      <c r="H973" t="inlineStr"/>
    </row>
    <row r="974">
      <c r="A974" t="inlineStr">
        <is>
          <t>075bdf20-f8a0-4ece-88ff-ce7392f2b9b4.jpg</t>
        </is>
      </c>
      <c r="B974">
        <f>HYPERLINK("Объекты недвижимости, не соответствующие градостроительным нормам_00-022_Август/075bdf20-f8a0-4ece-88ff-ce7392f2b9b4.jpg","open")</f>
        <v/>
      </c>
      <c r="C974" t="inlineStr">
        <is>
          <t>685d9054-b74f-49ab-857b-109fd2cec80d</t>
        </is>
      </c>
      <c r="D974" t="n">
        <v>55.69162</v>
      </c>
      <c r="E974" t="n">
        <v>37.57581</v>
      </c>
      <c r="F974" t="inlineStr"/>
      <c r="G974" t="inlineStr"/>
      <c r="H974" t="inlineStr"/>
    </row>
    <row r="975">
      <c r="A975" t="inlineStr">
        <is>
          <t>fbeec4bd-204d-45b7-b900-93e756fbac10.jpg</t>
        </is>
      </c>
      <c r="B975">
        <f>HYPERLINK("Объекты недвижимости, не соответствующие градостроительным нормам_00-022_Август/fbeec4bd-204d-45b7-b900-93e756fbac10.jpg","open")</f>
        <v/>
      </c>
      <c r="C975" t="inlineStr">
        <is>
          <t>685d9054-b74f-49ab-857b-109fd2cec80d</t>
        </is>
      </c>
      <c r="D975" t="n">
        <v>55.72073</v>
      </c>
      <c r="E975" t="n">
        <v>37.59881</v>
      </c>
      <c r="F975" t="inlineStr"/>
      <c r="G975" t="inlineStr"/>
      <c r="H975" t="inlineStr"/>
    </row>
    <row r="976">
      <c r="A976" t="inlineStr">
        <is>
          <t>ce57e4f3-b819-4d53-86e3-1e04fb91a81b.jpg</t>
        </is>
      </c>
      <c r="B976">
        <f>HYPERLINK("Объекты недвижимости, не соответствующие градостроительным нормам_00-022_Август/ce57e4f3-b819-4d53-86e3-1e04fb91a81b.jpg","open")</f>
        <v/>
      </c>
      <c r="C976" t="inlineStr">
        <is>
          <t>1231bbc5-e64c-4dc7-9acc-77710f47607a</t>
        </is>
      </c>
      <c r="D976" t="n">
        <v>55.74945</v>
      </c>
      <c r="E976" t="n">
        <v>37.59432</v>
      </c>
      <c r="F976" t="inlineStr"/>
      <c r="G976" t="inlineStr"/>
      <c r="H976" t="inlineStr"/>
    </row>
    <row r="977">
      <c r="A977" t="inlineStr">
        <is>
          <t>96635a8a-491a-4514-bd94-443f2734a0c2.jpg</t>
        </is>
      </c>
      <c r="B977">
        <f>HYPERLINK("Объекты недвижимости, не соответствующие градостроительным нормам_00-022_Август/96635a8a-491a-4514-bd94-443f2734a0c2.jpg","open")</f>
        <v/>
      </c>
      <c r="C977" t="inlineStr">
        <is>
          <t>685d9054-b74f-49ab-857b-109fd2cec80d</t>
        </is>
      </c>
      <c r="D977" t="n">
        <v>55.74945</v>
      </c>
      <c r="E977" t="n">
        <v>37.59432</v>
      </c>
      <c r="F977" t="inlineStr"/>
      <c r="G977" t="inlineStr"/>
      <c r="H977" t="inlineStr"/>
    </row>
    <row r="978">
      <c r="A978" t="inlineStr">
        <is>
          <t>e626af07-1378-478b-81c2-d83515a700ac.jpg</t>
        </is>
      </c>
      <c r="B978">
        <f>HYPERLINK("Объекты недвижимости, не соответствующие градостроительным нормам_00-022_Август/e626af07-1378-478b-81c2-d83515a700ac.jpg","open")</f>
        <v/>
      </c>
      <c r="C978" t="inlineStr">
        <is>
          <t>1231bbc5-e64c-4dc7-9acc-77710f47607a</t>
        </is>
      </c>
      <c r="D978" t="n">
        <v>55.74945</v>
      </c>
      <c r="E978" t="n">
        <v>37.59432</v>
      </c>
      <c r="F978" t="inlineStr"/>
      <c r="G978" t="inlineStr"/>
      <c r="H978" t="inlineStr"/>
    </row>
    <row r="979">
      <c r="A979" t="inlineStr">
        <is>
          <t>4d3851e3-b436-4cdd-83e2-77705503584e.jpg</t>
        </is>
      </c>
      <c r="B979">
        <f>HYPERLINK("Объекты недвижимости, не соответствующие градостроительным нормам_00-022_Август/4d3851e3-b436-4cdd-83e2-77705503584e.jpg","open")</f>
        <v/>
      </c>
      <c r="C979" t="inlineStr">
        <is>
          <t>685d9054-b74f-49ab-857b-109fd2cec80d</t>
        </is>
      </c>
      <c r="D979" t="n">
        <v>55.71876</v>
      </c>
      <c r="E979" t="n">
        <v>37.42617</v>
      </c>
      <c r="F979" t="inlineStr"/>
      <c r="G979" t="inlineStr"/>
      <c r="H979" t="inlineStr"/>
    </row>
    <row r="980">
      <c r="A980" t="inlineStr">
        <is>
          <t>27db1b1a-af7d-4584-ad47-3e14b557bd75.jpg</t>
        </is>
      </c>
      <c r="B980">
        <f>HYPERLINK("Объекты недвижимости, не соответствующие градостроительным нормам_00-022_Август/27db1b1a-af7d-4584-ad47-3e14b557bd75.jpg","open")</f>
        <v/>
      </c>
      <c r="C980" t="inlineStr">
        <is>
          <t>685d9054-b74f-49ab-857b-109fd2cec80d</t>
        </is>
      </c>
      <c r="D980" t="n">
        <v>55.71876</v>
      </c>
      <c r="E980" t="n">
        <v>37.42617</v>
      </c>
      <c r="F980" t="inlineStr"/>
      <c r="G980" t="inlineStr"/>
      <c r="H980" t="inlineStr"/>
    </row>
    <row r="981">
      <c r="A981" t="inlineStr">
        <is>
          <t>49489e25-ab44-4f7d-9de0-c1f97ce8e3f7.jpg</t>
        </is>
      </c>
      <c r="B981">
        <f>HYPERLINK("Объекты недвижимости, не соответствующие градостроительным нормам_00-022_Август/49489e25-ab44-4f7d-9de0-c1f97ce8e3f7.jpg","open")</f>
        <v/>
      </c>
      <c r="C981" t="inlineStr">
        <is>
          <t>61936922-4d4b-458e-80ea-6d4c450aa1d5</t>
        </is>
      </c>
      <c r="D981" t="n">
        <v>55.56448</v>
      </c>
      <c r="E981" t="n">
        <v>38.28477</v>
      </c>
      <c r="F981" t="inlineStr"/>
      <c r="G981" t="inlineStr"/>
      <c r="H981" t="inlineStr"/>
    </row>
    <row r="982">
      <c r="A982" t="inlineStr">
        <is>
          <t>b13240cd-9d51-46a2-bac1-6cb98223ab74.jpg</t>
        </is>
      </c>
      <c r="B982">
        <f>HYPERLINK("Объекты недвижимости, не соответствующие градостроительным нормам_00-022_Август/b13240cd-9d51-46a2-bac1-6cb98223ab74.jpg","open")</f>
        <v/>
      </c>
      <c r="C982" t="inlineStr">
        <is>
          <t>fb40ed24-21ef-458a-a239-038ab19932cc</t>
        </is>
      </c>
      <c r="D982" t="n">
        <v>55.81948</v>
      </c>
      <c r="E982" t="n">
        <v>37.75145</v>
      </c>
      <c r="F982" t="inlineStr"/>
      <c r="G982" t="inlineStr"/>
      <c r="H982" t="inlineStr"/>
    </row>
    <row r="983">
      <c r="A983" t="inlineStr">
        <is>
          <t>13c92283-5009-4e45-b3f6-145ed4e3dda7.jpg</t>
        </is>
      </c>
      <c r="B983">
        <f>HYPERLINK("Объекты недвижимости, не соответствующие градостроительным нормам_00-022_Август/13c92283-5009-4e45-b3f6-145ed4e3dda7.jpg","open")</f>
        <v/>
      </c>
      <c r="C983" t="inlineStr">
        <is>
          <t>fb40ed24-21ef-458a-a239-038ab19932cc</t>
        </is>
      </c>
      <c r="D983" t="n">
        <v>55.90612</v>
      </c>
      <c r="E983" t="n">
        <v>37.28503</v>
      </c>
      <c r="F983" t="inlineStr"/>
      <c r="G983" t="inlineStr"/>
      <c r="H983" t="inlineStr"/>
    </row>
    <row r="984">
      <c r="A984" t="inlineStr">
        <is>
          <t>8d1045ef-7421-46b4-8550-a5667e15ce4f.jpg</t>
        </is>
      </c>
      <c r="B984">
        <f>HYPERLINK("Объекты недвижимости, не соответствующие градостроительным нормам_00-022_Август/8d1045ef-7421-46b4-8550-a5667e15ce4f.jpg","open")</f>
        <v/>
      </c>
      <c r="C984" t="inlineStr">
        <is>
          <t>fb40ed24-21ef-458a-a239-038ab19932cc</t>
        </is>
      </c>
      <c r="D984" t="n">
        <v>55.82167</v>
      </c>
      <c r="E984" t="n">
        <v>37.7415</v>
      </c>
      <c r="F984" t="inlineStr"/>
      <c r="G984" t="inlineStr"/>
      <c r="H984" t="inlineStr"/>
    </row>
    <row r="985">
      <c r="A985" t="inlineStr">
        <is>
          <t>8a8e8a80-06a8-4fcd-8c88-d947e1300396.jpg</t>
        </is>
      </c>
      <c r="B985">
        <f>HYPERLINK("Объекты недвижимости, не соответствующие градостроительным нормам_00-022_Август/8a8e8a80-06a8-4fcd-8c88-d947e1300396.jpg","open")</f>
        <v/>
      </c>
      <c r="C985" t="inlineStr">
        <is>
          <t>fce890a6-27da-4062-a046-08262a160ee6</t>
        </is>
      </c>
      <c r="D985" t="n">
        <v>55.72334</v>
      </c>
      <c r="E985" t="n">
        <v>37.712</v>
      </c>
      <c r="F985" t="inlineStr"/>
      <c r="G985" t="inlineStr"/>
      <c r="H985" t="inlineStr"/>
    </row>
    <row r="986">
      <c r="A986" t="inlineStr">
        <is>
          <t>a6b2b763-df73-4e75-98e2-f5ea97b6da7c.jpg</t>
        </is>
      </c>
      <c r="B986">
        <f>HYPERLINK("Объекты недвижимости, не соответствующие градостроительным нормам_00-022_Август/a6b2b763-df73-4e75-98e2-f5ea97b6da7c.jpg","open")</f>
        <v/>
      </c>
      <c r="C986" t="inlineStr">
        <is>
          <t>fce890a6-27da-4062-a046-08262a160ee6</t>
        </is>
      </c>
      <c r="D986" t="n">
        <v>55.72334</v>
      </c>
      <c r="E986" t="n">
        <v>37.712</v>
      </c>
      <c r="F986" t="inlineStr"/>
      <c r="G986" t="inlineStr"/>
      <c r="H986" t="inlineStr"/>
    </row>
    <row r="987">
      <c r="A987" t="inlineStr">
        <is>
          <t>c7bcf24d-28a0-4afb-b7d0-bcb7d6b1bc51.jpg</t>
        </is>
      </c>
      <c r="B987">
        <f>HYPERLINK("Объекты недвижимости, не соответствующие градостроительным нормам_00-022_Август/c7bcf24d-28a0-4afb-b7d0-bcb7d6b1bc51.jpg","open")</f>
        <v/>
      </c>
      <c r="C987" t="inlineStr">
        <is>
          <t>ab4e767f-65c0-455b-af20-a5527124fd21</t>
        </is>
      </c>
      <c r="D987" t="n">
        <v>55.97813</v>
      </c>
      <c r="E987" t="n">
        <v>37.40088</v>
      </c>
      <c r="F987" t="inlineStr"/>
      <c r="G987" t="inlineStr"/>
      <c r="H987" t="inlineStr"/>
    </row>
    <row r="988">
      <c r="A988" t="inlineStr">
        <is>
          <t>365a5c50-b315-4fc6-a8a9-cab26c6dccce.jpg</t>
        </is>
      </c>
      <c r="B988">
        <f>HYPERLINK("Объекты недвижимости, не соответствующие градостроительным нормам_00-022_Август/365a5c50-b315-4fc6-a8a9-cab26c6dccce.jpg","open")</f>
        <v/>
      </c>
      <c r="C988" t="inlineStr">
        <is>
          <t>cbf95b01-f708-45a3-9ec0-3603469b538e</t>
        </is>
      </c>
      <c r="D988" t="n">
        <v>55.73397</v>
      </c>
      <c r="E988" t="n">
        <v>37.67504</v>
      </c>
      <c r="F988" t="inlineStr"/>
      <c r="G988" t="inlineStr"/>
      <c r="H988" t="inlineStr"/>
    </row>
    <row r="989">
      <c r="A989" t="inlineStr">
        <is>
          <t>80f4d65f-8c33-462b-a619-5ab75fb415ea.jpg</t>
        </is>
      </c>
      <c r="B989">
        <f>HYPERLINK("Объекты недвижимости, не соответствующие градостроительным нормам_00-022_Август/80f4d65f-8c33-462b-a619-5ab75fb415ea.jpg","open")</f>
        <v/>
      </c>
      <c r="C989" t="inlineStr">
        <is>
          <t>cbf95b01-f708-45a3-9ec0-3603469b538e</t>
        </is>
      </c>
      <c r="D989" t="n">
        <v>55.73397</v>
      </c>
      <c r="E989" t="n">
        <v>37.67504</v>
      </c>
      <c r="F989" t="inlineStr"/>
      <c r="G989" t="inlineStr"/>
      <c r="H989" t="inlineStr"/>
    </row>
    <row r="990">
      <c r="A990" t="inlineStr">
        <is>
          <t>be11dd62-340c-4086-a600-9ee2381cd45b.jpg</t>
        </is>
      </c>
      <c r="B990">
        <f>HYPERLINK("Объекты недвижимости, не соответствующие градостроительным нормам_00-022_Август/be11dd62-340c-4086-a600-9ee2381cd45b.jpg","open")</f>
        <v/>
      </c>
      <c r="C990" t="inlineStr">
        <is>
          <t>cbf95b01-f708-45a3-9ec0-3603469b538e</t>
        </is>
      </c>
      <c r="D990" t="n">
        <v>55.73397</v>
      </c>
      <c r="E990" t="n">
        <v>37.67504</v>
      </c>
      <c r="F990" t="inlineStr"/>
      <c r="G990" t="inlineStr"/>
      <c r="H990" t="inlineStr"/>
    </row>
    <row r="991">
      <c r="A991" t="inlineStr">
        <is>
          <t>90b5dd89-dfa4-4bca-a01a-8c05d170ca0b.jpg</t>
        </is>
      </c>
      <c r="B991">
        <f>HYPERLINK("Объекты недвижимости, не соответствующие градостроительным нормам_00-022_Август/90b5dd89-dfa4-4bca-a01a-8c05d170ca0b.jpg","open")</f>
        <v/>
      </c>
      <c r="C991" t="inlineStr">
        <is>
          <t>caa4772d-6278-4484-a046-ee25514bf521</t>
        </is>
      </c>
      <c r="D991" t="n">
        <v>55.65377</v>
      </c>
      <c r="E991" t="n">
        <v>37.79067</v>
      </c>
      <c r="F991" t="inlineStr"/>
      <c r="G991" t="inlineStr"/>
      <c r="H991" t="inlineStr"/>
    </row>
    <row r="992">
      <c r="A992" t="inlineStr">
        <is>
          <t>b85b69b4-b551-4b5e-8e35-5f47eca40ebb.jpg</t>
        </is>
      </c>
      <c r="B992">
        <f>HYPERLINK("Объекты недвижимости, не соответствующие градостроительным нормам_00-022_Август/b85b69b4-b551-4b5e-8e35-5f47eca40ebb.jpg","open")</f>
        <v/>
      </c>
      <c r="C992" t="inlineStr">
        <is>
          <t>f6f80c84-5569-48fd-b627-6f41ce4c61c4</t>
        </is>
      </c>
      <c r="D992" t="n">
        <v>55.65377</v>
      </c>
      <c r="E992" t="n">
        <v>37.79067</v>
      </c>
      <c r="F992" t="inlineStr"/>
      <c r="G992" t="inlineStr"/>
      <c r="H992" t="inlineStr"/>
    </row>
    <row r="993">
      <c r="A993" t="inlineStr">
        <is>
          <t>bf77ddaa-ee85-4c60-b30b-2ac9c08b8632.jpg</t>
        </is>
      </c>
      <c r="B993">
        <f>HYPERLINK("Объекты недвижимости, не соответствующие градостроительным нормам_00-022_Август/bf77ddaa-ee85-4c60-b30b-2ac9c08b8632.jpg","open")</f>
        <v/>
      </c>
      <c r="C993" t="inlineStr">
        <is>
          <t>cbf95b01-f708-45a3-9ec0-3603469b538e</t>
        </is>
      </c>
      <c r="D993" t="n">
        <v>55.73397</v>
      </c>
      <c r="E993" t="n">
        <v>37.67504</v>
      </c>
      <c r="F993" t="inlineStr"/>
      <c r="G993" t="inlineStr"/>
      <c r="H993" t="inlineStr"/>
    </row>
    <row r="994">
      <c r="A994" t="inlineStr">
        <is>
          <t>8bba332c-2f4c-47be-a765-47d5d0940180.jpg</t>
        </is>
      </c>
      <c r="B994">
        <f>HYPERLINK("Объекты недвижимости, не соответствующие градостроительным нормам_00-022_Август/8bba332c-2f4c-47be-a765-47d5d0940180.jpg","open")</f>
        <v/>
      </c>
      <c r="C994" t="inlineStr">
        <is>
          <t>cbf95b01-f708-45a3-9ec0-3603469b538e</t>
        </is>
      </c>
      <c r="D994" t="n">
        <v>55.73397</v>
      </c>
      <c r="E994" t="n">
        <v>37.67504</v>
      </c>
      <c r="F994" t="inlineStr"/>
      <c r="G994" t="inlineStr"/>
      <c r="H994" t="inlineStr"/>
    </row>
    <row r="995">
      <c r="A995" t="inlineStr">
        <is>
          <t>e447914d-00f3-40df-b0bc-7bde575fb5c3.jpg</t>
        </is>
      </c>
      <c r="B995">
        <f>HYPERLINK("Объекты недвижимости, не соответствующие градостроительным нормам_00-022_Август/e447914d-00f3-40df-b0bc-7bde575fb5c3.jpg","open")</f>
        <v/>
      </c>
      <c r="C995" t="inlineStr">
        <is>
          <t>9f88688f-4c81-42a8-b76a-3c3e7edf869e</t>
        </is>
      </c>
      <c r="D995" t="n">
        <v>55.72334</v>
      </c>
      <c r="E995" t="n">
        <v>37.712</v>
      </c>
      <c r="F995" t="inlineStr"/>
      <c r="G995" t="inlineStr"/>
      <c r="H995" t="inlineStr"/>
    </row>
    <row r="996">
      <c r="A996" t="inlineStr">
        <is>
          <t>42c01f10-a462-4bea-a38f-5fed47893960.jpg</t>
        </is>
      </c>
      <c r="B996">
        <f>HYPERLINK("Объекты недвижимости, не соответствующие градостроительным нормам_00-022_Август/42c01f10-a462-4bea-a38f-5fed47893960.jpg","open")</f>
        <v/>
      </c>
      <c r="C996" t="inlineStr">
        <is>
          <t>fce890a6-27da-4062-a046-08262a160ee6</t>
        </is>
      </c>
      <c r="D996" t="n">
        <v>55.72334</v>
      </c>
      <c r="E996" t="n">
        <v>37.712</v>
      </c>
      <c r="F996" t="inlineStr"/>
      <c r="G996" t="inlineStr"/>
      <c r="H996" t="inlineStr"/>
    </row>
    <row r="997">
      <c r="A997" t="inlineStr">
        <is>
          <t>24c40e6e-aed1-4878-866a-580a2adb98f6.jpg</t>
        </is>
      </c>
      <c r="B997">
        <f>HYPERLINK("Объекты недвижимости, не соответствующие градостроительным нормам_00-022_Август/24c40e6e-aed1-4878-866a-580a2adb98f6.jpg","open")</f>
        <v/>
      </c>
      <c r="C997" t="inlineStr">
        <is>
          <t>cbf95b01-f708-45a3-9ec0-3603469b538e</t>
        </is>
      </c>
      <c r="D997" t="n">
        <v>55.73397</v>
      </c>
      <c r="E997" t="n">
        <v>37.67504</v>
      </c>
      <c r="F997" t="inlineStr"/>
      <c r="G997" t="inlineStr"/>
      <c r="H997" t="inlineStr"/>
    </row>
    <row r="998">
      <c r="A998" t="inlineStr">
        <is>
          <t>d1f69954-bc03-4e61-985e-ddfb63727fd2.jpg</t>
        </is>
      </c>
      <c r="B998">
        <f>HYPERLINK("Объекты недвижимости, не соответствующие градостроительным нормам_00-022_Август/d1f69954-bc03-4e61-985e-ddfb63727fd2.jpg","open")</f>
        <v/>
      </c>
      <c r="C998" t="inlineStr">
        <is>
          <t>fce890a6-27da-4062-a046-08262a160ee6</t>
        </is>
      </c>
      <c r="D998" t="n">
        <v>55.72334</v>
      </c>
      <c r="E998" t="n">
        <v>37.712</v>
      </c>
      <c r="F998" t="inlineStr"/>
      <c r="G998" t="inlineStr"/>
      <c r="H998" t="inlineStr"/>
    </row>
    <row r="999">
      <c r="A999" t="inlineStr">
        <is>
          <t>b5057dd0-355d-4f50-b9d0-45d2c557777d.jpg</t>
        </is>
      </c>
      <c r="B999">
        <f>HYPERLINK("Объекты недвижимости, не соответствующие градостроительным нормам_00-022_Август/b5057dd0-355d-4f50-b9d0-45d2c557777d.jpg","open")</f>
        <v/>
      </c>
      <c r="C999" t="inlineStr">
        <is>
          <t>a1a9db89-3f74-42ef-8fad-ad69705102cd</t>
        </is>
      </c>
      <c r="D999" t="n">
        <v>55.73397</v>
      </c>
      <c r="E999" t="n">
        <v>37.67504</v>
      </c>
      <c r="F999" t="inlineStr"/>
      <c r="G999" t="inlineStr"/>
      <c r="H999" t="inlineStr"/>
    </row>
    <row r="1000">
      <c r="A1000" t="inlineStr">
        <is>
          <t>dc4a5a34-4472-4b1f-ab01-cf4aefa7906d.jpg</t>
        </is>
      </c>
      <c r="B1000">
        <f>HYPERLINK("Объекты недвижимости, не соответствующие градостроительным нормам_00-022_Август/dc4a5a34-4472-4b1f-ab01-cf4aefa7906d.jpg","open")</f>
        <v/>
      </c>
      <c r="C1000" t="inlineStr">
        <is>
          <t>a1a9db89-3f74-42ef-8fad-ad69705102cd</t>
        </is>
      </c>
      <c r="D1000" t="n">
        <v>55.73397</v>
      </c>
      <c r="E1000" t="n">
        <v>37.67504</v>
      </c>
      <c r="F1000" t="inlineStr"/>
      <c r="G1000" t="inlineStr"/>
      <c r="H1000" t="inlineStr"/>
    </row>
    <row r="1001">
      <c r="A1001" t="inlineStr">
        <is>
          <t>ba7fe3a1-d22e-4938-80fd-09645bbdbd5d.jpg</t>
        </is>
      </c>
      <c r="B1001">
        <f>HYPERLINK("Объекты недвижимости, не соответствующие градостроительным нормам_00-022_Август/ba7fe3a1-d22e-4938-80fd-09645bbdbd5d.jpg","open")</f>
        <v/>
      </c>
      <c r="C1001" t="inlineStr">
        <is>
          <t>cbf95b01-f708-45a3-9ec0-3603469b538e</t>
        </is>
      </c>
      <c r="D1001" t="n">
        <v>55.73397</v>
      </c>
      <c r="E1001" t="n">
        <v>37.67504</v>
      </c>
      <c r="F1001" t="inlineStr"/>
      <c r="G1001" t="inlineStr"/>
      <c r="H1001" t="inlineStr"/>
    </row>
    <row r="1002">
      <c r="A1002" t="inlineStr">
        <is>
          <t>81d28452-0b5e-4cc2-b7f8-026d4b1360e6.jpg</t>
        </is>
      </c>
      <c r="B1002">
        <f>HYPERLINK("Объекты недвижимости, не соответствующие градостроительным нормам_00-022_Август/81d28452-0b5e-4cc2-b7f8-026d4b1360e6.jpg","open")</f>
        <v/>
      </c>
      <c r="C1002" t="inlineStr">
        <is>
          <t>cbf95b01-f708-45a3-9ec0-3603469b538e</t>
        </is>
      </c>
      <c r="D1002" t="n">
        <v>55.73397</v>
      </c>
      <c r="E1002" t="n">
        <v>37.67504</v>
      </c>
      <c r="F1002" t="inlineStr"/>
      <c r="G1002" t="inlineStr"/>
      <c r="H1002" t="inlineStr"/>
    </row>
    <row r="1003">
      <c r="A1003" t="inlineStr">
        <is>
          <t>0978775d-3509-42e6-b0af-f6c4009415c0.jpg</t>
        </is>
      </c>
      <c r="B1003">
        <f>HYPERLINK("Объекты недвижимости, не соответствующие градостроительным нормам_00-022_Август/0978775d-3509-42e6-b0af-f6c4009415c0.jpg","open")</f>
        <v/>
      </c>
      <c r="C1003" t="inlineStr">
        <is>
          <t>8cde1fd0-eca1-4510-86ab-3c743b65fdfc</t>
        </is>
      </c>
      <c r="D1003" t="n">
        <v>55.83448</v>
      </c>
      <c r="E1003" t="n">
        <v>37.65193</v>
      </c>
      <c r="F1003" t="inlineStr"/>
      <c r="G1003" t="inlineStr"/>
      <c r="H1003" t="inlineStr"/>
    </row>
    <row r="1004">
      <c r="A1004" t="inlineStr">
        <is>
          <t>4471d610-0227-4373-9e5a-701338e83e2c.jpg</t>
        </is>
      </c>
      <c r="B1004">
        <f>HYPERLINK("Объекты недвижимости, не соответствующие градостроительным нормам_00-022_Август/4471d610-0227-4373-9e5a-701338e83e2c.jpg","open")</f>
        <v/>
      </c>
      <c r="C1004" t="inlineStr">
        <is>
          <t>8cde1fd0-eca1-4510-86ab-3c743b65fdfc</t>
        </is>
      </c>
      <c r="D1004" t="n">
        <v>55.83448</v>
      </c>
      <c r="E1004" t="n">
        <v>37.65193</v>
      </c>
      <c r="F1004" t="inlineStr"/>
      <c r="G1004" t="inlineStr"/>
      <c r="H1004" t="inlineStr"/>
    </row>
    <row r="1005">
      <c r="A1005" t="inlineStr">
        <is>
          <t>d4f3fe33-161d-4c92-b418-745180841adc.jpg</t>
        </is>
      </c>
      <c r="B1005">
        <f>HYPERLINK("Объекты недвижимости, не соответствующие градостроительным нормам_00-022_Август/d4f3fe33-161d-4c92-b418-745180841adc.jpg","open")</f>
        <v/>
      </c>
      <c r="C1005" t="inlineStr">
        <is>
          <t>cbf95b01-f708-45a3-9ec0-3603469b538e</t>
        </is>
      </c>
      <c r="D1005" t="n">
        <v>55.68697</v>
      </c>
      <c r="E1005" t="n">
        <v>37.54312</v>
      </c>
      <c r="F1005" t="inlineStr"/>
      <c r="G1005" t="inlineStr"/>
      <c r="H1005" t="inlineStr"/>
    </row>
    <row r="1006">
      <c r="A1006" t="inlineStr">
        <is>
          <t>90662514-f097-46c0-8ee3-09ce71a0ab1a.jpg</t>
        </is>
      </c>
      <c r="B1006">
        <f>HYPERLINK("Объекты недвижимости, не соответствующие градостроительным нормам_00-022_Август/90662514-f097-46c0-8ee3-09ce71a0ab1a.jpg","open")</f>
        <v/>
      </c>
      <c r="C1006" t="inlineStr">
        <is>
          <t>cbf95b01-f708-45a3-9ec0-3603469b538e</t>
        </is>
      </c>
      <c r="D1006" t="n">
        <v>55.68637</v>
      </c>
      <c r="E1006" t="n">
        <v>37.54219</v>
      </c>
      <c r="F1006" t="inlineStr"/>
      <c r="G1006" t="inlineStr"/>
      <c r="H1006" t="inlineStr"/>
    </row>
    <row r="1007">
      <c r="A1007" t="inlineStr">
        <is>
          <t>b596f835-08a7-4d23-bb86-cf05f23e5e04.jpg</t>
        </is>
      </c>
      <c r="B1007">
        <f>HYPERLINK("Объекты недвижимости, не соответствующие градостроительным нормам_00-022_Август/b596f835-08a7-4d23-bb86-cf05f23e5e04.jpg","open")</f>
        <v/>
      </c>
      <c r="C1007" t="inlineStr">
        <is>
          <t>cbf95b01-f708-45a3-9ec0-3603469b538e</t>
        </is>
      </c>
      <c r="D1007" t="n">
        <v>55.68543</v>
      </c>
      <c r="E1007" t="n">
        <v>37.54079</v>
      </c>
      <c r="F1007" t="inlineStr"/>
      <c r="G1007" t="inlineStr"/>
      <c r="H1007" t="inlineStr"/>
    </row>
    <row r="1008">
      <c r="A1008" t="inlineStr">
        <is>
          <t>23833117-c79f-4c9c-bddd-34a9c021b177.jpg</t>
        </is>
      </c>
      <c r="B1008">
        <f>HYPERLINK("Объекты недвижимости, не соответствующие градостроительным нормам_00-022_Август/23833117-c79f-4c9c-bddd-34a9c021b177.jpg","open")</f>
        <v/>
      </c>
      <c r="C1008" t="inlineStr">
        <is>
          <t>8cde1fd0-eca1-4510-86ab-3c743b65fdfc</t>
        </is>
      </c>
      <c r="D1008" t="n">
        <v>55.83448</v>
      </c>
      <c r="E1008" t="n">
        <v>37.65193</v>
      </c>
      <c r="F1008" t="inlineStr"/>
      <c r="G1008" t="inlineStr"/>
      <c r="H1008" t="inlineStr"/>
    </row>
    <row r="1009">
      <c r="A1009" t="inlineStr">
        <is>
          <t>9ed56e81-0af8-46f3-8916-bc969809aaa0.jpg</t>
        </is>
      </c>
      <c r="B1009">
        <f>HYPERLINK("Объекты недвижимости, не соответствующие градостроительным нормам_00-022_Август/9ed56e81-0af8-46f3-8916-bc969809aaa0.jpg","open")</f>
        <v/>
      </c>
      <c r="C1009" t="inlineStr">
        <is>
          <t>1c951e11-4940-43c6-a447-394097e5609a</t>
        </is>
      </c>
      <c r="D1009" t="n">
        <v>55.83448</v>
      </c>
      <c r="E1009" t="n">
        <v>37.65193</v>
      </c>
      <c r="F1009" t="inlineStr"/>
      <c r="G1009" t="inlineStr"/>
      <c r="H1009" t="inlineStr"/>
    </row>
    <row r="1010">
      <c r="A1010" t="inlineStr">
        <is>
          <t>24b78916-9ded-46f0-81b7-065723ac8359.jpg</t>
        </is>
      </c>
      <c r="B1010">
        <f>HYPERLINK("Объекты недвижимости, не соответствующие градостроительным нормам_00-022_Август/24b78916-9ded-46f0-81b7-065723ac8359.jpg","open")</f>
        <v/>
      </c>
      <c r="C1010" t="inlineStr">
        <is>
          <t>cbf95b01-f708-45a3-9ec0-3603469b538e</t>
        </is>
      </c>
      <c r="D1010" t="n">
        <v>55.68485</v>
      </c>
      <c r="E1010" t="n">
        <v>37.53987</v>
      </c>
      <c r="F1010" t="inlineStr"/>
      <c r="G1010" t="inlineStr"/>
      <c r="H1010" t="inlineStr"/>
    </row>
    <row r="1011">
      <c r="A1011" t="inlineStr">
        <is>
          <t>74267b23-9b2a-4f53-a789-f00f54c22eea.jpg</t>
        </is>
      </c>
      <c r="B1011">
        <f>HYPERLINK("Объекты недвижимости, не соответствующие градостроительным нормам_00-022_Август/74267b23-9b2a-4f53-a789-f00f54c22eea.jpg","open")</f>
        <v/>
      </c>
      <c r="C1011" t="inlineStr">
        <is>
          <t>8cde1fd0-eca1-4510-86ab-3c743b65fdfc</t>
        </is>
      </c>
      <c r="D1011" t="n">
        <v>55.83448</v>
      </c>
      <c r="E1011" t="n">
        <v>37.65193</v>
      </c>
      <c r="F1011" t="inlineStr"/>
      <c r="G1011" t="inlineStr"/>
      <c r="H1011" t="inlineStr"/>
    </row>
    <row r="1012">
      <c r="A1012" t="inlineStr">
        <is>
          <t>ce381bbe-8fb9-4400-ae42-c1f08baa23b4.jpg</t>
        </is>
      </c>
      <c r="B1012">
        <f>HYPERLINK("Объекты недвижимости, не соответствующие градостроительным нормам_00-022_Август/ce381bbe-8fb9-4400-ae42-c1f08baa23b4.jpg","open")</f>
        <v/>
      </c>
      <c r="C1012" t="inlineStr">
        <is>
          <t>cbf95b01-f708-45a3-9ec0-3603469b538e</t>
        </is>
      </c>
      <c r="D1012" t="n">
        <v>55.68472</v>
      </c>
      <c r="E1012" t="n">
        <v>37.53969</v>
      </c>
      <c r="F1012" t="inlineStr"/>
      <c r="G1012" t="inlineStr"/>
      <c r="H1012" t="inlineStr"/>
    </row>
    <row r="1013">
      <c r="A1013" t="inlineStr">
        <is>
          <t>33546c7f-176c-4759-aace-90913cae4b1b.jpg</t>
        </is>
      </c>
      <c r="B1013">
        <f>HYPERLINK("Объекты недвижимости, не соответствующие градостроительным нормам_00-022_Август/33546c7f-176c-4759-aace-90913cae4b1b.jpg","open")</f>
        <v/>
      </c>
      <c r="C1013" t="inlineStr">
        <is>
          <t>cbf95b01-f708-45a3-9ec0-3603469b538e</t>
        </is>
      </c>
      <c r="D1013" t="n">
        <v>55.6834</v>
      </c>
      <c r="E1013" t="n">
        <v>37.53761</v>
      </c>
      <c r="F1013" t="inlineStr"/>
      <c r="G1013" t="inlineStr"/>
      <c r="H1013" t="inlineStr"/>
    </row>
    <row r="1014">
      <c r="A1014" t="inlineStr">
        <is>
          <t>bc8eb254-7014-4723-8f4f-a5c7930e2816.jpg</t>
        </is>
      </c>
      <c r="B1014">
        <f>HYPERLINK("Объекты недвижимости, не соответствующие градостроительным нормам_00-022_Август/bc8eb254-7014-4723-8f4f-a5c7930e2816.jpg","open")</f>
        <v/>
      </c>
      <c r="C1014" t="inlineStr">
        <is>
          <t>8cde1fd0-eca1-4510-86ab-3c743b65fdfc</t>
        </is>
      </c>
      <c r="D1014" t="n">
        <v>55.78174</v>
      </c>
      <c r="E1014" t="n">
        <v>37.72243</v>
      </c>
      <c r="F1014" t="inlineStr"/>
      <c r="G1014" t="inlineStr"/>
      <c r="H1014" t="inlineStr"/>
    </row>
    <row r="1015">
      <c r="A1015" t="inlineStr">
        <is>
          <t>e92559a3-d1a4-418d-9c60-3a61eb8da6a4.jpg</t>
        </is>
      </c>
      <c r="B1015">
        <f>HYPERLINK("Объекты недвижимости, не соответствующие градостроительным нормам_00-022_Август/e92559a3-d1a4-418d-9c60-3a61eb8da6a4.jpg","open")</f>
        <v/>
      </c>
      <c r="C1015" t="inlineStr">
        <is>
          <t>1c951e11-4940-43c6-a447-394097e5609a</t>
        </is>
      </c>
      <c r="D1015" t="n">
        <v>55.78174</v>
      </c>
      <c r="E1015" t="n">
        <v>37.72243</v>
      </c>
      <c r="F1015" t="inlineStr"/>
      <c r="G1015" t="inlineStr"/>
      <c r="H1015" t="inlineStr"/>
    </row>
    <row r="1016">
      <c r="A1016" t="inlineStr">
        <is>
          <t>95ff92c1-dae6-473e-be90-2d6e3afd91c5.jpg</t>
        </is>
      </c>
      <c r="B1016">
        <f>HYPERLINK("Объекты недвижимости, не соответствующие градостроительным нормам_00-022_Август/95ff92c1-dae6-473e-be90-2d6e3afd91c5.jpg","open")</f>
        <v/>
      </c>
      <c r="C1016" t="inlineStr">
        <is>
          <t>caa4772d-6278-4484-a046-ee25514bf521</t>
        </is>
      </c>
      <c r="D1016" t="n">
        <v>55.65377</v>
      </c>
      <c r="E1016" t="n">
        <v>37.79067</v>
      </c>
      <c r="F1016" t="inlineStr"/>
      <c r="G1016" t="inlineStr"/>
      <c r="H1016" t="inlineStr"/>
    </row>
    <row r="1017">
      <c r="A1017" t="inlineStr">
        <is>
          <t>a3bf73b2-7487-46be-ba1e-9e3addd88d22.jpg</t>
        </is>
      </c>
      <c r="B1017">
        <f>HYPERLINK("Объекты недвижимости, не соответствующие градостроительным нормам_00-022_Август/a3bf73b2-7487-46be-ba1e-9e3addd88d22.jpg","open")</f>
        <v/>
      </c>
      <c r="C1017" t="inlineStr">
        <is>
          <t>cbf95b01-f708-45a3-9ec0-3603469b538e</t>
        </is>
      </c>
      <c r="D1017" t="n">
        <v>55.68206</v>
      </c>
      <c r="E1017" t="n">
        <v>37.53044</v>
      </c>
      <c r="F1017" t="inlineStr"/>
      <c r="G1017" t="inlineStr"/>
      <c r="H1017" t="inlineStr"/>
    </row>
    <row r="1018">
      <c r="A1018" t="inlineStr">
        <is>
          <t>bf345c02-fb09-4122-8f30-05b1aa7d4f13.jpg</t>
        </is>
      </c>
      <c r="B1018">
        <f>HYPERLINK("Объекты недвижимости, не соответствующие градостроительным нормам_00-022_Август/bf345c02-fb09-4122-8f30-05b1aa7d4f13.jpg","open")</f>
        <v/>
      </c>
      <c r="C1018" t="inlineStr">
        <is>
          <t>1c951e11-4940-43c6-a447-394097e5609a</t>
        </is>
      </c>
      <c r="D1018" t="n">
        <v>55.78264</v>
      </c>
      <c r="E1018" t="n">
        <v>37.72585</v>
      </c>
      <c r="F1018" t="inlineStr"/>
      <c r="G1018" t="inlineStr"/>
      <c r="H1018" t="inlineStr"/>
    </row>
    <row r="1019">
      <c r="A1019" t="inlineStr">
        <is>
          <t>4103f5f5-d96f-4711-8c89-0b214b6d0d44.jpg</t>
        </is>
      </c>
      <c r="B1019">
        <f>HYPERLINK("Объекты недвижимости, не соответствующие градостроительным нормам_00-022_Август/4103f5f5-d96f-4711-8c89-0b214b6d0d44.jpg","open")</f>
        <v/>
      </c>
      <c r="C1019" t="inlineStr">
        <is>
          <t>1c951e11-4940-43c6-a447-394097e5609a</t>
        </is>
      </c>
      <c r="D1019" t="n">
        <v>55.78275</v>
      </c>
      <c r="E1019" t="n">
        <v>37.72581</v>
      </c>
      <c r="F1019" t="inlineStr"/>
      <c r="G1019" t="inlineStr"/>
      <c r="H1019" t="inlineStr"/>
    </row>
    <row r="1020">
      <c r="A1020" t="inlineStr">
        <is>
          <t>d5196a53-4f9e-4378-b24f-899a13536202.jpg</t>
        </is>
      </c>
      <c r="B1020">
        <f>HYPERLINK("Объекты недвижимости, не соответствующие градостроительным нормам_00-022_Август/d5196a53-4f9e-4378-b24f-899a13536202.jpg","open")</f>
        <v/>
      </c>
      <c r="C1020" t="inlineStr">
        <is>
          <t>8cde1fd0-eca1-4510-86ab-3c743b65fdfc</t>
        </is>
      </c>
      <c r="D1020" t="n">
        <v>55.78297</v>
      </c>
      <c r="E1020" t="n">
        <v>37.72573</v>
      </c>
      <c r="F1020" t="inlineStr"/>
      <c r="G1020" t="inlineStr"/>
      <c r="H1020" t="inlineStr"/>
    </row>
    <row r="1021">
      <c r="A1021" t="inlineStr">
        <is>
          <t>3fe1dd85-b3d8-43f3-adbc-57702186b0fc.jpg</t>
        </is>
      </c>
      <c r="B1021">
        <f>HYPERLINK("Объекты недвижимости, не соответствующие градостроительным нормам_00-022_Август/3fe1dd85-b3d8-43f3-adbc-57702186b0fc.jpg","open")</f>
        <v/>
      </c>
      <c r="C1021" t="inlineStr">
        <is>
          <t>1c951e11-4940-43c6-a447-394097e5609a</t>
        </is>
      </c>
      <c r="D1021" t="n">
        <v>55.78337</v>
      </c>
      <c r="E1021" t="n">
        <v>37.72587</v>
      </c>
      <c r="F1021" t="inlineStr"/>
      <c r="G1021" t="inlineStr"/>
      <c r="H1021" t="inlineStr"/>
    </row>
    <row r="1022">
      <c r="A1022" t="inlineStr">
        <is>
          <t>bd83b698-f4c1-499e-a55e-872a7bfb30f5.jpg</t>
        </is>
      </c>
      <c r="B1022">
        <f>HYPERLINK("Объекты недвижимости, не соответствующие градостроительным нормам_00-022_Август/bd83b698-f4c1-499e-a55e-872a7bfb30f5.jpg","open")</f>
        <v/>
      </c>
      <c r="C1022" t="inlineStr">
        <is>
          <t>ed2bf0f1-3a66-4913-896e-4420a9796c0b</t>
        </is>
      </c>
      <c r="D1022" t="n">
        <v>55.96909</v>
      </c>
      <c r="E1022" t="n">
        <v>37.41158</v>
      </c>
      <c r="F1022" t="inlineStr"/>
      <c r="G1022" t="inlineStr"/>
      <c r="H1022" t="inlineStr"/>
    </row>
    <row r="1023">
      <c r="A1023" t="inlineStr">
        <is>
          <t>a64d5d9d-fb9a-47e6-9252-a7eb68445fa7.jpg</t>
        </is>
      </c>
      <c r="B1023">
        <f>HYPERLINK("Объекты недвижимости, не соответствующие градостроительным нормам_00-022_Август/a64d5d9d-fb9a-47e6-9252-a7eb68445fa7.jpg","open")</f>
        <v/>
      </c>
      <c r="C1023" t="inlineStr">
        <is>
          <t>8cde1fd0-eca1-4510-86ab-3c743b65fdfc</t>
        </is>
      </c>
      <c r="D1023" t="n">
        <v>55.78363</v>
      </c>
      <c r="E1023" t="n">
        <v>37.72787</v>
      </c>
      <c r="F1023" t="inlineStr"/>
      <c r="G1023" t="inlineStr"/>
      <c r="H1023" t="inlineStr"/>
    </row>
    <row r="1024">
      <c r="A1024" t="inlineStr">
        <is>
          <t>785bceb0-b0fe-40d4-921e-82dfc2c472d0.jpg</t>
        </is>
      </c>
      <c r="B1024">
        <f>HYPERLINK("Объекты недвижимости, не соответствующие градостроительным нормам_00-022_Август/785bceb0-b0fe-40d4-921e-82dfc2c472d0.jpg","open")</f>
        <v/>
      </c>
      <c r="C1024" t="inlineStr">
        <is>
          <t>1a55986c-2c3f-40c0-b3d1-014dce77832e</t>
        </is>
      </c>
      <c r="D1024" t="n">
        <v>55.96909</v>
      </c>
      <c r="E1024" t="n">
        <v>37.41158</v>
      </c>
      <c r="F1024" t="inlineStr"/>
      <c r="G1024" t="inlineStr"/>
      <c r="H1024" t="inlineStr"/>
    </row>
    <row r="1025">
      <c r="A1025" t="inlineStr">
        <is>
          <t>dfa5f363-b062-4e7e-89ef-574df23af05d.jpg</t>
        </is>
      </c>
      <c r="B1025">
        <f>HYPERLINK("Объекты недвижимости, не соответствующие градостроительным нормам_00-022_Август/dfa5f363-b062-4e7e-89ef-574df23af05d.jpg","open")</f>
        <v/>
      </c>
      <c r="C1025" t="inlineStr">
        <is>
          <t>8cde1fd0-eca1-4510-86ab-3c743b65fdfc</t>
        </is>
      </c>
      <c r="D1025" t="n">
        <v>55.78254</v>
      </c>
      <c r="E1025" t="n">
        <v>37.72629</v>
      </c>
      <c r="F1025" t="inlineStr"/>
      <c r="G1025" t="inlineStr"/>
      <c r="H1025" t="inlineStr"/>
    </row>
    <row r="1026">
      <c r="A1026" t="inlineStr">
        <is>
          <t>35b7249b-e96b-4bb6-ba2b-0efd757fd585.jpg</t>
        </is>
      </c>
      <c r="B1026">
        <f>HYPERLINK("Объекты недвижимости, не соответствующие градостроительным нормам_00-022_Август/35b7249b-e96b-4bb6-ba2b-0efd757fd585.jpg","open")</f>
        <v/>
      </c>
      <c r="C1026" t="inlineStr">
        <is>
          <t>ed2bf0f1-3a66-4913-896e-4420a9796c0b</t>
        </is>
      </c>
      <c r="D1026" t="n">
        <v>55.96909</v>
      </c>
      <c r="E1026" t="n">
        <v>37.41158</v>
      </c>
      <c r="F1026" t="inlineStr"/>
      <c r="G1026" t="inlineStr"/>
      <c r="H1026" t="inlineStr"/>
    </row>
    <row r="1027">
      <c r="A1027" t="inlineStr">
        <is>
          <t>30041fb1-bf13-4b71-ad28-0e4ac29f89f6.jpg</t>
        </is>
      </c>
      <c r="B1027">
        <f>HYPERLINK("Объекты недвижимости, не соответствующие градостроительным нормам_00-022_Август/30041fb1-bf13-4b71-ad28-0e4ac29f89f6.jpg","open")</f>
        <v/>
      </c>
      <c r="C1027" t="inlineStr">
        <is>
          <t>8cde1fd0-eca1-4510-86ab-3c743b65fdfc</t>
        </is>
      </c>
      <c r="D1027" t="n">
        <v>55.78182</v>
      </c>
      <c r="E1027" t="n">
        <v>37.72318</v>
      </c>
      <c r="F1027" t="inlineStr"/>
      <c r="G1027" t="inlineStr"/>
      <c r="H1027" t="inlineStr"/>
    </row>
    <row r="1028">
      <c r="A1028" t="inlineStr">
        <is>
          <t>ea67f554-6ff2-4903-9c15-c7355430af99.jpg</t>
        </is>
      </c>
      <c r="B1028">
        <f>HYPERLINK("Объекты недвижимости, не соответствующие градостроительным нормам_00-022_Август/ea67f554-6ff2-4903-9c15-c7355430af99.jpg","open")</f>
        <v/>
      </c>
      <c r="C1028" t="inlineStr">
        <is>
          <t>ed2bf0f1-3a66-4913-896e-4420a9796c0b</t>
        </is>
      </c>
      <c r="D1028" t="n">
        <v>55.96909</v>
      </c>
      <c r="E1028" t="n">
        <v>37.41158</v>
      </c>
      <c r="F1028" t="inlineStr"/>
      <c r="G1028" t="inlineStr"/>
      <c r="H1028" t="inlineStr"/>
    </row>
    <row r="1029">
      <c r="A1029" t="inlineStr">
        <is>
          <t>e96afe8c-5adc-4935-8e63-522e311d2b8e.jpg</t>
        </is>
      </c>
      <c r="B1029">
        <f>HYPERLINK("Объекты недвижимости, не соответствующие градостроительным нормам_00-022_Август/e96afe8c-5adc-4935-8e63-522e311d2b8e.jpg","open")</f>
        <v/>
      </c>
      <c r="C1029" t="inlineStr">
        <is>
          <t>ed2bf0f1-3a66-4913-896e-4420a9796c0b</t>
        </is>
      </c>
      <c r="D1029" t="n">
        <v>55.96909</v>
      </c>
      <c r="E1029" t="n">
        <v>37.41158</v>
      </c>
      <c r="F1029" t="inlineStr"/>
      <c r="G1029" t="inlineStr"/>
      <c r="H1029" t="inlineStr"/>
    </row>
    <row r="1030">
      <c r="A1030" t="inlineStr">
        <is>
          <t>df823867-dcbe-4843-b0c2-0dec31fba825.jpg</t>
        </is>
      </c>
      <c r="B1030">
        <f>HYPERLINK("Объекты недвижимости, не соответствующие градостроительным нормам_00-022_Август/df823867-dcbe-4843-b0c2-0dec31fba825.jpg","open")</f>
        <v/>
      </c>
      <c r="C1030" t="inlineStr">
        <is>
          <t>1a55986c-2c3f-40c0-b3d1-014dce77832e</t>
        </is>
      </c>
      <c r="D1030" t="n">
        <v>55.96909</v>
      </c>
      <c r="E1030" t="n">
        <v>37.41158</v>
      </c>
      <c r="F1030" t="inlineStr"/>
      <c r="G1030" t="inlineStr"/>
      <c r="H1030" t="inlineStr"/>
    </row>
    <row r="1031">
      <c r="A1031" t="inlineStr">
        <is>
          <t>b87021d7-bea3-4d61-9984-3b59faf50d84.jpg</t>
        </is>
      </c>
      <c r="B1031">
        <f>HYPERLINK("Объекты недвижимости, не соответствующие градостроительным нормам_00-022_Август/b87021d7-bea3-4d61-9984-3b59faf50d84.jpg","open")</f>
        <v/>
      </c>
      <c r="C1031" t="inlineStr">
        <is>
          <t>a1a9db89-3f74-42ef-8fad-ad69705102cd</t>
        </is>
      </c>
      <c r="D1031" t="n">
        <v>55.68419</v>
      </c>
      <c r="E1031" t="n">
        <v>37.51929</v>
      </c>
      <c r="F1031" t="inlineStr"/>
      <c r="G1031" t="inlineStr"/>
      <c r="H1031" t="inlineStr"/>
    </row>
    <row r="1032">
      <c r="A1032" t="inlineStr">
        <is>
          <t>2b7f5490-0978-44b0-b0fc-618b801dd743.jpg</t>
        </is>
      </c>
      <c r="B1032">
        <f>HYPERLINK("Объекты недвижимости, не соответствующие градостроительным нормам_00-022_Август/2b7f5490-0978-44b0-b0fc-618b801dd743.jpg","open")</f>
        <v/>
      </c>
      <c r="C1032" t="inlineStr">
        <is>
          <t>a1a9db89-3f74-42ef-8fad-ad69705102cd</t>
        </is>
      </c>
      <c r="D1032" t="n">
        <v>55.68419</v>
      </c>
      <c r="E1032" t="n">
        <v>37.51929</v>
      </c>
      <c r="F1032" t="inlineStr"/>
      <c r="G1032" t="inlineStr"/>
      <c r="H1032" t="inlineStr"/>
    </row>
    <row r="1033">
      <c r="A1033" t="inlineStr">
        <is>
          <t>276616c7-5d4b-4d7d-ae03-6aae1740cf91.jpg</t>
        </is>
      </c>
      <c r="B1033">
        <f>HYPERLINK("Объекты недвижимости, не соответствующие градостроительным нормам_00-022_Август/276616c7-5d4b-4d7d-ae03-6aae1740cf91.jpg","open")</f>
        <v/>
      </c>
      <c r="C1033" t="inlineStr">
        <is>
          <t>cbf95b01-f708-45a3-9ec0-3603469b538e</t>
        </is>
      </c>
      <c r="D1033" t="n">
        <v>55.68417</v>
      </c>
      <c r="E1033" t="n">
        <v>37.5192</v>
      </c>
      <c r="F1033" t="inlineStr"/>
      <c r="G1033" t="inlineStr"/>
      <c r="H1033" t="inlineStr"/>
    </row>
    <row r="1034">
      <c r="A1034" t="inlineStr">
        <is>
          <t>b6524706-036c-4546-a742-e2a8f72dd319.jpg</t>
        </is>
      </c>
      <c r="B1034">
        <f>HYPERLINK("Объекты недвижимости, не соответствующие градостроительным нормам_00-022_Август/b6524706-036c-4546-a742-e2a8f72dd319.jpg","open")</f>
        <v/>
      </c>
      <c r="C1034" t="inlineStr">
        <is>
          <t>1a55986c-2c3f-40c0-b3d1-014dce77832e</t>
        </is>
      </c>
      <c r="D1034" t="n">
        <v>55.96909</v>
      </c>
      <c r="E1034" t="n">
        <v>37.41158</v>
      </c>
      <c r="F1034" t="inlineStr"/>
      <c r="G1034" t="inlineStr"/>
      <c r="H1034" t="inlineStr"/>
    </row>
    <row r="1035">
      <c r="A1035" t="inlineStr">
        <is>
          <t>e336e153-03f1-4014-9b05-bffeb0da359e.jpg</t>
        </is>
      </c>
      <c r="B1035">
        <f>HYPERLINK("Объекты недвижимости, не соответствующие градостроительным нормам_00-022_Август/e336e153-03f1-4014-9b05-bffeb0da359e.jpg","open")</f>
        <v/>
      </c>
      <c r="C1035" t="inlineStr">
        <is>
          <t>ed2bf0f1-3a66-4913-896e-4420a9796c0b</t>
        </is>
      </c>
      <c r="D1035" t="n">
        <v>55.96909</v>
      </c>
      <c r="E1035" t="n">
        <v>37.41158</v>
      </c>
      <c r="F1035" t="inlineStr"/>
      <c r="G1035" t="inlineStr"/>
      <c r="H1035" t="inlineStr"/>
    </row>
    <row r="1036">
      <c r="A1036" t="inlineStr">
        <is>
          <t>f3950cbe-8c38-4cef-b12b-5fedb57c23b2.jpg</t>
        </is>
      </c>
      <c r="B1036">
        <f>HYPERLINK("Объекты недвижимости, не соответствующие градостроительным нормам_00-022_Август/f3950cbe-8c38-4cef-b12b-5fedb57c23b2.jpg","open")</f>
        <v/>
      </c>
      <c r="C1036" t="inlineStr">
        <is>
          <t>8cde1fd0-eca1-4510-86ab-3c743b65fdfc</t>
        </is>
      </c>
      <c r="D1036" t="n">
        <v>55.78708</v>
      </c>
      <c r="E1036" t="n">
        <v>37.74387</v>
      </c>
      <c r="F1036" t="inlineStr"/>
      <c r="G1036" t="inlineStr"/>
      <c r="H1036" t="inlineStr"/>
    </row>
    <row r="1037">
      <c r="A1037" t="inlineStr">
        <is>
          <t>c38f58ca-da8c-45c2-9b5c-13694230f790.jpg</t>
        </is>
      </c>
      <c r="B1037">
        <f>HYPERLINK("Объекты недвижимости, не соответствующие градостроительным нормам_00-022_Август/c38f58ca-da8c-45c2-9b5c-13694230f790.jpg","open")</f>
        <v/>
      </c>
      <c r="C1037" t="inlineStr">
        <is>
          <t>1a55986c-2c3f-40c0-b3d1-014dce77832e</t>
        </is>
      </c>
      <c r="D1037" t="n">
        <v>55.74353</v>
      </c>
      <c r="E1037" t="n">
        <v>37.53204</v>
      </c>
      <c r="F1037" t="inlineStr"/>
      <c r="G1037" t="inlineStr"/>
      <c r="H1037" t="inlineStr"/>
    </row>
    <row r="1038">
      <c r="A1038" t="inlineStr">
        <is>
          <t>dba7cbc5-7853-42f8-bcbe-3015a960ba8f.jpg</t>
        </is>
      </c>
      <c r="B1038">
        <f>HYPERLINK("Объекты недвижимости, не соответствующие градостроительным нормам_00-022_Август/dba7cbc5-7853-42f8-bcbe-3015a960ba8f.jpg","open")</f>
        <v/>
      </c>
      <c r="C1038" t="inlineStr">
        <is>
          <t>cbf95b01-f708-45a3-9ec0-3603469b538e</t>
        </is>
      </c>
      <c r="D1038" t="n">
        <v>55.68002</v>
      </c>
      <c r="E1038" t="n">
        <v>37.52586</v>
      </c>
      <c r="F1038" t="inlineStr"/>
      <c r="G1038" t="inlineStr"/>
      <c r="H1038" t="inlineStr"/>
    </row>
    <row r="1039">
      <c r="A1039" t="inlineStr">
        <is>
          <t>6639e69e-44ea-4822-ac88-3925068eee73.jpg</t>
        </is>
      </c>
      <c r="B1039">
        <f>HYPERLINK("Объекты недвижимости, не соответствующие градостроительным нормам_00-022_Август/6639e69e-44ea-4822-ac88-3925068eee73.jpg","open")</f>
        <v/>
      </c>
      <c r="C1039" t="inlineStr">
        <is>
          <t>cbf95b01-f708-45a3-9ec0-3603469b538e</t>
        </is>
      </c>
      <c r="D1039" t="n">
        <v>55.67812</v>
      </c>
      <c r="E1039" t="n">
        <v>37.52914</v>
      </c>
      <c r="F1039" t="inlineStr"/>
      <c r="G1039" t="inlineStr"/>
      <c r="H1039" t="inlineStr"/>
    </row>
    <row r="1040">
      <c r="A1040" t="inlineStr">
        <is>
          <t>ae2a3911-d496-4084-ab0c-05a00d81b00b.jpg</t>
        </is>
      </c>
      <c r="B1040">
        <f>HYPERLINK("Объекты недвижимости, не соответствующие градостроительным нормам_00-022_Август/ae2a3911-d496-4084-ab0c-05a00d81b00b.jpg","open")</f>
        <v/>
      </c>
      <c r="C1040" t="inlineStr">
        <is>
          <t>cbf95b01-f708-45a3-9ec0-3603469b538e</t>
        </is>
      </c>
      <c r="D1040" t="n">
        <v>55.6776</v>
      </c>
      <c r="E1040" t="n">
        <v>37.52919</v>
      </c>
      <c r="F1040" t="inlineStr"/>
      <c r="G1040" t="inlineStr"/>
      <c r="H1040" t="inlineStr"/>
    </row>
    <row r="1041">
      <c r="A1041" t="inlineStr">
        <is>
          <t>ed247ae7-9081-499a-af5c-ce1d58ec9122.jpg</t>
        </is>
      </c>
      <c r="B1041">
        <f>HYPERLINK("Объекты недвижимости, не соответствующие градостроительным нормам_00-022_Август/ed247ae7-9081-499a-af5c-ce1d58ec9122.jpg","open")</f>
        <v/>
      </c>
      <c r="C1041" t="inlineStr">
        <is>
          <t>cbf95b01-f708-45a3-9ec0-3603469b538e</t>
        </is>
      </c>
      <c r="D1041" t="n">
        <v>55.67665</v>
      </c>
      <c r="E1041" t="n">
        <v>37.52769</v>
      </c>
      <c r="F1041" t="inlineStr"/>
      <c r="G1041" t="inlineStr"/>
      <c r="H1041" t="inlineStr"/>
    </row>
    <row r="1042">
      <c r="A1042" t="inlineStr">
        <is>
          <t>804d6f1e-5096-4154-9336-3b19359b46c7.jpg</t>
        </is>
      </c>
      <c r="B1042">
        <f>HYPERLINK("Объекты недвижимости, не соответствующие градостроительным нормам_00-022_Август/804d6f1e-5096-4154-9336-3b19359b46c7.jpg","open")</f>
        <v/>
      </c>
      <c r="C1042" t="inlineStr">
        <is>
          <t>1a55986c-2c3f-40c0-b3d1-014dce77832e</t>
        </is>
      </c>
      <c r="D1042" t="n">
        <v>55.74137</v>
      </c>
      <c r="E1042" t="n">
        <v>37.52497</v>
      </c>
      <c r="F1042" t="inlineStr"/>
      <c r="G1042" t="inlineStr"/>
      <c r="H1042" t="inlineStr"/>
    </row>
    <row r="1043">
      <c r="A1043" t="inlineStr">
        <is>
          <t>0c262c88-4c6b-445e-8c22-9931c8dc57f3.jpg</t>
        </is>
      </c>
      <c r="B1043">
        <f>HYPERLINK("Объекты недвижимости, не соответствующие градостроительным нормам_00-022_Август/0c262c88-4c6b-445e-8c22-9931c8dc57f3.jpg","open")</f>
        <v/>
      </c>
      <c r="C1043" t="inlineStr">
        <is>
          <t>8cde1fd0-eca1-4510-86ab-3c743b65fdfc</t>
        </is>
      </c>
      <c r="D1043" t="n">
        <v>55.79309</v>
      </c>
      <c r="E1043" t="n">
        <v>37.7865</v>
      </c>
      <c r="F1043" t="inlineStr"/>
      <c r="G1043" t="inlineStr"/>
      <c r="H1043" t="inlineStr"/>
    </row>
    <row r="1044">
      <c r="A1044" t="inlineStr">
        <is>
          <t>8df52e7c-4f77-48db-a9d4-b6b530e12afc.jpg</t>
        </is>
      </c>
      <c r="B1044">
        <f>HYPERLINK("Объекты недвижимости, не соответствующие градостроительным нормам_00-022_Август/8df52e7c-4f77-48db-a9d4-b6b530e12afc.jpg","open")</f>
        <v/>
      </c>
      <c r="C1044" t="inlineStr">
        <is>
          <t>8cde1fd0-eca1-4510-86ab-3c743b65fdfc</t>
        </is>
      </c>
      <c r="D1044" t="n">
        <v>55.79307</v>
      </c>
      <c r="E1044" t="n">
        <v>37.79411</v>
      </c>
      <c r="F1044" t="inlineStr"/>
      <c r="G1044" t="inlineStr"/>
      <c r="H1044" t="inlineStr"/>
    </row>
    <row r="1045">
      <c r="A1045" t="inlineStr">
        <is>
          <t>160fe668-ff14-4ac3-a63a-0d424e687643.jpg</t>
        </is>
      </c>
      <c r="B1045">
        <f>HYPERLINK("Объекты недвижимости, не соответствующие градостроительным нормам_00-022_Август/160fe668-ff14-4ac3-a63a-0d424e687643.jpg","open")</f>
        <v/>
      </c>
      <c r="C1045" t="inlineStr">
        <is>
          <t>1a55986c-2c3f-40c0-b3d1-014dce77832e</t>
        </is>
      </c>
      <c r="D1045" t="n">
        <v>55.74186</v>
      </c>
      <c r="E1045" t="n">
        <v>37.51688</v>
      </c>
      <c r="F1045" t="inlineStr"/>
      <c r="G1045" t="inlineStr"/>
      <c r="H1045" t="inlineStr"/>
    </row>
    <row r="1046">
      <c r="A1046" t="inlineStr">
        <is>
          <t>407a0457-8846-43e8-a96a-27d9afb22917.jpg</t>
        </is>
      </c>
      <c r="B1046">
        <f>HYPERLINK("Объекты недвижимости, не соответствующие градостроительным нормам_00-022_Август/407a0457-8846-43e8-a96a-27d9afb22917.jpg","open")</f>
        <v/>
      </c>
      <c r="C1046" t="inlineStr">
        <is>
          <t>ed2bf0f1-3a66-4913-896e-4420a9796c0b</t>
        </is>
      </c>
      <c r="D1046" t="n">
        <v>55.7425</v>
      </c>
      <c r="E1046" t="n">
        <v>37.51624</v>
      </c>
      <c r="F1046" t="inlineStr"/>
      <c r="G1046" t="inlineStr"/>
      <c r="H1046" t="inlineStr"/>
    </row>
    <row r="1047">
      <c r="A1047" t="inlineStr">
        <is>
          <t>a093f6e2-cb6c-45f0-b6de-14e98c608a4a.jpg</t>
        </is>
      </c>
      <c r="B1047">
        <f>HYPERLINK("Объекты недвижимости, не соответствующие градостроительным нормам_00-022_Август/a093f6e2-cb6c-45f0-b6de-14e98c608a4a.jpg","open")</f>
        <v/>
      </c>
      <c r="C1047" t="inlineStr">
        <is>
          <t>ed2bf0f1-3a66-4913-896e-4420a9796c0b</t>
        </is>
      </c>
      <c r="D1047" t="n">
        <v>55.74257</v>
      </c>
      <c r="E1047" t="n">
        <v>37.516</v>
      </c>
      <c r="F1047" t="inlineStr"/>
      <c r="G1047" t="inlineStr"/>
      <c r="H1047" t="inlineStr"/>
    </row>
    <row r="1048">
      <c r="A1048" t="inlineStr">
        <is>
          <t>6381dd61-f319-4362-b9ed-e02c8b620f6c.jpg</t>
        </is>
      </c>
      <c r="B1048">
        <f>HYPERLINK("Объекты недвижимости, не соответствующие градостроительным нормам_00-022_Август/6381dd61-f319-4362-b9ed-e02c8b620f6c.jpg","open")</f>
        <v/>
      </c>
      <c r="C1048" t="inlineStr">
        <is>
          <t>1c951e11-4940-43c6-a447-394097e5609a</t>
        </is>
      </c>
      <c r="D1048" t="n">
        <v>55.79325</v>
      </c>
      <c r="E1048" t="n">
        <v>37.80798</v>
      </c>
      <c r="F1048" t="inlineStr"/>
      <c r="G1048" t="inlineStr"/>
      <c r="H1048" t="inlineStr"/>
    </row>
    <row r="1049">
      <c r="A1049" t="inlineStr">
        <is>
          <t>61568916-9b09-4e0d-85cd-dd3e09690244.jpg</t>
        </is>
      </c>
      <c r="B1049">
        <f>HYPERLINK("Объекты недвижимости, не соответствующие градостроительным нормам_00-022_Август/61568916-9b09-4e0d-85cd-dd3e09690244.jpg","open")</f>
        <v/>
      </c>
      <c r="C1049" t="inlineStr">
        <is>
          <t>1a55986c-2c3f-40c0-b3d1-014dce77832e</t>
        </is>
      </c>
      <c r="D1049" t="n">
        <v>55.74165</v>
      </c>
      <c r="E1049" t="n">
        <v>37.51648</v>
      </c>
      <c r="F1049" t="inlineStr"/>
      <c r="G1049" t="inlineStr"/>
      <c r="H1049" t="inlineStr"/>
    </row>
    <row r="1050">
      <c r="A1050" t="inlineStr">
        <is>
          <t>63d68496-80c6-4c62-bfac-81d425baea6a.jpg</t>
        </is>
      </c>
      <c r="B1050">
        <f>HYPERLINK("Объекты недвижимости, не соответствующие градостроительным нормам_00-022_Август/63d68496-80c6-4c62-bfac-81d425baea6a.jpg","open")</f>
        <v/>
      </c>
      <c r="C1050" t="inlineStr">
        <is>
          <t>cbf95b01-f708-45a3-9ec0-3603469b538e</t>
        </is>
      </c>
      <c r="D1050" t="n">
        <v>55.67912</v>
      </c>
      <c r="E1050" t="n">
        <v>37.49173</v>
      </c>
      <c r="F1050" t="inlineStr"/>
      <c r="G1050" t="inlineStr"/>
      <c r="H1050" t="inlineStr"/>
    </row>
    <row r="1051">
      <c r="A1051" t="inlineStr">
        <is>
          <t>edaaff0e-f758-4d56-b895-e77c7706d163.jpg</t>
        </is>
      </c>
      <c r="B1051">
        <f>HYPERLINK("Объекты недвижимости, не соответствующие градостроительным нормам_00-022_Август/edaaff0e-f758-4d56-b895-e77c7706d163.jpg","open")</f>
        <v/>
      </c>
      <c r="C1051" t="inlineStr">
        <is>
          <t>ed2bf0f1-3a66-4913-896e-4420a9796c0b</t>
        </is>
      </c>
      <c r="D1051" t="n">
        <v>55.73555</v>
      </c>
      <c r="E1051" t="n">
        <v>37.52435</v>
      </c>
      <c r="F1051" t="inlineStr"/>
      <c r="G1051" t="inlineStr"/>
      <c r="H1051" t="inlineStr"/>
    </row>
    <row r="1052">
      <c r="A1052" t="inlineStr">
        <is>
          <t>41c0a647-87f5-40c3-bb0e-1eb157959489.jpg</t>
        </is>
      </c>
      <c r="B1052">
        <f>HYPERLINK("Объекты недвижимости, не соответствующие градостроительным нормам_00-022_Август/41c0a647-87f5-40c3-bb0e-1eb157959489.jpg","open")</f>
        <v/>
      </c>
      <c r="C1052" t="inlineStr">
        <is>
          <t>ed2bf0f1-3a66-4913-896e-4420a9796c0b</t>
        </is>
      </c>
      <c r="D1052" t="n">
        <v>55.73671</v>
      </c>
      <c r="E1052" t="n">
        <v>37.5246</v>
      </c>
      <c r="F1052" t="inlineStr"/>
      <c r="G1052" t="inlineStr"/>
      <c r="H1052" t="inlineStr"/>
    </row>
    <row r="1053">
      <c r="A1053" t="inlineStr">
        <is>
          <t>c3c8385d-e54d-4b43-8436-fd3954139bfd.jpg</t>
        </is>
      </c>
      <c r="B1053">
        <f>HYPERLINK("Объекты недвижимости, не соответствующие градостроительным нормам_00-022_Август/c3c8385d-e54d-4b43-8436-fd3954139bfd.jpg","open")</f>
        <v/>
      </c>
      <c r="C1053" t="inlineStr">
        <is>
          <t>db8b536c-32f2-4d9a-ae08-679d227e61f1</t>
        </is>
      </c>
      <c r="D1053" t="n">
        <v>55.65832</v>
      </c>
      <c r="E1053" t="n">
        <v>37.64158</v>
      </c>
      <c r="F1053" t="inlineStr"/>
      <c r="G1053" t="inlineStr"/>
      <c r="H1053" t="inlineStr"/>
    </row>
    <row r="1054">
      <c r="A1054" t="inlineStr">
        <is>
          <t>56c7231a-c879-4b2f-8040-c9b8caa2298d.jpg</t>
        </is>
      </c>
      <c r="B1054">
        <f>HYPERLINK("Объекты недвижимости, не соответствующие градостроительным нормам_00-022_Август/56c7231a-c879-4b2f-8040-c9b8caa2298d.jpg","open")</f>
        <v/>
      </c>
      <c r="C1054" t="inlineStr">
        <is>
          <t>cbf95b01-f708-45a3-9ec0-3603469b538e</t>
        </is>
      </c>
      <c r="D1054" t="n">
        <v>55.67427</v>
      </c>
      <c r="E1054" t="n">
        <v>37.47984</v>
      </c>
      <c r="F1054" t="inlineStr"/>
      <c r="G1054" t="inlineStr"/>
      <c r="H1054" t="inlineStr"/>
    </row>
    <row r="1055">
      <c r="A1055" t="inlineStr">
        <is>
          <t>837268a3-3e2c-480d-841b-711ad58c9e58.jpg</t>
        </is>
      </c>
      <c r="B1055">
        <f>HYPERLINK("Объекты недвижимости, не соответствующие градостроительным нормам_00-022_Август/837268a3-3e2c-480d-841b-711ad58c9e58.jpg","open")</f>
        <v/>
      </c>
      <c r="C1055" t="inlineStr">
        <is>
          <t>1a55986c-2c3f-40c0-b3d1-014dce77832e</t>
        </is>
      </c>
      <c r="D1055" t="n">
        <v>55.73761</v>
      </c>
      <c r="E1055" t="n">
        <v>37.53314</v>
      </c>
      <c r="F1055" t="inlineStr"/>
      <c r="G1055" t="inlineStr"/>
      <c r="H1055" t="inlineStr"/>
    </row>
    <row r="1056">
      <c r="A1056" t="inlineStr">
        <is>
          <t>ffab7f0c-83c8-4107-be05-e04c72ca2d77.jpg</t>
        </is>
      </c>
      <c r="B1056">
        <f>HYPERLINK("Объекты недвижимости, не соответствующие градостроительным нормам_00-022_Август/ffab7f0c-83c8-4107-be05-e04c72ca2d77.jpg","open")</f>
        <v/>
      </c>
      <c r="C1056" t="inlineStr">
        <is>
          <t>cbf95b01-f708-45a3-9ec0-3603469b538e</t>
        </is>
      </c>
      <c r="D1056" t="n">
        <v>55.67134</v>
      </c>
      <c r="E1056" t="n">
        <v>37.47699</v>
      </c>
      <c r="F1056" t="inlineStr"/>
      <c r="G1056" t="inlineStr"/>
      <c r="H1056" t="inlineStr"/>
    </row>
    <row r="1057">
      <c r="A1057" t="inlineStr">
        <is>
          <t>2a15a80d-785a-4b71-926b-21425bec5105.jpg</t>
        </is>
      </c>
      <c r="B1057">
        <f>HYPERLINK("Объекты недвижимости, не соответствующие градостроительным нормам_00-022_Август/2a15a80d-785a-4b71-926b-21425bec5105.jpg","open")</f>
        <v/>
      </c>
      <c r="C1057" t="inlineStr">
        <is>
          <t>1a55986c-2c3f-40c0-b3d1-014dce77832e</t>
        </is>
      </c>
      <c r="D1057" t="n">
        <v>55.7353</v>
      </c>
      <c r="E1057" t="n">
        <v>37.52777</v>
      </c>
      <c r="F1057" t="inlineStr"/>
      <c r="G1057" t="inlineStr"/>
      <c r="H1057" t="inlineStr"/>
    </row>
    <row r="1058">
      <c r="A1058" t="inlineStr">
        <is>
          <t>d2566012-a728-4544-9ac6-e9272e7a5206.jpg</t>
        </is>
      </c>
      <c r="B1058">
        <f>HYPERLINK("Объекты недвижимости, не соответствующие градостроительным нормам_00-022_Август/d2566012-a728-4544-9ac6-e9272e7a5206.jpg","open")</f>
        <v/>
      </c>
      <c r="C1058" t="inlineStr">
        <is>
          <t>ed2bf0f1-3a66-4913-896e-4420a9796c0b</t>
        </is>
      </c>
      <c r="D1058" t="n">
        <v>55.73705</v>
      </c>
      <c r="E1058" t="n">
        <v>37.52469</v>
      </c>
      <c r="F1058" t="inlineStr"/>
      <c r="G1058" t="inlineStr"/>
      <c r="H1058" t="inlineStr"/>
    </row>
    <row r="1059">
      <c r="A1059" t="inlineStr">
        <is>
          <t>75631738-6985-43bf-b89e-ea0a4a3115d6.jpg</t>
        </is>
      </c>
      <c r="B1059">
        <f>HYPERLINK("Объекты недвижимости, не соответствующие градостроительным нормам_00-022_Август/75631738-6985-43bf-b89e-ea0a4a3115d6.jpg","open")</f>
        <v/>
      </c>
      <c r="C1059" t="inlineStr">
        <is>
          <t>1c951e11-4940-43c6-a447-394097e5609a</t>
        </is>
      </c>
      <c r="D1059" t="n">
        <v>55.80466</v>
      </c>
      <c r="E1059" t="n">
        <v>37.8117</v>
      </c>
      <c r="F1059" t="inlineStr"/>
      <c r="G1059" t="inlineStr"/>
      <c r="H1059" t="inlineStr"/>
    </row>
    <row r="1060">
      <c r="A1060" t="inlineStr">
        <is>
          <t>9e74994c-0ffb-4daa-b70d-6222489fbc9f.jpg</t>
        </is>
      </c>
      <c r="B1060">
        <f>HYPERLINK("Объекты недвижимости, не соответствующие градостроительным нормам_00-022_Август/9e74994c-0ffb-4daa-b70d-6222489fbc9f.jpg","open")</f>
        <v/>
      </c>
      <c r="C1060" t="inlineStr">
        <is>
          <t>8cde1fd0-eca1-4510-86ab-3c743b65fdfc</t>
        </is>
      </c>
      <c r="D1060" t="n">
        <v>55.80467</v>
      </c>
      <c r="E1060" t="n">
        <v>37.81173</v>
      </c>
      <c r="F1060" t="inlineStr"/>
      <c r="G1060" t="inlineStr"/>
      <c r="H1060" t="inlineStr"/>
    </row>
    <row r="1061">
      <c r="A1061" t="inlineStr">
        <is>
          <t>2d348b67-9915-40ec-a705-15b9460f3bdc.jpg</t>
        </is>
      </c>
      <c r="B1061">
        <f>HYPERLINK("Объекты недвижимости, не соответствующие градостроительным нормам_00-022_Август/2d348b67-9915-40ec-a705-15b9460f3bdc.jpg","open")</f>
        <v/>
      </c>
      <c r="C1061" t="inlineStr">
        <is>
          <t>ed2bf0f1-3a66-4913-896e-4420a9796c0b</t>
        </is>
      </c>
      <c r="D1061" t="n">
        <v>55.74075</v>
      </c>
      <c r="E1061" t="n">
        <v>37.53808</v>
      </c>
      <c r="F1061" t="inlineStr"/>
      <c r="G1061" t="inlineStr"/>
      <c r="H1061" t="inlineStr"/>
    </row>
    <row r="1062">
      <c r="A1062" t="inlineStr">
        <is>
          <t>138668a5-5aeb-46b6-aa34-16a5b4f76306.jpg</t>
        </is>
      </c>
      <c r="B1062">
        <f>HYPERLINK("Объекты недвижимости, не соответствующие градостроительным нормам_00-022_Август/138668a5-5aeb-46b6-aa34-16a5b4f76306.jpg","open")</f>
        <v/>
      </c>
      <c r="C1062" t="inlineStr">
        <is>
          <t>cbf95b01-f708-45a3-9ec0-3603469b538e</t>
        </is>
      </c>
      <c r="D1062" t="n">
        <v>55.66493</v>
      </c>
      <c r="E1062" t="n">
        <v>37.46465</v>
      </c>
      <c r="F1062" t="inlineStr"/>
      <c r="G1062" t="inlineStr"/>
      <c r="H1062" t="inlineStr"/>
    </row>
    <row r="1063">
      <c r="A1063" t="inlineStr">
        <is>
          <t>23a56312-957e-4519-9794-8549fd43e3a5.jpg</t>
        </is>
      </c>
      <c r="B1063">
        <f>HYPERLINK("Объекты недвижимости, не соответствующие градостроительным нормам_00-022_Август/23a56312-957e-4519-9794-8549fd43e3a5.jpg","open")</f>
        <v/>
      </c>
      <c r="C1063" t="inlineStr">
        <is>
          <t>a1a9db89-3f74-42ef-8fad-ad69705102cd</t>
        </is>
      </c>
      <c r="D1063" t="n">
        <v>55.66391</v>
      </c>
      <c r="E1063" t="n">
        <v>37.46438</v>
      </c>
      <c r="F1063" t="inlineStr"/>
      <c r="G1063" t="inlineStr"/>
      <c r="H1063" t="inlineStr"/>
    </row>
    <row r="1064">
      <c r="A1064" t="inlineStr">
        <is>
          <t>2c26222f-0f07-447e-b6a7-b41fc533fcd1.jpg</t>
        </is>
      </c>
      <c r="B1064">
        <f>HYPERLINK("Объекты недвижимости, не соответствующие градостроительным нормам_00-022_Август/2c26222f-0f07-447e-b6a7-b41fc533fcd1.jpg","open")</f>
        <v/>
      </c>
      <c r="C1064" t="inlineStr">
        <is>
          <t>cbf95b01-f708-45a3-9ec0-3603469b538e</t>
        </is>
      </c>
      <c r="D1064" t="n">
        <v>55.66371</v>
      </c>
      <c r="E1064" t="n">
        <v>37.46434</v>
      </c>
      <c r="F1064" t="inlineStr"/>
      <c r="G1064" t="inlineStr"/>
      <c r="H1064" t="inlineStr"/>
    </row>
    <row r="1065">
      <c r="A1065" t="inlineStr">
        <is>
          <t>3a6017d3-f65e-4450-aee9-4e41e1407101.jpg</t>
        </is>
      </c>
      <c r="B1065">
        <f>HYPERLINK("Объекты недвижимости, не соответствующие градостроительным нормам_00-022_Август/3a6017d3-f65e-4450-aee9-4e41e1407101.jpg","open")</f>
        <v/>
      </c>
      <c r="C1065" t="inlineStr">
        <is>
          <t>8cde1fd0-eca1-4510-86ab-3c743b65fdfc</t>
        </is>
      </c>
      <c r="D1065" t="n">
        <v>55.81251</v>
      </c>
      <c r="E1065" t="n">
        <v>37.82723</v>
      </c>
      <c r="F1065" t="inlineStr"/>
      <c r="G1065" t="inlineStr"/>
      <c r="H1065" t="inlineStr"/>
    </row>
    <row r="1066">
      <c r="A1066" t="inlineStr">
        <is>
          <t>5bf0bcae-700c-4c77-a77c-9e5ddbaeeb8b.jpg</t>
        </is>
      </c>
      <c r="B1066">
        <f>HYPERLINK("Объекты недвижимости, не соответствующие градостроительным нормам_00-022_Август/5bf0bcae-700c-4c77-a77c-9e5ddbaeeb8b.jpg","open")</f>
        <v/>
      </c>
      <c r="C1066" t="inlineStr">
        <is>
          <t>cbf95b01-f708-45a3-9ec0-3603469b538e</t>
        </is>
      </c>
      <c r="D1066" t="n">
        <v>55.66137</v>
      </c>
      <c r="E1066" t="n">
        <v>37.46364</v>
      </c>
      <c r="F1066" t="inlineStr"/>
      <c r="G1066" t="inlineStr"/>
      <c r="H1066" t="inlineStr"/>
    </row>
    <row r="1067">
      <c r="A1067" t="inlineStr">
        <is>
          <t>19ffc738-7e60-463a-b4cc-5625b346301b.jpg</t>
        </is>
      </c>
      <c r="B1067">
        <f>HYPERLINK("Объекты недвижимости, не соответствующие градостроительным нормам_00-022_Август/19ffc738-7e60-463a-b4cc-5625b346301b.jpg","open")</f>
        <v/>
      </c>
      <c r="C1067" t="inlineStr">
        <is>
          <t>caa4772d-6278-4484-a046-ee25514bf521</t>
        </is>
      </c>
      <c r="D1067" t="n">
        <v>55.9794</v>
      </c>
      <c r="E1067" t="n">
        <v>37.17793</v>
      </c>
      <c r="F1067" t="inlineStr"/>
      <c r="G1067" t="inlineStr"/>
      <c r="H1067" t="inlineStr"/>
    </row>
    <row r="1068">
      <c r="A1068" t="inlineStr">
        <is>
          <t>378f684b-a28c-4596-91da-485dcf75aac8.jpg</t>
        </is>
      </c>
      <c r="B1068">
        <f>HYPERLINK("Объекты недвижимости, не соответствующие градостроительным нормам_00-022_Август/378f684b-a28c-4596-91da-485dcf75aac8.jpg","open")</f>
        <v/>
      </c>
      <c r="C1068" t="inlineStr">
        <is>
          <t>cbf95b01-f708-45a3-9ec0-3603469b538e</t>
        </is>
      </c>
      <c r="D1068" t="n">
        <v>55.66097</v>
      </c>
      <c r="E1068" t="n">
        <v>37.46354</v>
      </c>
      <c r="F1068" t="inlineStr"/>
      <c r="G1068" t="inlineStr"/>
      <c r="H1068" t="inlineStr"/>
    </row>
    <row r="1069">
      <c r="A1069" t="inlineStr">
        <is>
          <t>7cd33609-329d-402e-bbd2-a75532a06446.jpg</t>
        </is>
      </c>
      <c r="B1069">
        <f>HYPERLINK("Объекты недвижимости, не соответствующие градостроительным нормам_00-022_Август/7cd33609-329d-402e-bbd2-a75532a06446.jpg","open")</f>
        <v/>
      </c>
      <c r="C1069" t="inlineStr">
        <is>
          <t>cbf95b01-f708-45a3-9ec0-3603469b538e</t>
        </is>
      </c>
      <c r="D1069" t="n">
        <v>55.66087</v>
      </c>
      <c r="E1069" t="n">
        <v>37.46351</v>
      </c>
      <c r="F1069" t="inlineStr"/>
      <c r="G1069" t="inlineStr"/>
      <c r="H1069" t="inlineStr"/>
    </row>
    <row r="1070">
      <c r="A1070" t="inlineStr">
        <is>
          <t>3f17ff02-3243-4962-827e-1303972c82e4.jpg</t>
        </is>
      </c>
      <c r="B1070">
        <f>HYPERLINK("Объекты недвижимости, не соответствующие градостроительным нормам_00-022_Август/3f17ff02-3243-4962-827e-1303972c82e4.jpg","open")</f>
        <v/>
      </c>
      <c r="C1070" t="inlineStr">
        <is>
          <t>a1a9db89-3f74-42ef-8fad-ad69705102cd</t>
        </is>
      </c>
      <c r="D1070" t="n">
        <v>55.66079</v>
      </c>
      <c r="E1070" t="n">
        <v>37.4635</v>
      </c>
      <c r="F1070" t="inlineStr"/>
      <c r="G1070" t="inlineStr"/>
      <c r="H1070" t="inlineStr"/>
    </row>
    <row r="1071">
      <c r="A1071" t="inlineStr">
        <is>
          <t>d56abd49-dd69-4c5f-b18a-714e9ec3f259.jpg</t>
        </is>
      </c>
      <c r="B1071">
        <f>HYPERLINK("Объекты недвижимости, не соответствующие градостроительным нормам_00-022_Август/d56abd49-dd69-4c5f-b18a-714e9ec3f259.jpg","open")</f>
        <v/>
      </c>
      <c r="C1071" t="inlineStr">
        <is>
          <t>cbf95b01-f708-45a3-9ec0-3603469b538e</t>
        </is>
      </c>
      <c r="D1071" t="n">
        <v>55.66076</v>
      </c>
      <c r="E1071" t="n">
        <v>37.46349</v>
      </c>
      <c r="F1071" t="inlineStr"/>
      <c r="G1071" t="inlineStr"/>
      <c r="H1071" t="inlineStr"/>
    </row>
    <row r="1072">
      <c r="A1072" t="inlineStr">
        <is>
          <t>8cb81c1f-81b8-433f-b46d-3dbc769f1e58.jpg</t>
        </is>
      </c>
      <c r="B1072">
        <f>HYPERLINK("Объекты недвижимости, не соответствующие градостроительным нормам_00-022_Август/8cb81c1f-81b8-433f-b46d-3dbc769f1e58.jpg","open")</f>
        <v/>
      </c>
      <c r="C1072" t="inlineStr">
        <is>
          <t>a1a9db89-3f74-42ef-8fad-ad69705102cd</t>
        </is>
      </c>
      <c r="D1072" t="n">
        <v>55.66068</v>
      </c>
      <c r="E1072" t="n">
        <v>37.46348</v>
      </c>
      <c r="F1072" t="inlineStr"/>
      <c r="G1072" t="inlineStr"/>
      <c r="H1072" t="inlineStr"/>
    </row>
    <row r="1073">
      <c r="A1073" t="inlineStr">
        <is>
          <t>7fea09c9-ed69-466d-a73a-333175e2591d.jpg</t>
        </is>
      </c>
      <c r="B1073">
        <f>HYPERLINK("Объекты недвижимости, не соответствующие градостроительным нормам_00-022_Август/7fea09c9-ed69-466d-a73a-333175e2591d.jpg","open")</f>
        <v/>
      </c>
      <c r="C1073" t="inlineStr">
        <is>
          <t>cbf95b01-f708-45a3-9ec0-3603469b538e</t>
        </is>
      </c>
      <c r="D1073" t="n">
        <v>55.66054</v>
      </c>
      <c r="E1073" t="n">
        <v>37.46346</v>
      </c>
      <c r="F1073" t="inlineStr"/>
      <c r="G1073" t="inlineStr"/>
      <c r="H1073" t="inlineStr"/>
    </row>
    <row r="1074">
      <c r="A1074" t="inlineStr">
        <is>
          <t>4ba9186e-1813-4e8e-b51e-632467f1df5b.jpg</t>
        </is>
      </c>
      <c r="B1074">
        <f>HYPERLINK("Объекты недвижимости, не соответствующие градостроительным нормам_00-022_Август/4ba9186e-1813-4e8e-b51e-632467f1df5b.jpg","open")</f>
        <v/>
      </c>
      <c r="C1074" t="inlineStr">
        <is>
          <t>a1a9db89-3f74-42ef-8fad-ad69705102cd</t>
        </is>
      </c>
      <c r="D1074" t="n">
        <v>55.66057</v>
      </c>
      <c r="E1074" t="n">
        <v>37.46346</v>
      </c>
      <c r="F1074" t="inlineStr"/>
      <c r="G1074" t="inlineStr"/>
      <c r="H1074" t="inlineStr"/>
    </row>
    <row r="1075">
      <c r="A1075" t="inlineStr">
        <is>
          <t>ec364303-1d6b-4fa6-92c8-d6b0f3117879.jpg</t>
        </is>
      </c>
      <c r="B1075">
        <f>HYPERLINK("Объекты недвижимости, не соответствующие градостроительным нормам_00-022_Август/ec364303-1d6b-4fa6-92c8-d6b0f3117879.jpg","open")</f>
        <v/>
      </c>
      <c r="C1075" t="inlineStr">
        <is>
          <t>ed2bf0f1-3a66-4913-896e-4420a9796c0b</t>
        </is>
      </c>
      <c r="D1075" t="n">
        <v>55.74429</v>
      </c>
      <c r="E1075" t="n">
        <v>37.54673</v>
      </c>
      <c r="F1075" t="inlineStr"/>
      <c r="G1075" t="inlineStr"/>
      <c r="H1075" t="inlineStr"/>
    </row>
    <row r="1076">
      <c r="A1076" t="inlineStr">
        <is>
          <t>4db8f680-5a21-44a0-9e7a-2156cfa686fe.jpg</t>
        </is>
      </c>
      <c r="B1076">
        <f>HYPERLINK("Объекты недвижимости, не соответствующие градостроительным нормам_00-022_Август/4db8f680-5a21-44a0-9e7a-2156cfa686fe.jpg","open")</f>
        <v/>
      </c>
      <c r="C1076" t="inlineStr">
        <is>
          <t>a1a9db89-3f74-42ef-8fad-ad69705102cd</t>
        </is>
      </c>
      <c r="D1076" t="n">
        <v>55.66057</v>
      </c>
      <c r="E1076" t="n">
        <v>37.46346</v>
      </c>
      <c r="F1076" t="inlineStr"/>
      <c r="G1076" t="inlineStr"/>
      <c r="H1076" t="inlineStr"/>
    </row>
    <row r="1077">
      <c r="A1077" t="inlineStr">
        <is>
          <t>da2b6e5b-0263-4cb4-b06e-0215823e19f9.jpg</t>
        </is>
      </c>
      <c r="B1077">
        <f>HYPERLINK("Объекты недвижимости, не соответствующие градостроительным нормам_00-022_Август/da2b6e5b-0263-4cb4-b06e-0215823e19f9.jpg","open")</f>
        <v/>
      </c>
      <c r="C1077" t="inlineStr">
        <is>
          <t>cbf95b01-f708-45a3-9ec0-3603469b538e</t>
        </is>
      </c>
      <c r="D1077" t="n">
        <v>55.66043</v>
      </c>
      <c r="E1077" t="n">
        <v>37.46346</v>
      </c>
      <c r="F1077" t="inlineStr"/>
      <c r="G1077" t="inlineStr"/>
      <c r="H1077" t="inlineStr"/>
    </row>
    <row r="1078">
      <c r="A1078" t="inlineStr">
        <is>
          <t>2e6890b1-84ca-4526-9783-08975abdd58a.jpg</t>
        </is>
      </c>
      <c r="B1078">
        <f>HYPERLINK("Объекты недвижимости, не соответствующие градостроительным нормам_00-022_Август/2e6890b1-84ca-4526-9783-08975abdd58a.jpg","open")</f>
        <v/>
      </c>
      <c r="C1078" t="inlineStr">
        <is>
          <t>ed2bf0f1-3a66-4913-896e-4420a9796c0b</t>
        </is>
      </c>
      <c r="D1078" t="n">
        <v>55.74554</v>
      </c>
      <c r="E1078" t="n">
        <v>37.55217</v>
      </c>
      <c r="F1078" t="inlineStr"/>
      <c r="G1078" t="inlineStr"/>
      <c r="H1078" t="inlineStr"/>
    </row>
    <row r="1079">
      <c r="A1079" t="inlineStr">
        <is>
          <t>5598bf46-0d5d-46e3-9215-b1a213929dfc.jpg</t>
        </is>
      </c>
      <c r="B1079">
        <f>HYPERLINK("Объекты недвижимости, не соответствующие градостроительным нормам_00-022_Август/5598bf46-0d5d-46e3-9215-b1a213929dfc.jpg","open")</f>
        <v/>
      </c>
      <c r="C1079" t="inlineStr">
        <is>
          <t>caa4772d-6278-4484-a046-ee25514bf521</t>
        </is>
      </c>
      <c r="D1079" t="n">
        <v>55.97193</v>
      </c>
      <c r="E1079" t="n">
        <v>37.20063</v>
      </c>
      <c r="F1079" t="inlineStr"/>
      <c r="G1079" t="inlineStr"/>
      <c r="H1079" t="inlineStr"/>
    </row>
    <row r="1080">
      <c r="A1080" t="inlineStr">
        <is>
          <t>d1c9fab3-08ba-41aa-86f1-28d4f1ba4689.jpg</t>
        </is>
      </c>
      <c r="B1080">
        <f>HYPERLINK("Объекты недвижимости, не соответствующие градостроительным нормам_00-022_Август/d1c9fab3-08ba-41aa-86f1-28d4f1ba4689.jpg","open")</f>
        <v/>
      </c>
      <c r="C1080" t="inlineStr">
        <is>
          <t>cbf95b01-f708-45a3-9ec0-3603469b538e</t>
        </is>
      </c>
      <c r="D1080" t="n">
        <v>55.65033</v>
      </c>
      <c r="E1080" t="n">
        <v>37.46983</v>
      </c>
      <c r="F1080" t="inlineStr"/>
      <c r="G1080" t="inlineStr"/>
      <c r="H1080" t="inlineStr"/>
    </row>
    <row r="1081">
      <c r="A1081" t="inlineStr">
        <is>
          <t>2673b7ba-4edf-4947-bd75-36e2a51e7f60.jpg</t>
        </is>
      </c>
      <c r="B1081">
        <f>HYPERLINK("Объекты недвижимости, не соответствующие градостроительным нормам_00-022_Август/2673b7ba-4edf-4947-bd75-36e2a51e7f60.jpg","open")</f>
        <v/>
      </c>
      <c r="C1081" t="inlineStr">
        <is>
          <t>ed2bf0f1-3a66-4913-896e-4420a9796c0b</t>
        </is>
      </c>
      <c r="D1081" t="n">
        <v>55.73985</v>
      </c>
      <c r="E1081" t="n">
        <v>37.54736</v>
      </c>
      <c r="F1081" t="inlineStr"/>
      <c r="G1081" t="inlineStr"/>
      <c r="H1081" t="inlineStr"/>
    </row>
    <row r="1082">
      <c r="A1082" t="inlineStr">
        <is>
          <t>bf9b4277-ea79-46af-b1b1-75f279eb0a63.jpg</t>
        </is>
      </c>
      <c r="B1082">
        <f>HYPERLINK("Объекты недвижимости, не соответствующие градостроительным нормам_00-022_Август/bf9b4277-ea79-46af-b1b1-75f279eb0a63.jpg","open")</f>
        <v/>
      </c>
      <c r="C1082" t="inlineStr">
        <is>
          <t>8cde1fd0-eca1-4510-86ab-3c743b65fdfc</t>
        </is>
      </c>
      <c r="D1082" t="n">
        <v>55.7574</v>
      </c>
      <c r="E1082" t="n">
        <v>37.84235</v>
      </c>
      <c r="F1082" t="inlineStr"/>
      <c r="G1082" t="inlineStr"/>
      <c r="H1082" t="inlineStr"/>
    </row>
    <row r="1083">
      <c r="A1083" t="inlineStr">
        <is>
          <t>18ab88b9-3431-4274-b0bd-89cdec83f2ec.jpg</t>
        </is>
      </c>
      <c r="B1083">
        <f>HYPERLINK("Объекты недвижимости, не соответствующие градостроительным нормам_00-022_Август/18ab88b9-3431-4274-b0bd-89cdec83f2ec.jpg","open")</f>
        <v/>
      </c>
      <c r="C1083" t="inlineStr">
        <is>
          <t>8cde1fd0-eca1-4510-86ab-3c743b65fdfc</t>
        </is>
      </c>
      <c r="D1083" t="n">
        <v>55.75034</v>
      </c>
      <c r="E1083" t="n">
        <v>37.84198</v>
      </c>
      <c r="F1083" t="inlineStr"/>
      <c r="G1083" t="inlineStr"/>
      <c r="H1083" t="inlineStr"/>
    </row>
    <row r="1084">
      <c r="A1084" t="inlineStr">
        <is>
          <t>13c7381c-7ecb-490d-88ed-e3e13b19257d.jpg</t>
        </is>
      </c>
      <c r="B1084">
        <f>HYPERLINK("Объекты недвижимости, не соответствующие градостроительным нормам_00-022_Август/13c7381c-7ecb-490d-88ed-e3e13b19257d.jpg","open")</f>
        <v/>
      </c>
      <c r="C1084" t="inlineStr">
        <is>
          <t>1a55986c-2c3f-40c0-b3d1-014dce77832e</t>
        </is>
      </c>
      <c r="D1084" t="n">
        <v>55.73946</v>
      </c>
      <c r="E1084" t="n">
        <v>37.54779</v>
      </c>
      <c r="F1084" t="inlineStr"/>
      <c r="G1084" t="inlineStr"/>
      <c r="H1084" t="inlineStr"/>
    </row>
    <row r="1085">
      <c r="A1085" t="inlineStr">
        <is>
          <t>a0972ad4-088c-4336-9662-39e408ebf69e.jpg</t>
        </is>
      </c>
      <c r="B1085">
        <f>HYPERLINK("Объекты недвижимости, не соответствующие градостроительным нормам_00-022_Август/a0972ad4-088c-4336-9662-39e408ebf69e.jpg","open")</f>
        <v/>
      </c>
      <c r="C1085" t="inlineStr">
        <is>
          <t>1c951e11-4940-43c6-a447-394097e5609a</t>
        </is>
      </c>
      <c r="D1085" t="n">
        <v>55.71184</v>
      </c>
      <c r="E1085" t="n">
        <v>37.83708</v>
      </c>
      <c r="F1085" t="inlineStr"/>
      <c r="G1085" t="inlineStr"/>
      <c r="H1085" t="inlineStr"/>
    </row>
    <row r="1086">
      <c r="A1086" t="inlineStr">
        <is>
          <t>b8d0bbbf-047a-4ec4-abcb-37e877c07cd5.jpg</t>
        </is>
      </c>
      <c r="B1086">
        <f>HYPERLINK("Объекты недвижимости, не соответствующие градостроительным нормам_00-022_Август/b8d0bbbf-047a-4ec4-abcb-37e877c07cd5.jpg","open")</f>
        <v/>
      </c>
      <c r="C1086" t="inlineStr">
        <is>
          <t>8cde1fd0-eca1-4510-86ab-3c743b65fdfc</t>
        </is>
      </c>
      <c r="D1086" t="n">
        <v>55.71155</v>
      </c>
      <c r="E1086" t="n">
        <v>37.83909</v>
      </c>
      <c r="F1086" t="inlineStr"/>
      <c r="G1086" t="inlineStr"/>
      <c r="H1086" t="inlineStr"/>
    </row>
    <row r="1087">
      <c r="A1087" t="inlineStr">
        <is>
          <t>15519284-a06b-4b4e-9c56-db3fe5b0b272.jpg</t>
        </is>
      </c>
      <c r="B1087">
        <f>HYPERLINK("Объекты недвижимости, не соответствующие градостроительным нормам_00-022_Август/15519284-a06b-4b4e-9c56-db3fe5b0b272.jpg","open")</f>
        <v/>
      </c>
      <c r="C1087" t="inlineStr">
        <is>
          <t>8cde1fd0-eca1-4510-86ab-3c743b65fdfc</t>
        </is>
      </c>
      <c r="D1087" t="n">
        <v>55.71252</v>
      </c>
      <c r="E1087" t="n">
        <v>37.84028</v>
      </c>
      <c r="F1087" t="inlineStr"/>
      <c r="G1087" t="inlineStr"/>
      <c r="H1087" t="inlineStr"/>
    </row>
    <row r="1088">
      <c r="A1088" t="inlineStr">
        <is>
          <t>4333c3e0-fdb0-4b8e-8c2b-431d824964cd.jpg</t>
        </is>
      </c>
      <c r="B1088">
        <f>HYPERLINK("Объекты недвижимости, не соответствующие градостроительным нормам_00-022_Август/4333c3e0-fdb0-4b8e-8c2b-431d824964cd.jpg","open")</f>
        <v/>
      </c>
      <c r="C1088" t="inlineStr">
        <is>
          <t>ed2bf0f1-3a66-4913-896e-4420a9796c0b</t>
        </is>
      </c>
      <c r="D1088" t="n">
        <v>55.74303</v>
      </c>
      <c r="E1088" t="n">
        <v>37.54544</v>
      </c>
      <c r="F1088" t="inlineStr"/>
      <c r="G1088" t="inlineStr"/>
      <c r="H1088" t="inlineStr"/>
    </row>
    <row r="1089">
      <c r="A1089" t="inlineStr">
        <is>
          <t>2922abc0-4498-427f-98cc-3de9a2dc9da3.jpg</t>
        </is>
      </c>
      <c r="B1089">
        <f>HYPERLINK("Объекты недвижимости, не соответствующие градостроительным нормам_00-022_Август/2922abc0-4498-427f-98cc-3de9a2dc9da3.jpg","open")</f>
        <v/>
      </c>
      <c r="C1089" t="inlineStr">
        <is>
          <t>ed2bf0f1-3a66-4913-896e-4420a9796c0b</t>
        </is>
      </c>
      <c r="D1089" t="n">
        <v>55.74635</v>
      </c>
      <c r="E1089" t="n">
        <v>37.55758</v>
      </c>
      <c r="F1089" t="inlineStr"/>
      <c r="G1089" t="inlineStr"/>
      <c r="H1089" t="inlineStr"/>
    </row>
    <row r="1090">
      <c r="A1090" t="inlineStr">
        <is>
          <t>d0cf4a65-b13e-47b0-90f5-df9c52ee0fc4.jpg</t>
        </is>
      </c>
      <c r="B1090">
        <f>HYPERLINK("Объекты недвижимости, не соответствующие градостроительным нормам_00-022_Август/d0cf4a65-b13e-47b0-90f5-df9c52ee0fc4.jpg","open")</f>
        <v/>
      </c>
      <c r="C1090" t="inlineStr">
        <is>
          <t>8cde1fd0-eca1-4510-86ab-3c743b65fdfc</t>
        </is>
      </c>
      <c r="D1090" t="n">
        <v>55.72429</v>
      </c>
      <c r="E1090" t="n">
        <v>37.79732</v>
      </c>
      <c r="F1090" t="inlineStr"/>
      <c r="G1090" t="inlineStr"/>
      <c r="H1090" t="inlineStr"/>
    </row>
    <row r="1091">
      <c r="A1091" t="inlineStr">
        <is>
          <t>60aab69d-eed6-4fa6-82b0-90a1b98a9629.jpg</t>
        </is>
      </c>
      <c r="B1091">
        <f>HYPERLINK("Объекты недвижимости, не соответствующие градостроительным нормам_00-022_Август/60aab69d-eed6-4fa6-82b0-90a1b98a9629.jpg","open")</f>
        <v/>
      </c>
      <c r="C1091" t="inlineStr">
        <is>
          <t>1c951e11-4940-43c6-a447-394097e5609a</t>
        </is>
      </c>
      <c r="D1091" t="n">
        <v>55.72428</v>
      </c>
      <c r="E1091" t="n">
        <v>37.79739</v>
      </c>
      <c r="F1091" t="inlineStr"/>
      <c r="G1091" t="inlineStr"/>
      <c r="H1091" t="inlineStr"/>
    </row>
    <row r="1092">
      <c r="A1092" t="inlineStr">
        <is>
          <t>0ea8d112-2971-4e0d-810b-a22517cbc5e8.jpg</t>
        </is>
      </c>
      <c r="B1092">
        <f>HYPERLINK("Объекты недвижимости, не соответствующие градостроительным нормам_00-022_Август/0ea8d112-2971-4e0d-810b-a22517cbc5e8.jpg","open")</f>
        <v/>
      </c>
      <c r="C1092" t="inlineStr">
        <is>
          <t>8cde1fd0-eca1-4510-86ab-3c743b65fdfc</t>
        </is>
      </c>
      <c r="D1092" t="n">
        <v>55.72437</v>
      </c>
      <c r="E1092" t="n">
        <v>37.79824</v>
      </c>
      <c r="F1092" t="inlineStr"/>
      <c r="G1092" t="inlineStr"/>
      <c r="H1092" t="inlineStr"/>
    </row>
    <row r="1093">
      <c r="A1093" t="inlineStr">
        <is>
          <t>56fa6093-2212-4ca3-9b8a-53713e8aaa37.jpg</t>
        </is>
      </c>
      <c r="B1093">
        <f>HYPERLINK("Объекты недвижимости, не соответствующие градостроительным нормам_00-022_Август/56fa6093-2212-4ca3-9b8a-53713e8aaa37.jpg","open")</f>
        <v/>
      </c>
      <c r="C1093" t="inlineStr">
        <is>
          <t>1c951e11-4940-43c6-a447-394097e5609a</t>
        </is>
      </c>
      <c r="D1093" t="n">
        <v>55.72437</v>
      </c>
      <c r="E1093" t="n">
        <v>37.79823</v>
      </c>
      <c r="F1093" t="inlineStr"/>
      <c r="G1093" t="inlineStr"/>
      <c r="H1093" t="inlineStr"/>
    </row>
    <row r="1094">
      <c r="A1094" t="inlineStr">
        <is>
          <t>4ed3b75f-c29b-4286-a2a9-685427e98e5f.jpg</t>
        </is>
      </c>
      <c r="B1094">
        <f>HYPERLINK("Объекты недвижимости, не соответствующие градостроительным нормам_00-022_Август/4ed3b75f-c29b-4286-a2a9-685427e98e5f.jpg","open")</f>
        <v/>
      </c>
      <c r="C1094" t="inlineStr">
        <is>
          <t>8cde1fd0-eca1-4510-86ab-3c743b65fdfc</t>
        </is>
      </c>
      <c r="D1094" t="n">
        <v>55.72438</v>
      </c>
      <c r="E1094" t="n">
        <v>37.79826</v>
      </c>
      <c r="F1094" t="inlineStr"/>
      <c r="G1094" t="inlineStr"/>
      <c r="H1094" t="inlineStr"/>
    </row>
    <row r="1095">
      <c r="A1095" t="inlineStr">
        <is>
          <t>47692d4d-e971-4b6b-a8ae-082434a60508.jpg</t>
        </is>
      </c>
      <c r="B1095">
        <f>HYPERLINK("Объекты недвижимости, не соответствующие градостроительным нормам_00-022_Август/47692d4d-e971-4b6b-a8ae-082434a60508.jpg","open")</f>
        <v/>
      </c>
      <c r="C1095" t="inlineStr">
        <is>
          <t>1c951e11-4940-43c6-a447-394097e5609a</t>
        </is>
      </c>
      <c r="D1095" t="n">
        <v>55.72438</v>
      </c>
      <c r="E1095" t="n">
        <v>37.79826</v>
      </c>
      <c r="F1095" t="inlineStr"/>
      <c r="G1095" t="inlineStr"/>
      <c r="H1095" t="inlineStr"/>
    </row>
    <row r="1096">
      <c r="A1096" t="inlineStr">
        <is>
          <t>fa405baf-a766-40c1-8e04-09dce3a6abd9.jpg</t>
        </is>
      </c>
      <c r="B1096">
        <f>HYPERLINK("Объекты недвижимости, не соответствующие градостроительным нормам_00-022_Август/fa405baf-a766-40c1-8e04-09dce3a6abd9.jpg","open")</f>
        <v/>
      </c>
      <c r="C1096" t="inlineStr">
        <is>
          <t>1c951e11-4940-43c6-a447-394097e5609a</t>
        </is>
      </c>
      <c r="D1096" t="n">
        <v>55.72438</v>
      </c>
      <c r="E1096" t="n">
        <v>37.79829</v>
      </c>
      <c r="F1096" t="inlineStr"/>
      <c r="G1096" t="inlineStr"/>
      <c r="H1096" t="inlineStr"/>
    </row>
    <row r="1097">
      <c r="A1097" t="inlineStr">
        <is>
          <t>7d4510a1-73bc-4a2a-b04d-878c2863abda.jpg</t>
        </is>
      </c>
      <c r="B1097">
        <f>HYPERLINK("Объекты недвижимости, не соответствующие градостроительным нормам_00-022_Август/7d4510a1-73bc-4a2a-b04d-878c2863abda.jpg","open")</f>
        <v/>
      </c>
      <c r="C1097" t="inlineStr">
        <is>
          <t>f6f80c84-5569-48fd-b627-6f41ce4c61c4</t>
        </is>
      </c>
      <c r="D1097" t="n">
        <v>55.99836</v>
      </c>
      <c r="E1097" t="n">
        <v>37.21103</v>
      </c>
      <c r="F1097" t="inlineStr"/>
      <c r="G1097" t="inlineStr"/>
      <c r="H1097" t="inlineStr"/>
    </row>
    <row r="1098">
      <c r="A1098" t="inlineStr">
        <is>
          <t>7534f290-e187-4c7c-9cde-c8801b5b44a0.jpg</t>
        </is>
      </c>
      <c r="B1098">
        <f>HYPERLINK("Объекты недвижимости, не соответствующие градостроительным нормам_00-022_Август/7534f290-e187-4c7c-9cde-c8801b5b44a0.jpg","open")</f>
        <v/>
      </c>
      <c r="C1098" t="inlineStr">
        <is>
          <t>cbf95b01-f708-45a3-9ec0-3603469b538e</t>
        </is>
      </c>
      <c r="D1098" t="n">
        <v>55.68499</v>
      </c>
      <c r="E1098" t="n">
        <v>37.42993</v>
      </c>
      <c r="F1098" t="inlineStr"/>
      <c r="G1098" t="inlineStr"/>
      <c r="H1098" t="inlineStr"/>
    </row>
    <row r="1099">
      <c r="A1099" t="inlineStr">
        <is>
          <t>516b94c4-c2b1-4cce-b602-0430837d8fee.jpg</t>
        </is>
      </c>
      <c r="B1099">
        <f>HYPERLINK("Объекты недвижимости, не соответствующие градостроительным нормам_00-022_Август/516b94c4-c2b1-4cce-b602-0430837d8fee.jpg","open")</f>
        <v/>
      </c>
      <c r="C1099" t="inlineStr">
        <is>
          <t>ed2bf0f1-3a66-4913-896e-4420a9796c0b</t>
        </is>
      </c>
      <c r="D1099" t="n">
        <v>55.74201</v>
      </c>
      <c r="E1099" t="n">
        <v>37.55542</v>
      </c>
      <c r="F1099" t="inlineStr"/>
      <c r="G1099" t="inlineStr"/>
      <c r="H1099" t="inlineStr"/>
    </row>
    <row r="1100">
      <c r="A1100" t="inlineStr">
        <is>
          <t>0131b529-0709-45c1-8410-5e412769b0ea.jpg</t>
        </is>
      </c>
      <c r="B1100">
        <f>HYPERLINK("Объекты недвижимости, не соответствующие градостроительным нормам_00-022_Август/0131b529-0709-45c1-8410-5e412769b0ea.jpg","open")</f>
        <v/>
      </c>
      <c r="C1100" t="inlineStr">
        <is>
          <t>ed2bf0f1-3a66-4913-896e-4420a9796c0b</t>
        </is>
      </c>
      <c r="D1100" t="n">
        <v>55.74099</v>
      </c>
      <c r="E1100" t="n">
        <v>37.55435</v>
      </c>
      <c r="F1100" t="inlineStr"/>
      <c r="G1100" t="inlineStr"/>
      <c r="H1100" t="inlineStr"/>
    </row>
    <row r="1101">
      <c r="A1101" t="inlineStr">
        <is>
          <t>71d986c9-7ae2-48dd-8be3-5a4aca1c24e1.jpg</t>
        </is>
      </c>
      <c r="B1101">
        <f>HYPERLINK("Объекты недвижимости, не соответствующие градостроительным нормам_00-022_Август/71d986c9-7ae2-48dd-8be3-5a4aca1c24e1.jpg","open")</f>
        <v/>
      </c>
      <c r="C1101" t="inlineStr">
        <is>
          <t>cbf95b01-f708-45a3-9ec0-3603469b538e</t>
        </is>
      </c>
      <c r="D1101" t="n">
        <v>55.68234</v>
      </c>
      <c r="E1101" t="n">
        <v>37.4271</v>
      </c>
      <c r="F1101" t="inlineStr"/>
      <c r="G1101" t="inlineStr"/>
      <c r="H1101" t="inlineStr"/>
    </row>
    <row r="1102">
      <c r="A1102" t="inlineStr">
        <is>
          <t>242c233f-41bc-424e-8f3e-0b444384e44b.jpg</t>
        </is>
      </c>
      <c r="B1102">
        <f>HYPERLINK("Объекты недвижимости, не соответствующие градостроительным нормам_00-022_Август/242c233f-41bc-424e-8f3e-0b444384e44b.jpg","open")</f>
        <v/>
      </c>
      <c r="C1102" t="inlineStr">
        <is>
          <t>cbf95b01-f708-45a3-9ec0-3603469b538e</t>
        </is>
      </c>
      <c r="D1102" t="n">
        <v>55.68234</v>
      </c>
      <c r="E1102" t="n">
        <v>37.4271</v>
      </c>
      <c r="F1102" t="inlineStr"/>
      <c r="G1102" t="inlineStr"/>
      <c r="H1102" t="inlineStr"/>
    </row>
    <row r="1103">
      <c r="A1103" t="inlineStr">
        <is>
          <t>811bccd0-034a-4bfb-b2d1-b4e477b72de2.jpg</t>
        </is>
      </c>
      <c r="B1103">
        <f>HYPERLINK("Объекты недвижимости, не соответствующие градостроительным нормам_00-022_Август/811bccd0-034a-4bfb-b2d1-b4e477b72de2.jpg","open")</f>
        <v/>
      </c>
      <c r="C1103" t="inlineStr">
        <is>
          <t>a1a9db89-3f74-42ef-8fad-ad69705102cd</t>
        </is>
      </c>
      <c r="D1103" t="n">
        <v>55.68234</v>
      </c>
      <c r="E1103" t="n">
        <v>37.4271</v>
      </c>
      <c r="F1103" t="inlineStr"/>
      <c r="G1103" t="inlineStr"/>
      <c r="H1103" t="inlineStr"/>
    </row>
    <row r="1104">
      <c r="A1104" t="inlineStr">
        <is>
          <t>2ee60232-fc1c-4b70-b181-0e83ef1b8cd9.jpg</t>
        </is>
      </c>
      <c r="B1104">
        <f>HYPERLINK("Объекты недвижимости, не соответствующие градостроительным нормам_00-022_Август/2ee60232-fc1c-4b70-b181-0e83ef1b8cd9.jpg","open")</f>
        <v/>
      </c>
      <c r="C1104" t="inlineStr">
        <is>
          <t>cbf95b01-f708-45a3-9ec0-3603469b538e</t>
        </is>
      </c>
      <c r="D1104" t="n">
        <v>55.68235</v>
      </c>
      <c r="E1104" t="n">
        <v>37.42706</v>
      </c>
      <c r="F1104" t="inlineStr"/>
      <c r="G1104" t="inlineStr"/>
      <c r="H1104" t="inlineStr"/>
    </row>
    <row r="1105">
      <c r="A1105" t="inlineStr">
        <is>
          <t>b589e86d-8289-40c3-97ed-f92c713db9b8.jpg</t>
        </is>
      </c>
      <c r="B1105">
        <f>HYPERLINK("Объекты недвижимости, не соответствующие градостроительным нормам_00-022_Август/b589e86d-8289-40c3-97ed-f92c713db9b8.jpg","open")</f>
        <v/>
      </c>
      <c r="C1105" t="inlineStr">
        <is>
          <t>cbf95b01-f708-45a3-9ec0-3603469b538e</t>
        </is>
      </c>
      <c r="D1105" t="n">
        <v>55.68248</v>
      </c>
      <c r="E1105" t="n">
        <v>37.43168</v>
      </c>
      <c r="F1105" t="inlineStr"/>
      <c r="G1105" t="inlineStr"/>
      <c r="H1105" t="inlineStr"/>
    </row>
    <row r="1106">
      <c r="A1106" t="inlineStr">
        <is>
          <t>ee9c549f-60f8-49e3-bf2a-626d0db1fa3c.jpg</t>
        </is>
      </c>
      <c r="B1106">
        <f>HYPERLINK("Объекты недвижимости, не соответствующие градостроительным нормам_00-022_Август/ee9c549f-60f8-49e3-bf2a-626d0db1fa3c.jpg","open")</f>
        <v/>
      </c>
      <c r="C1106" t="inlineStr">
        <is>
          <t>cbf95b01-f708-45a3-9ec0-3603469b538e</t>
        </is>
      </c>
      <c r="D1106" t="n">
        <v>55.67194</v>
      </c>
      <c r="E1106" t="n">
        <v>37.43362</v>
      </c>
      <c r="F1106" t="inlineStr"/>
      <c r="G1106" t="inlineStr"/>
      <c r="H1106" t="inlineStr"/>
    </row>
    <row r="1107">
      <c r="A1107" t="inlineStr">
        <is>
          <t>9bd1514a-5164-4956-8652-3b08f4222059.jpg</t>
        </is>
      </c>
      <c r="B1107">
        <f>HYPERLINK("Объекты недвижимости, не соответствующие градостроительным нормам_00-022_Август/9bd1514a-5164-4956-8652-3b08f4222059.jpg","open")</f>
        <v/>
      </c>
      <c r="C1107" t="inlineStr">
        <is>
          <t>cbf95b01-f708-45a3-9ec0-3603469b538e</t>
        </is>
      </c>
      <c r="D1107" t="n">
        <v>55.67102</v>
      </c>
      <c r="E1107" t="n">
        <v>37.43262</v>
      </c>
      <c r="F1107" t="inlineStr"/>
      <c r="G1107" t="inlineStr"/>
      <c r="H1107" t="inlineStr"/>
    </row>
    <row r="1108">
      <c r="A1108" t="inlineStr">
        <is>
          <t>d957ce79-6f05-470a-9049-3cdd6c581c12.jpg</t>
        </is>
      </c>
      <c r="B1108">
        <f>HYPERLINK("Объекты недвижимости, не соответствующие градостроительным нормам_00-022_Август/d957ce79-6f05-470a-9049-3cdd6c581c12.jpg","open")</f>
        <v/>
      </c>
      <c r="C1108" t="inlineStr">
        <is>
          <t>cbf95b01-f708-45a3-9ec0-3603469b538e</t>
        </is>
      </c>
      <c r="D1108" t="n">
        <v>55.67085</v>
      </c>
      <c r="E1108" t="n">
        <v>37.43162</v>
      </c>
      <c r="F1108" t="inlineStr"/>
      <c r="G1108" t="inlineStr"/>
      <c r="H1108" t="inlineStr"/>
    </row>
    <row r="1109">
      <c r="A1109" t="inlineStr">
        <is>
          <t>458a9df4-2fb7-46c2-bfd2-be2380247966.jpg</t>
        </is>
      </c>
      <c r="B1109">
        <f>HYPERLINK("Объекты недвижимости, не соответствующие градостроительным нормам_00-022_Август/458a9df4-2fb7-46c2-bfd2-be2380247966.jpg","open")</f>
        <v/>
      </c>
      <c r="C1109" t="inlineStr">
        <is>
          <t>a1a9db89-3f74-42ef-8fad-ad69705102cd</t>
        </is>
      </c>
      <c r="D1109" t="n">
        <v>55.67071</v>
      </c>
      <c r="E1109" t="n">
        <v>37.43166</v>
      </c>
      <c r="F1109" t="inlineStr"/>
      <c r="G1109" t="inlineStr"/>
      <c r="H1109" t="inlineStr"/>
    </row>
    <row r="1110">
      <c r="A1110" t="inlineStr">
        <is>
          <t>6faf89c0-95bc-4b50-869a-94b076c89194.jpg</t>
        </is>
      </c>
      <c r="B1110">
        <f>HYPERLINK("Объекты недвижимости, не соответствующие градостроительным нормам_00-022_Август/6faf89c0-95bc-4b50-869a-94b076c89194.jpg","open")</f>
        <v/>
      </c>
      <c r="C1110" t="inlineStr">
        <is>
          <t>cbf95b01-f708-45a3-9ec0-3603469b538e</t>
        </is>
      </c>
      <c r="D1110" t="n">
        <v>55.67108</v>
      </c>
      <c r="E1110" t="n">
        <v>37.43153</v>
      </c>
      <c r="F1110" t="inlineStr"/>
      <c r="G1110" t="inlineStr"/>
      <c r="H1110" t="inlineStr"/>
    </row>
    <row r="1111">
      <c r="A1111" t="inlineStr">
        <is>
          <t>7af9d175-034d-4a56-ace5-4ee327b8febc.jpg</t>
        </is>
      </c>
      <c r="B1111">
        <f>HYPERLINK("Объекты недвижимости, не соответствующие градостроительным нормам_00-022_Август/7af9d175-034d-4a56-ace5-4ee327b8febc.jpg","open")</f>
        <v/>
      </c>
      <c r="C1111" t="inlineStr">
        <is>
          <t>cbf95b01-f708-45a3-9ec0-3603469b538e</t>
        </is>
      </c>
      <c r="D1111" t="n">
        <v>55.6712</v>
      </c>
      <c r="E1111" t="n">
        <v>37.43145</v>
      </c>
      <c r="F1111" t="inlineStr"/>
      <c r="G1111" t="inlineStr"/>
      <c r="H1111" t="inlineStr"/>
    </row>
    <row r="1112">
      <c r="A1112" t="inlineStr">
        <is>
          <t>300b211d-46bf-4cb3-98c2-963984621ae7.jpg</t>
        </is>
      </c>
      <c r="B1112">
        <f>HYPERLINK("Объекты недвижимости, не соответствующие градостроительным нормам_00-022_Август/300b211d-46bf-4cb3-98c2-963984621ae7.jpg","open")</f>
        <v/>
      </c>
      <c r="C1112" t="inlineStr">
        <is>
          <t>cbf95b01-f708-45a3-9ec0-3603469b538e</t>
        </is>
      </c>
      <c r="D1112" t="n">
        <v>55.67135</v>
      </c>
      <c r="E1112" t="n">
        <v>37.43135</v>
      </c>
      <c r="F1112" t="inlineStr"/>
      <c r="G1112" t="inlineStr"/>
      <c r="H1112" t="inlineStr"/>
    </row>
    <row r="1113">
      <c r="A1113" t="inlineStr">
        <is>
          <t>14736149-f251-4bf4-932e-035ca90d206c.jpg</t>
        </is>
      </c>
      <c r="B1113">
        <f>HYPERLINK("Объекты недвижимости, не соответствующие градостроительным нормам_00-022_Август/14736149-f251-4bf4-932e-035ca90d206c.jpg","open")</f>
        <v/>
      </c>
      <c r="C1113" t="inlineStr">
        <is>
          <t>8cde1fd0-eca1-4510-86ab-3c743b65fdfc</t>
        </is>
      </c>
      <c r="D1113" t="n">
        <v>55.7242</v>
      </c>
      <c r="E1113" t="n">
        <v>37.80813</v>
      </c>
      <c r="F1113" t="inlineStr"/>
      <c r="G1113" t="inlineStr"/>
      <c r="H1113" t="inlineStr"/>
    </row>
    <row r="1114">
      <c r="A1114" t="inlineStr">
        <is>
          <t>d4969f25-a72e-4879-a225-e263c0ea1d1a.jpg</t>
        </is>
      </c>
      <c r="B1114">
        <f>HYPERLINK("Объекты недвижимости, не соответствующие градостроительным нормам_00-022_Август/d4969f25-a72e-4879-a225-e263c0ea1d1a.jpg","open")</f>
        <v/>
      </c>
      <c r="C1114" t="inlineStr">
        <is>
          <t>cbf95b01-f708-45a3-9ec0-3603469b538e</t>
        </is>
      </c>
      <c r="D1114" t="n">
        <v>55.67165</v>
      </c>
      <c r="E1114" t="n">
        <v>37.43117</v>
      </c>
      <c r="F1114" t="inlineStr"/>
      <c r="G1114" t="inlineStr"/>
      <c r="H1114" t="inlineStr"/>
    </row>
    <row r="1115">
      <c r="A1115" t="inlineStr">
        <is>
          <t>61bd71c2-44b1-4fa1-8142-c7d2893725a6.jpg</t>
        </is>
      </c>
      <c r="B1115">
        <f>HYPERLINK("Объекты недвижимости, не соответствующие градостроительным нормам_00-022_Август/61bd71c2-44b1-4fa1-8142-c7d2893725a6.jpg","open")</f>
        <v/>
      </c>
      <c r="C1115" t="inlineStr">
        <is>
          <t>1a55986c-2c3f-40c0-b3d1-014dce77832e</t>
        </is>
      </c>
      <c r="D1115" t="n">
        <v>55.73829</v>
      </c>
      <c r="E1115" t="n">
        <v>37.53815</v>
      </c>
      <c r="F1115" t="inlineStr"/>
      <c r="G1115" t="inlineStr"/>
      <c r="H1115" t="inlineStr"/>
    </row>
    <row r="1116">
      <c r="A1116" t="inlineStr">
        <is>
          <t>a55f59af-24b4-4839-a8b1-a24edf34a945.jpg</t>
        </is>
      </c>
      <c r="B1116">
        <f>HYPERLINK("Объекты недвижимости, не соответствующие градостроительным нормам_00-022_Август/a55f59af-24b4-4839-a8b1-a24edf34a945.jpg","open")</f>
        <v/>
      </c>
      <c r="C1116" t="inlineStr">
        <is>
          <t>ed2bf0f1-3a66-4913-896e-4420a9796c0b</t>
        </is>
      </c>
      <c r="D1116" t="n">
        <v>55.73775</v>
      </c>
      <c r="E1116" t="n">
        <v>37.54383</v>
      </c>
      <c r="F1116" t="inlineStr"/>
      <c r="G1116" t="inlineStr"/>
      <c r="H1116" t="inlineStr"/>
    </row>
    <row r="1117">
      <c r="A1117" t="inlineStr">
        <is>
          <t>782ce593-9891-41a5-bd46-22cae9e27347.jpg</t>
        </is>
      </c>
      <c r="B1117">
        <f>HYPERLINK("Объекты недвижимости, не соответствующие градостроительным нормам_00-022_Август/782ce593-9891-41a5-bd46-22cae9e27347.jpg","open")</f>
        <v/>
      </c>
      <c r="C1117" t="inlineStr">
        <is>
          <t>cbf95b01-f708-45a3-9ec0-3603469b538e</t>
        </is>
      </c>
      <c r="D1117" t="n">
        <v>55.67418</v>
      </c>
      <c r="E1117" t="n">
        <v>37.42968</v>
      </c>
      <c r="F1117" t="inlineStr"/>
      <c r="G1117" t="inlineStr"/>
      <c r="H1117" t="inlineStr"/>
    </row>
    <row r="1118">
      <c r="A1118" t="inlineStr">
        <is>
          <t>bcee431d-a820-48fe-b38d-5c5258957209.jpg</t>
        </is>
      </c>
      <c r="B1118">
        <f>HYPERLINK("Объекты недвижимости, не соответствующие градостроительным нормам_00-022_Август/bcee431d-a820-48fe-b38d-5c5258957209.jpg","open")</f>
        <v/>
      </c>
      <c r="C1118" t="inlineStr">
        <is>
          <t>cbf95b01-f708-45a3-9ec0-3603469b538e</t>
        </is>
      </c>
      <c r="D1118" t="n">
        <v>55.67613</v>
      </c>
      <c r="E1118" t="n">
        <v>37.42849</v>
      </c>
      <c r="F1118" t="inlineStr"/>
      <c r="G1118" t="inlineStr"/>
      <c r="H1118" t="inlineStr"/>
    </row>
    <row r="1119">
      <c r="A1119" t="inlineStr">
        <is>
          <t>e53a2f66-aae7-44ea-bfb0-f66153400c28.jpg</t>
        </is>
      </c>
      <c r="B1119">
        <f>HYPERLINK("Объекты недвижимости, не соответствующие градостроительным нормам_00-022_Август/e53a2f66-aae7-44ea-bfb0-f66153400c28.jpg","open")</f>
        <v/>
      </c>
      <c r="C1119" t="inlineStr">
        <is>
          <t>cbf95b01-f708-45a3-9ec0-3603469b538e</t>
        </is>
      </c>
      <c r="D1119" t="n">
        <v>55.67624</v>
      </c>
      <c r="E1119" t="n">
        <v>37.42842</v>
      </c>
      <c r="F1119" t="inlineStr"/>
      <c r="G1119" t="inlineStr"/>
      <c r="H1119" t="inlineStr"/>
    </row>
    <row r="1120">
      <c r="A1120" t="inlineStr">
        <is>
          <t>15214de8-6491-4966-92e1-6aa72a7aa21a.jpg</t>
        </is>
      </c>
      <c r="B1120">
        <f>HYPERLINK("Объекты недвижимости, не соответствующие градостроительным нормам_00-022_Август/15214de8-6491-4966-92e1-6aa72a7aa21a.jpg","open")</f>
        <v/>
      </c>
      <c r="C1120" t="inlineStr">
        <is>
          <t>cbf95b01-f708-45a3-9ec0-3603469b538e</t>
        </is>
      </c>
      <c r="D1120" t="n">
        <v>55.67644</v>
      </c>
      <c r="E1120" t="n">
        <v>37.42831</v>
      </c>
      <c r="F1120" t="inlineStr"/>
      <c r="G1120" t="inlineStr"/>
      <c r="H1120" t="inlineStr"/>
    </row>
    <row r="1121">
      <c r="A1121" t="inlineStr">
        <is>
          <t>a2316999-6141-4096-8678-41a6a387bf52.jpg</t>
        </is>
      </c>
      <c r="B1121">
        <f>HYPERLINK("Объекты недвижимости, не соответствующие градостроительным нормам_00-022_Август/a2316999-6141-4096-8678-41a6a387bf52.jpg","open")</f>
        <v/>
      </c>
      <c r="C1121" t="inlineStr">
        <is>
          <t>cbf95b01-f708-45a3-9ec0-3603469b538e</t>
        </is>
      </c>
      <c r="D1121" t="n">
        <v>55.67656</v>
      </c>
      <c r="E1121" t="n">
        <v>37.42811</v>
      </c>
      <c r="F1121" t="inlineStr"/>
      <c r="G1121" t="inlineStr"/>
      <c r="H1121" t="inlineStr"/>
    </row>
    <row r="1122">
      <c r="A1122" t="inlineStr">
        <is>
          <t>18acdeed-afd2-420d-b7e2-9d7d9b957a80.jpg</t>
        </is>
      </c>
      <c r="B1122">
        <f>HYPERLINK("Объекты недвижимости, не соответствующие градостроительным нормам_00-022_Август/18acdeed-afd2-420d-b7e2-9d7d9b957a80.jpg","open")</f>
        <v/>
      </c>
      <c r="C1122" t="inlineStr">
        <is>
          <t>cbf95b01-f708-45a3-9ec0-3603469b538e</t>
        </is>
      </c>
      <c r="D1122" t="n">
        <v>55.6766</v>
      </c>
      <c r="E1122" t="n">
        <v>37.42812</v>
      </c>
      <c r="F1122" t="inlineStr"/>
      <c r="G1122" t="inlineStr"/>
      <c r="H1122" t="inlineStr"/>
    </row>
    <row r="1123">
      <c r="A1123" t="inlineStr">
        <is>
          <t>0be83ef2-7b27-437a-bbee-fdbd5c1101cc.jpg</t>
        </is>
      </c>
      <c r="B1123">
        <f>HYPERLINK("Объекты недвижимости, не соответствующие градостроительным нормам_00-022_Август/0be83ef2-7b27-437a-bbee-fdbd5c1101cc.jpg","open")</f>
        <v/>
      </c>
      <c r="C1123" t="inlineStr">
        <is>
          <t>cbf95b01-f708-45a3-9ec0-3603469b538e</t>
        </is>
      </c>
      <c r="D1123" t="n">
        <v>55.67659</v>
      </c>
      <c r="E1123" t="n">
        <v>37.42813</v>
      </c>
      <c r="F1123" t="inlineStr"/>
      <c r="G1123" t="inlineStr"/>
      <c r="H1123" t="inlineStr"/>
    </row>
    <row r="1124">
      <c r="A1124" t="inlineStr">
        <is>
          <t>9cc4582d-dc4f-4c89-8294-9835c249db1d.jpg</t>
        </is>
      </c>
      <c r="B1124">
        <f>HYPERLINK("Объекты недвижимости, не соответствующие градостроительным нормам_00-022_Август/9cc4582d-dc4f-4c89-8294-9835c249db1d.jpg","open")</f>
        <v/>
      </c>
      <c r="C1124" t="inlineStr">
        <is>
          <t>ed2bf0f1-3a66-4913-896e-4420a9796c0b</t>
        </is>
      </c>
      <c r="D1124" t="n">
        <v>55.74109</v>
      </c>
      <c r="E1124" t="n">
        <v>37.55434</v>
      </c>
      <c r="F1124" t="inlineStr"/>
      <c r="G1124" t="inlineStr"/>
      <c r="H1124" t="inlineStr"/>
    </row>
    <row r="1125">
      <c r="A1125" t="inlineStr">
        <is>
          <t>8845e1d4-47d7-41cc-b611-3d708cb16880.jpg</t>
        </is>
      </c>
      <c r="B1125">
        <f>HYPERLINK("Объекты недвижимости, не соответствующие градостроительным нормам_00-022_Август/8845e1d4-47d7-41cc-b611-3d708cb16880.jpg","open")</f>
        <v/>
      </c>
      <c r="C1125" t="inlineStr">
        <is>
          <t>1a55986c-2c3f-40c0-b3d1-014dce77832e</t>
        </is>
      </c>
      <c r="D1125" t="n">
        <v>55.74146</v>
      </c>
      <c r="E1125" t="n">
        <v>37.55474</v>
      </c>
      <c r="F1125" t="inlineStr"/>
      <c r="G1125" t="inlineStr"/>
      <c r="H1125" t="inlineStr"/>
    </row>
    <row r="1126">
      <c r="A1126" t="inlineStr">
        <is>
          <t>62d046f0-90e0-4a14-a706-0a48b9746490.jpg</t>
        </is>
      </c>
      <c r="B1126">
        <f>HYPERLINK("Объекты недвижимости, не соответствующие градостроительным нормам_00-022_Август/62d046f0-90e0-4a14-a706-0a48b9746490.jpg","open")</f>
        <v/>
      </c>
      <c r="C1126" t="inlineStr">
        <is>
          <t>cbf95b01-f708-45a3-9ec0-3603469b538e</t>
        </is>
      </c>
      <c r="D1126" t="n">
        <v>55.67492</v>
      </c>
      <c r="E1126" t="n">
        <v>37.42918</v>
      </c>
      <c r="F1126" t="inlineStr"/>
      <c r="G1126" t="inlineStr"/>
      <c r="H1126" t="inlineStr"/>
    </row>
    <row r="1127">
      <c r="A1127" t="inlineStr">
        <is>
          <t>e0e16dd2-cfb7-49a0-aa0f-8b03bf955abd.jpg</t>
        </is>
      </c>
      <c r="B1127">
        <f>HYPERLINK("Объекты недвижимости, не соответствующие градостроительным нормам_00-022_Август/e0e16dd2-cfb7-49a0-aa0f-8b03bf955abd.jpg","open")</f>
        <v/>
      </c>
      <c r="C1127" t="inlineStr">
        <is>
          <t>ed2bf0f1-3a66-4913-896e-4420a9796c0b</t>
        </is>
      </c>
      <c r="D1127" t="n">
        <v>55.7418</v>
      </c>
      <c r="E1127" t="n">
        <v>37.55529</v>
      </c>
      <c r="F1127" t="inlineStr"/>
      <c r="G1127" t="inlineStr"/>
      <c r="H1127" t="inlineStr"/>
    </row>
    <row r="1128">
      <c r="A1128" t="inlineStr">
        <is>
          <t>b59b0d90-2924-42ff-8a17-7dc6f9ba6735.jpg</t>
        </is>
      </c>
      <c r="B1128">
        <f>HYPERLINK("Объекты недвижимости, не соответствующие градостроительным нормам_00-022_Август/b59b0d90-2924-42ff-8a17-7dc6f9ba6735.jpg","open")</f>
        <v/>
      </c>
      <c r="C1128" t="inlineStr">
        <is>
          <t>1a55986c-2c3f-40c0-b3d1-014dce77832e</t>
        </is>
      </c>
      <c r="D1128" t="n">
        <v>55.74182</v>
      </c>
      <c r="E1128" t="n">
        <v>37.55539</v>
      </c>
      <c r="F1128" t="inlineStr"/>
      <c r="G1128" t="inlineStr"/>
      <c r="H1128" t="inlineStr"/>
    </row>
    <row r="1129">
      <c r="A1129" t="inlineStr">
        <is>
          <t>1da41b8e-b4c9-4eb9-9759-499e1133cda4.jpg</t>
        </is>
      </c>
      <c r="B1129">
        <f>HYPERLINK("Объекты недвижимости, не соответствующие градостроительным нормам_00-022_Август/1da41b8e-b4c9-4eb9-9759-499e1133cda4.jpg","open")</f>
        <v/>
      </c>
      <c r="C1129" t="inlineStr">
        <is>
          <t>cbf95b01-f708-45a3-9ec0-3603469b538e</t>
        </is>
      </c>
      <c r="D1129" t="n">
        <v>55.67935</v>
      </c>
      <c r="E1129" t="n">
        <v>37.43383</v>
      </c>
      <c r="F1129" t="inlineStr"/>
      <c r="G1129" t="inlineStr"/>
      <c r="H1129" t="inlineStr"/>
    </row>
    <row r="1130">
      <c r="A1130" t="inlineStr">
        <is>
          <t>dd60857c-3932-4937-a259-ea6daf23b6db.jpg</t>
        </is>
      </c>
      <c r="B1130">
        <f>HYPERLINK("Объекты недвижимости, не соответствующие градостроительным нормам_00-022_Август/dd60857c-3932-4937-a259-ea6daf23b6db.jpg","open")</f>
        <v/>
      </c>
      <c r="C1130" t="inlineStr">
        <is>
          <t>cbf95b01-f708-45a3-9ec0-3603469b538e</t>
        </is>
      </c>
      <c r="D1130" t="n">
        <v>55.67958</v>
      </c>
      <c r="E1130" t="n">
        <v>37.43368</v>
      </c>
      <c r="F1130" t="inlineStr"/>
      <c r="G1130" t="inlineStr"/>
      <c r="H1130" t="inlineStr"/>
    </row>
    <row r="1131">
      <c r="A1131" t="inlineStr">
        <is>
          <t>2773b0b6-b72f-4e22-bb33-5bf14954a394.jpg</t>
        </is>
      </c>
      <c r="B1131">
        <f>HYPERLINK("Объекты недвижимости, не соответствующие градостроительным нормам_00-022_Август/2773b0b6-b72f-4e22-bb33-5bf14954a394.jpg","open")</f>
        <v/>
      </c>
      <c r="C1131" t="inlineStr">
        <is>
          <t>1c951e11-4940-43c6-a447-394097e5609a</t>
        </is>
      </c>
      <c r="D1131" t="n">
        <v>55.72472</v>
      </c>
      <c r="E1131" t="n">
        <v>37.79552</v>
      </c>
      <c r="F1131" t="inlineStr"/>
      <c r="G1131" t="inlineStr"/>
      <c r="H1131" t="inlineStr"/>
    </row>
    <row r="1132">
      <c r="A1132" t="inlineStr">
        <is>
          <t>c3313206-63ea-4bfc-a8f2-a39efcf5bd65.jpg</t>
        </is>
      </c>
      <c r="B1132">
        <f>HYPERLINK("Объекты недвижимости, не соответствующие градостроительным нормам_00-022_Август/c3313206-63ea-4bfc-a8f2-a39efcf5bd65.jpg","open")</f>
        <v/>
      </c>
      <c r="C1132" t="inlineStr">
        <is>
          <t>8cde1fd0-eca1-4510-86ab-3c743b65fdfc</t>
        </is>
      </c>
      <c r="D1132" t="n">
        <v>55.72474</v>
      </c>
      <c r="E1132" t="n">
        <v>37.7954</v>
      </c>
      <c r="F1132" t="inlineStr"/>
      <c r="G1132" t="inlineStr"/>
      <c r="H1132" t="inlineStr"/>
    </row>
    <row r="1133">
      <c r="A1133" t="inlineStr">
        <is>
          <t>d345961e-55bc-419c-8d08-8206fd8bb98b.jpg</t>
        </is>
      </c>
      <c r="B1133">
        <f>HYPERLINK("Объекты недвижимости, не соответствующие градостроительным нормам_00-022_Август/d345961e-55bc-419c-8d08-8206fd8bb98b.jpg","open")</f>
        <v/>
      </c>
      <c r="C1133" t="inlineStr">
        <is>
          <t>a1a9db89-3f74-42ef-8fad-ad69705102cd</t>
        </is>
      </c>
      <c r="D1133" t="n">
        <v>55.6842</v>
      </c>
      <c r="E1133" t="n">
        <v>37.43096</v>
      </c>
      <c r="F1133" t="inlineStr"/>
      <c r="G1133" t="inlineStr"/>
      <c r="H1133" t="inlineStr"/>
    </row>
    <row r="1134">
      <c r="A1134" t="inlineStr">
        <is>
          <t>1bc44eea-1835-4597-ae9b-c9e1f1289051.jpg</t>
        </is>
      </c>
      <c r="B1134">
        <f>HYPERLINK("Объекты недвижимости, не соответствующие градостроительным нормам_00-022_Август/1bc44eea-1835-4597-ae9b-c9e1f1289051.jpg","open")</f>
        <v/>
      </c>
      <c r="C1134" t="inlineStr">
        <is>
          <t>8cde1fd0-eca1-4510-86ab-3c743b65fdfc</t>
        </is>
      </c>
      <c r="D1134" t="n">
        <v>55.73062</v>
      </c>
      <c r="E1134" t="n">
        <v>37.77708</v>
      </c>
      <c r="F1134" t="inlineStr"/>
      <c r="G1134" t="inlineStr"/>
      <c r="H1134" t="inlineStr"/>
    </row>
    <row r="1135">
      <c r="A1135" t="inlineStr">
        <is>
          <t>b2bd2e31-6486-4c5c-af4d-55cfdb06c708.jpg</t>
        </is>
      </c>
      <c r="B1135">
        <f>HYPERLINK("Объекты недвижимости, не соответствующие градостроительным нормам_00-022_Август/b2bd2e31-6486-4c5c-af4d-55cfdb06c708.jpg","open")</f>
        <v/>
      </c>
      <c r="C1135" t="inlineStr">
        <is>
          <t>cbf95b01-f708-45a3-9ec0-3603469b538e</t>
        </is>
      </c>
      <c r="D1135" t="n">
        <v>55.68446</v>
      </c>
      <c r="E1135" t="n">
        <v>37.43081</v>
      </c>
      <c r="F1135" t="inlineStr"/>
      <c r="G1135" t="inlineStr"/>
      <c r="H1135" t="inlineStr"/>
    </row>
    <row r="1136">
      <c r="A1136" t="inlineStr">
        <is>
          <t>5f1a05c1-3822-4ee4-9644-aa2b4d026897.jpg</t>
        </is>
      </c>
      <c r="B1136">
        <f>HYPERLINK("Объекты недвижимости, не соответствующие градостроительным нормам_00-022_Август/5f1a05c1-3822-4ee4-9644-aa2b4d026897.jpg","open")</f>
        <v/>
      </c>
      <c r="C1136" t="inlineStr">
        <is>
          <t>ab4e767f-65c0-455b-af20-a5527124fd21</t>
        </is>
      </c>
      <c r="D1136" t="n">
        <v>55.96447</v>
      </c>
      <c r="E1136" t="n">
        <v>37.41395</v>
      </c>
      <c r="F1136" t="inlineStr"/>
      <c r="G1136" t="inlineStr"/>
      <c r="H1136" t="inlineStr"/>
    </row>
    <row r="1137">
      <c r="A1137" t="inlineStr">
        <is>
          <t>09da67cc-6149-4149-aa5d-096fd8dc3c9f.jpg</t>
        </is>
      </c>
      <c r="B1137">
        <f>HYPERLINK("Объекты недвижимости, не соответствующие градостроительным нормам_00-022_Август/09da67cc-6149-4149-aa5d-096fd8dc3c9f.jpg","open")</f>
        <v/>
      </c>
      <c r="C1137" t="inlineStr">
        <is>
          <t>cbf95b01-f708-45a3-9ec0-3603469b538e</t>
        </is>
      </c>
      <c r="D1137" t="n">
        <v>55.68462</v>
      </c>
      <c r="E1137" t="n">
        <v>37.43589</v>
      </c>
      <c r="F1137" t="inlineStr"/>
      <c r="G1137" t="inlineStr"/>
      <c r="H1137" t="inlineStr"/>
    </row>
    <row r="1138">
      <c r="A1138" t="inlineStr">
        <is>
          <t>b415e52b-4454-4df3-9caa-7b6ac967fefa.jpg</t>
        </is>
      </c>
      <c r="B1138">
        <f>HYPERLINK("Объекты недвижимости, не соответствующие градостроительным нормам_00-022_Август/b415e52b-4454-4df3-9caa-7b6ac967fefa.jpg","open")</f>
        <v/>
      </c>
      <c r="C1138" t="inlineStr">
        <is>
          <t>a1a9db89-3f74-42ef-8fad-ad69705102cd</t>
        </is>
      </c>
      <c r="D1138" t="n">
        <v>55.68464</v>
      </c>
      <c r="E1138" t="n">
        <v>37.43589</v>
      </c>
      <c r="F1138" t="inlineStr"/>
      <c r="G1138" t="inlineStr"/>
      <c r="H1138" t="inlineStr"/>
    </row>
    <row r="1139">
      <c r="A1139" t="inlineStr">
        <is>
          <t>3711b8dd-b245-4685-a825-857dd91084a0.jpg</t>
        </is>
      </c>
      <c r="B1139">
        <f>HYPERLINK("Объекты недвижимости, не соответствующие градостроительным нормам_00-022_Август/3711b8dd-b245-4685-a825-857dd91084a0.jpg","open")</f>
        <v/>
      </c>
      <c r="C1139" t="inlineStr">
        <is>
          <t>8cde1fd0-eca1-4510-86ab-3c743b65fdfc</t>
        </is>
      </c>
      <c r="D1139" t="n">
        <v>55.74958</v>
      </c>
      <c r="E1139" t="n">
        <v>37.74139</v>
      </c>
      <c r="F1139" t="inlineStr"/>
      <c r="G1139" t="inlineStr"/>
      <c r="H1139" t="inlineStr"/>
    </row>
    <row r="1140">
      <c r="A1140" t="inlineStr">
        <is>
          <t>b6af4f45-5350-4f22-88e3-a911900b8026.jpg</t>
        </is>
      </c>
      <c r="B1140">
        <f>HYPERLINK("Объекты недвижимости, не соответствующие градостроительным нормам_00-022_Август/b6af4f45-5350-4f22-88e3-a911900b8026.jpg","open")</f>
        <v/>
      </c>
      <c r="C1140" t="inlineStr">
        <is>
          <t>cbf95b01-f708-45a3-9ec0-3603469b538e</t>
        </is>
      </c>
      <c r="D1140" t="n">
        <v>55.68446</v>
      </c>
      <c r="E1140" t="n">
        <v>37.43586</v>
      </c>
      <c r="F1140" t="inlineStr"/>
      <c r="G1140" t="inlineStr"/>
      <c r="H1140" t="inlineStr"/>
    </row>
    <row r="1141">
      <c r="A1141" t="inlineStr">
        <is>
          <t>932ba6a8-d74e-4317-bdbc-90b70ac4881e.jpg</t>
        </is>
      </c>
      <c r="B1141">
        <f>HYPERLINK("Объекты недвижимости, не соответствующие градостроительным нормам_00-022_Август/932ba6a8-d74e-4317-bdbc-90b70ac4881e.jpg","open")</f>
        <v/>
      </c>
      <c r="C1141" t="inlineStr">
        <is>
          <t>8cde1fd0-eca1-4510-86ab-3c743b65fdfc</t>
        </is>
      </c>
      <c r="D1141" t="n">
        <v>55.75056</v>
      </c>
      <c r="E1141" t="n">
        <v>37.7392</v>
      </c>
      <c r="F1141" t="inlineStr"/>
      <c r="G1141" t="inlineStr"/>
      <c r="H1141" t="inlineStr"/>
    </row>
    <row r="1142">
      <c r="A1142" t="inlineStr">
        <is>
          <t>e32b991c-0785-4cbe-980b-51e916c8a45c.jpg</t>
        </is>
      </c>
      <c r="B1142">
        <f>HYPERLINK("Объекты недвижимости, не соответствующие градостроительным нормам_00-022_Август/e32b991c-0785-4cbe-980b-51e916c8a45c.jpg","open")</f>
        <v/>
      </c>
      <c r="C1142" t="inlineStr">
        <is>
          <t>8cde1fd0-eca1-4510-86ab-3c743b65fdfc</t>
        </is>
      </c>
      <c r="D1142" t="n">
        <v>55.74104</v>
      </c>
      <c r="E1142" t="n">
        <v>37.73041</v>
      </c>
      <c r="F1142" t="inlineStr"/>
      <c r="G1142" t="inlineStr"/>
      <c r="H1142" t="inlineStr"/>
    </row>
    <row r="1143">
      <c r="A1143" t="inlineStr">
        <is>
          <t>f10575de-1af7-44fb-8260-3453268183e3.jpg</t>
        </is>
      </c>
      <c r="B1143">
        <f>HYPERLINK("Объекты недвижимости, не соответствующие градостроительным нормам_00-022_Август/f10575de-1af7-44fb-8260-3453268183e3.jpg","open")</f>
        <v/>
      </c>
      <c r="C1143" t="inlineStr">
        <is>
          <t>8cde1fd0-eca1-4510-86ab-3c743b65fdfc</t>
        </is>
      </c>
      <c r="D1143" t="n">
        <v>55.74074</v>
      </c>
      <c r="E1143" t="n">
        <v>37.73018</v>
      </c>
      <c r="F1143" t="inlineStr"/>
      <c r="G1143" t="inlineStr"/>
      <c r="H1143" t="inlineStr"/>
    </row>
    <row r="1144">
      <c r="A1144" t="inlineStr">
        <is>
          <t>6b8a183b-3dc8-4850-bedb-9feba6ecb259.jpg</t>
        </is>
      </c>
      <c r="B1144">
        <f>HYPERLINK("Объекты недвижимости, не соответствующие градостроительным нормам_00-022_Август/6b8a183b-3dc8-4850-bedb-9feba6ecb259.jpg","open")</f>
        <v/>
      </c>
      <c r="C1144" t="inlineStr">
        <is>
          <t>1c951e11-4940-43c6-a447-394097e5609a</t>
        </is>
      </c>
      <c r="D1144" t="n">
        <v>55.74082</v>
      </c>
      <c r="E1144" t="n">
        <v>37.73023</v>
      </c>
      <c r="F1144" t="inlineStr"/>
      <c r="G1144" t="inlineStr"/>
      <c r="H1144" t="inlineStr"/>
    </row>
    <row r="1145">
      <c r="A1145" t="inlineStr">
        <is>
          <t>52b3c77a-e922-49cb-a2d9-6ade62985242.jpg</t>
        </is>
      </c>
      <c r="B1145">
        <f>HYPERLINK("Объекты недвижимости, не соответствующие градостроительным нормам_00-022_Август/52b3c77a-e922-49cb-a2d9-6ade62985242.jpg","open")</f>
        <v/>
      </c>
      <c r="C1145" t="inlineStr">
        <is>
          <t>8cde1fd0-eca1-4510-86ab-3c743b65fdfc</t>
        </is>
      </c>
      <c r="D1145" t="n">
        <v>55.74045</v>
      </c>
      <c r="E1145" t="n">
        <v>37.72994</v>
      </c>
      <c r="F1145" t="inlineStr"/>
      <c r="G1145" t="inlineStr"/>
      <c r="H1145" t="inlineStr"/>
    </row>
    <row r="1146">
      <c r="A1146" t="inlineStr">
        <is>
          <t>9b7a1f3a-52a1-452d-bcb3-fa01f5fbd6dd.jpg</t>
        </is>
      </c>
      <c r="B1146">
        <f>HYPERLINK("Объекты недвижимости, не соответствующие градостроительным нормам_00-022_Август/9b7a1f3a-52a1-452d-bcb3-fa01f5fbd6dd.jpg","open")</f>
        <v/>
      </c>
      <c r="C1146" t="inlineStr">
        <is>
          <t>8cde1fd0-eca1-4510-86ab-3c743b65fdfc</t>
        </is>
      </c>
      <c r="D1146" t="n">
        <v>55.7294</v>
      </c>
      <c r="E1146" t="n">
        <v>37.74703</v>
      </c>
      <c r="F1146" t="inlineStr"/>
      <c r="G1146" t="inlineStr"/>
      <c r="H1146" t="inlineStr"/>
    </row>
    <row r="1147">
      <c r="A1147" t="inlineStr">
        <is>
          <t>97b6833f-2f57-4259-86ae-50fc821ff767.jpg</t>
        </is>
      </c>
      <c r="B1147">
        <f>HYPERLINK("Объекты недвижимости, не соответствующие градостроительным нормам_00-022_Август/97b6833f-2f57-4259-86ae-50fc821ff767.jpg","open")</f>
        <v/>
      </c>
      <c r="C1147" t="inlineStr">
        <is>
          <t>1c951e11-4940-43c6-a447-394097e5609a</t>
        </is>
      </c>
      <c r="D1147" t="n">
        <v>55.72879</v>
      </c>
      <c r="E1147" t="n">
        <v>37.75037</v>
      </c>
      <c r="F1147" t="inlineStr"/>
      <c r="G1147" t="inlineStr"/>
      <c r="H1147" t="inlineStr"/>
    </row>
    <row r="1148">
      <c r="A1148" t="inlineStr">
        <is>
          <t>0b818420-0180-464d-ad66-af9dcd646bc6.jpg</t>
        </is>
      </c>
      <c r="B1148">
        <f>HYPERLINK("Объекты недвижимости, не соответствующие градостроительным нормам_00-022_Август/0b818420-0180-464d-ad66-af9dcd646bc6.jpg","open")</f>
        <v/>
      </c>
      <c r="C1148" t="inlineStr">
        <is>
          <t>8cde1fd0-eca1-4510-86ab-3c743b65fdfc</t>
        </is>
      </c>
      <c r="D1148" t="n">
        <v>55.72879</v>
      </c>
      <c r="E1148" t="n">
        <v>37.75044</v>
      </c>
      <c r="F1148" t="inlineStr"/>
      <c r="G1148" t="inlineStr"/>
      <c r="H1148" t="inlineStr"/>
    </row>
    <row r="1149">
      <c r="A1149" t="inlineStr">
        <is>
          <t>5ff94fe9-64bb-47f8-a0c2-03422129d403.jpg</t>
        </is>
      </c>
      <c r="B1149">
        <f>HYPERLINK("Объекты недвижимости, не соответствующие градостроительным нормам_00-022_Август/5ff94fe9-64bb-47f8-a0c2-03422129d403.jpg","open")</f>
        <v/>
      </c>
      <c r="C1149" t="inlineStr">
        <is>
          <t>cbf95b01-f708-45a3-9ec0-3603469b538e</t>
        </is>
      </c>
      <c r="D1149" t="n">
        <v>55.68492</v>
      </c>
      <c r="E1149" t="n">
        <v>37.43892</v>
      </c>
      <c r="F1149" t="inlineStr"/>
      <c r="G1149" t="inlineStr"/>
      <c r="H1149" t="inlineStr"/>
    </row>
    <row r="1150">
      <c r="A1150" t="inlineStr">
        <is>
          <t>fd3c2c79-8f2b-4f0c-9f4a-1c768d415fcc.jpg</t>
        </is>
      </c>
      <c r="B1150">
        <f>HYPERLINK("Объекты недвижимости, не соответствующие градостроительным нормам_00-022_Август/fd3c2c79-8f2b-4f0c-9f4a-1c768d415fcc.jpg","open")</f>
        <v/>
      </c>
      <c r="C1150" t="inlineStr">
        <is>
          <t>caa4772d-6278-4484-a046-ee25514bf521</t>
        </is>
      </c>
      <c r="D1150" t="n">
        <v>55.97721</v>
      </c>
      <c r="E1150" t="n">
        <v>37.18155</v>
      </c>
      <c r="F1150" t="inlineStr"/>
      <c r="G1150" t="inlineStr"/>
      <c r="H1150" t="inlineStr"/>
    </row>
    <row r="1151">
      <c r="A1151" t="inlineStr">
        <is>
          <t>bd488d14-8e95-4769-a777-f85197930a6e.jpg</t>
        </is>
      </c>
      <c r="B1151">
        <f>HYPERLINK("Объекты недвижимости, не соответствующие градостроительным нормам_00-022_Август/bd488d14-8e95-4769-a777-f85197930a6e.jpg","open")</f>
        <v/>
      </c>
      <c r="C1151" t="inlineStr">
        <is>
          <t>1c951e11-4940-43c6-a447-394097e5609a</t>
        </is>
      </c>
      <c r="D1151" t="n">
        <v>55.73096</v>
      </c>
      <c r="E1151" t="n">
        <v>37.72802</v>
      </c>
      <c r="F1151" t="inlineStr"/>
      <c r="G1151" t="inlineStr"/>
      <c r="H1151" t="inlineStr"/>
    </row>
    <row r="1152">
      <c r="A1152" t="inlineStr">
        <is>
          <t>db2c98cd-0809-4038-9d37-c47824cda597.jpg</t>
        </is>
      </c>
      <c r="B1152">
        <f>HYPERLINK("Объекты недвижимости, не соответствующие градостроительным нормам_00-022_Август/db2c98cd-0809-4038-9d37-c47824cda597.jpg","open")</f>
        <v/>
      </c>
      <c r="C1152" t="inlineStr">
        <is>
          <t>8cde1fd0-eca1-4510-86ab-3c743b65fdfc</t>
        </is>
      </c>
      <c r="D1152" t="n">
        <v>55.73096</v>
      </c>
      <c r="E1152" t="n">
        <v>37.7279</v>
      </c>
      <c r="F1152" t="inlineStr"/>
      <c r="G1152" t="inlineStr"/>
      <c r="H1152" t="inlineStr"/>
    </row>
    <row r="1153">
      <c r="A1153" t="inlineStr">
        <is>
          <t>76a4dc66-5b3f-4bfe-bfca-053249ad0944.jpg</t>
        </is>
      </c>
      <c r="B1153">
        <f>HYPERLINK("Объекты недвижимости, не соответствующие градостроительным нормам_00-022_Август/76a4dc66-5b3f-4bfe-bfca-053249ad0944.jpg","open")</f>
        <v/>
      </c>
      <c r="C1153" t="inlineStr">
        <is>
          <t>cbf95b01-f708-45a3-9ec0-3603469b538e</t>
        </is>
      </c>
      <c r="D1153" t="n">
        <v>55.68634</v>
      </c>
      <c r="E1153" t="n">
        <v>37.4453</v>
      </c>
      <c r="F1153" t="inlineStr"/>
      <c r="G1153" t="inlineStr"/>
      <c r="H1153" t="inlineStr"/>
    </row>
    <row r="1154">
      <c r="A1154" t="inlineStr">
        <is>
          <t>37e87d31-7239-41c8-bce2-aa7f67a16c0e.jpg</t>
        </is>
      </c>
      <c r="B1154">
        <f>HYPERLINK("Объекты недвижимости, не соответствующие градостроительным нормам_00-022_Август/37e87d31-7239-41c8-bce2-aa7f67a16c0e.jpg","open")</f>
        <v/>
      </c>
      <c r="C1154" t="inlineStr">
        <is>
          <t>cbf95b01-f708-45a3-9ec0-3603469b538e</t>
        </is>
      </c>
      <c r="D1154" t="n">
        <v>55.68656</v>
      </c>
      <c r="E1154" t="n">
        <v>37.44557</v>
      </c>
      <c r="F1154" t="inlineStr"/>
      <c r="G1154" t="inlineStr"/>
      <c r="H1154" t="inlineStr"/>
    </row>
    <row r="1155">
      <c r="A1155" t="inlineStr">
        <is>
          <t>65fd0e31-1825-4811-ab37-c34bd7f16ed2.jpg</t>
        </is>
      </c>
      <c r="B1155">
        <f>HYPERLINK("Объекты недвижимости, не соответствующие градостроительным нормам_00-022_Август/65fd0e31-1825-4811-ab37-c34bd7f16ed2.jpg","open")</f>
        <v/>
      </c>
      <c r="C1155" t="inlineStr">
        <is>
          <t>1a55986c-2c3f-40c0-b3d1-014dce77832e</t>
        </is>
      </c>
      <c r="D1155" t="n">
        <v>55.73059</v>
      </c>
      <c r="E1155" t="n">
        <v>37.5467</v>
      </c>
      <c r="F1155" t="inlineStr"/>
      <c r="G1155" t="inlineStr"/>
      <c r="H1155" t="inlineStr"/>
    </row>
    <row r="1156">
      <c r="A1156" t="inlineStr">
        <is>
          <t>a447f95e-1939-4756-a7ab-de48c1f2dd3b.jpg</t>
        </is>
      </c>
      <c r="B1156">
        <f>HYPERLINK("Объекты недвижимости, не соответствующие градостроительным нормам_00-022_Август/a447f95e-1939-4756-a7ab-de48c1f2dd3b.jpg","open")</f>
        <v/>
      </c>
      <c r="C1156" t="inlineStr">
        <is>
          <t>ed2bf0f1-3a66-4913-896e-4420a9796c0b</t>
        </is>
      </c>
      <c r="D1156" t="n">
        <v>55.73092</v>
      </c>
      <c r="E1156" t="n">
        <v>37.54641</v>
      </c>
      <c r="F1156" t="inlineStr"/>
      <c r="G1156" t="inlineStr"/>
      <c r="H1156" t="inlineStr"/>
    </row>
    <row r="1157">
      <c r="A1157" t="inlineStr">
        <is>
          <t>1602f44c-e6ab-4edb-bcdf-4106c661b854.jpg</t>
        </is>
      </c>
      <c r="B1157">
        <f>HYPERLINK("Объекты недвижимости, не соответствующие градостроительным нормам_00-022_Август/1602f44c-e6ab-4edb-bcdf-4106c661b854.jpg","open")</f>
        <v/>
      </c>
      <c r="C1157" t="inlineStr">
        <is>
          <t>cbf95b01-f708-45a3-9ec0-3603469b538e</t>
        </is>
      </c>
      <c r="D1157" t="n">
        <v>55.6893</v>
      </c>
      <c r="E1157" t="n">
        <v>37.44912</v>
      </c>
      <c r="F1157" t="inlineStr"/>
      <c r="G1157" t="inlineStr"/>
      <c r="H1157" t="inlineStr"/>
    </row>
    <row r="1158">
      <c r="A1158" t="inlineStr">
        <is>
          <t>ca1aa3d3-22f6-4ede-87a6-be9ed8317e0c.jpg</t>
        </is>
      </c>
      <c r="B1158">
        <f>HYPERLINK("Объекты недвижимости, не соответствующие градостроительным нормам_00-022_Август/ca1aa3d3-22f6-4ede-87a6-be9ed8317e0c.jpg","open")</f>
        <v/>
      </c>
      <c r="C1158" t="inlineStr">
        <is>
          <t>cbf95b01-f708-45a3-9ec0-3603469b538e</t>
        </is>
      </c>
      <c r="D1158" t="n">
        <v>55.68849</v>
      </c>
      <c r="E1158" t="n">
        <v>37.45068</v>
      </c>
      <c r="F1158" t="inlineStr"/>
      <c r="G1158" t="inlineStr"/>
      <c r="H1158" t="inlineStr"/>
    </row>
    <row r="1159">
      <c r="A1159" t="inlineStr">
        <is>
          <t>3a412e32-88ef-4401-93b5-e4ed513b5164.jpg</t>
        </is>
      </c>
      <c r="B1159">
        <f>HYPERLINK("Объекты недвижимости, не соответствующие градостроительным нормам_00-022_Август/3a412e32-88ef-4401-93b5-e4ed513b5164.jpg","open")</f>
        <v/>
      </c>
      <c r="C1159" t="inlineStr">
        <is>
          <t>cbf95b01-f708-45a3-9ec0-3603469b538e</t>
        </is>
      </c>
      <c r="D1159" t="n">
        <v>55.68834</v>
      </c>
      <c r="E1159" t="n">
        <v>37.45099</v>
      </c>
      <c r="F1159" t="inlineStr"/>
      <c r="G1159" t="inlineStr"/>
      <c r="H1159" t="inlineStr"/>
    </row>
    <row r="1160">
      <c r="A1160" t="inlineStr">
        <is>
          <t>18a93a7a-a8c0-4f88-947c-7db84b04353f.jpg</t>
        </is>
      </c>
      <c r="B1160">
        <f>HYPERLINK("Объекты недвижимости, не соответствующие градостроительным нормам_00-022_Август/18a93a7a-a8c0-4f88-947c-7db84b04353f.jpg","open")</f>
        <v/>
      </c>
      <c r="C1160" t="inlineStr">
        <is>
          <t>cbf95b01-f708-45a3-9ec0-3603469b538e</t>
        </is>
      </c>
      <c r="D1160" t="n">
        <v>55.68812</v>
      </c>
      <c r="E1160" t="n">
        <v>37.4516</v>
      </c>
      <c r="F1160" t="inlineStr"/>
      <c r="G1160" t="inlineStr"/>
      <c r="H1160" t="inlineStr"/>
    </row>
    <row r="1161">
      <c r="A1161" t="inlineStr">
        <is>
          <t>9567754e-63cc-4332-8f36-ade912bb5e48.jpg</t>
        </is>
      </c>
      <c r="B1161">
        <f>HYPERLINK("Объекты недвижимости, не соответствующие градостроительным нормам_00-022_Август/9567754e-63cc-4332-8f36-ade912bb5e48.jpg","open")</f>
        <v/>
      </c>
      <c r="C1161" t="inlineStr">
        <is>
          <t>a1a9db89-3f74-42ef-8fad-ad69705102cd</t>
        </is>
      </c>
      <c r="D1161" t="n">
        <v>55.68803</v>
      </c>
      <c r="E1161" t="n">
        <v>37.45198</v>
      </c>
      <c r="F1161" t="inlineStr"/>
      <c r="G1161" t="inlineStr"/>
      <c r="H1161" t="inlineStr"/>
    </row>
    <row r="1162">
      <c r="A1162" t="inlineStr">
        <is>
          <t>78c3ae17-32a5-4ca5-97e9-409d7c6b0b3a.jpg</t>
        </is>
      </c>
      <c r="B1162">
        <f>HYPERLINK("Объекты недвижимости, не соответствующие градостроительным нормам_00-022_Август/78c3ae17-32a5-4ca5-97e9-409d7c6b0b3a.jpg","open")</f>
        <v/>
      </c>
      <c r="C1162" t="inlineStr">
        <is>
          <t>cbf95b01-f708-45a3-9ec0-3603469b538e</t>
        </is>
      </c>
      <c r="D1162" t="n">
        <v>55.68611</v>
      </c>
      <c r="E1162" t="n">
        <v>37.45354</v>
      </c>
      <c r="F1162" t="inlineStr"/>
      <c r="G1162" t="inlineStr"/>
      <c r="H1162" t="inlineStr"/>
    </row>
    <row r="1163">
      <c r="A1163" t="inlineStr">
        <is>
          <t>941257f0-4272-4f8f-a075-d47bf4b89105.jpg</t>
        </is>
      </c>
      <c r="B1163">
        <f>HYPERLINK("Объекты недвижимости, не соответствующие градостроительным нормам_00-022_Август/941257f0-4272-4f8f-a075-d47bf4b89105.jpg","open")</f>
        <v/>
      </c>
      <c r="C1163" t="inlineStr">
        <is>
          <t>cbf95b01-f708-45a3-9ec0-3603469b538e</t>
        </is>
      </c>
      <c r="D1163" t="n">
        <v>55.68444</v>
      </c>
      <c r="E1163" t="n">
        <v>37.45061</v>
      </c>
      <c r="F1163" t="inlineStr"/>
      <c r="G1163" t="inlineStr"/>
      <c r="H1163" t="inlineStr"/>
    </row>
    <row r="1164">
      <c r="A1164" t="inlineStr">
        <is>
          <t>f44afb85-35b3-4c01-9687-17aa57c3039c.jpg</t>
        </is>
      </c>
      <c r="B1164">
        <f>HYPERLINK("Объекты недвижимости, не соответствующие градостроительным нормам_00-022_Август/f44afb85-35b3-4c01-9687-17aa57c3039c.jpg","open")</f>
        <v/>
      </c>
      <c r="C1164" t="inlineStr">
        <is>
          <t>a1a9db89-3f74-42ef-8fad-ad69705102cd</t>
        </is>
      </c>
      <c r="D1164" t="n">
        <v>55.68447</v>
      </c>
      <c r="E1164" t="n">
        <v>37.45065</v>
      </c>
      <c r="F1164" t="inlineStr"/>
      <c r="G1164" t="inlineStr"/>
      <c r="H1164" t="inlineStr"/>
    </row>
    <row r="1165">
      <c r="A1165" t="inlineStr">
        <is>
          <t>af6f1fb9-a547-4183-873e-e3716754e2f5.jpg</t>
        </is>
      </c>
      <c r="B1165">
        <f>HYPERLINK("Объекты недвижимости, не соответствующие градостроительным нормам_00-022_Август/af6f1fb9-a547-4183-873e-e3716754e2f5.jpg","open")</f>
        <v/>
      </c>
      <c r="C1165" t="inlineStr">
        <is>
          <t>cbf95b01-f708-45a3-9ec0-3603469b538e</t>
        </is>
      </c>
      <c r="D1165" t="n">
        <v>55.68433</v>
      </c>
      <c r="E1165" t="n">
        <v>37.45045</v>
      </c>
      <c r="F1165" t="inlineStr"/>
      <c r="G1165" t="inlineStr"/>
      <c r="H1165" t="inlineStr"/>
    </row>
    <row r="1166">
      <c r="A1166" t="inlineStr">
        <is>
          <t>7fe050a9-3fc9-4d33-9a75-8ff16e3eec7a.jpg</t>
        </is>
      </c>
      <c r="B1166">
        <f>HYPERLINK("Объекты недвижимости, не соответствующие градостроительным нормам_00-022_Август/7fe050a9-3fc9-4d33-9a75-8ff16e3eec7a.jpg","open")</f>
        <v/>
      </c>
      <c r="C1166" t="inlineStr">
        <is>
          <t>8cde1fd0-eca1-4510-86ab-3c743b65fdfc</t>
        </is>
      </c>
      <c r="D1166" t="n">
        <v>55.70906</v>
      </c>
      <c r="E1166" t="n">
        <v>37.66682</v>
      </c>
      <c r="F1166" t="inlineStr"/>
      <c r="G1166" t="inlineStr"/>
      <c r="H1166" t="inlineStr"/>
    </row>
    <row r="1167">
      <c r="A1167" t="inlineStr">
        <is>
          <t>9e31a608-af99-4754-9af3-d7289e458fb2.jpg</t>
        </is>
      </c>
      <c r="B1167">
        <f>HYPERLINK("Объекты недвижимости, не соответствующие градостроительным нормам_00-022_Август/9e31a608-af99-4754-9af3-d7289e458fb2.jpg","open")</f>
        <v/>
      </c>
      <c r="C1167" t="inlineStr">
        <is>
          <t>cbf95b01-f708-45a3-9ec0-3603469b538e</t>
        </is>
      </c>
      <c r="D1167" t="n">
        <v>55.68786</v>
      </c>
      <c r="E1167" t="n">
        <v>37.45247</v>
      </c>
      <c r="F1167" t="inlineStr"/>
      <c r="G1167" t="inlineStr"/>
      <c r="H1167" t="inlineStr"/>
    </row>
    <row r="1168">
      <c r="A1168" t="inlineStr">
        <is>
          <t>781145df-eb2e-4570-a69b-323feeb99d00.jpg</t>
        </is>
      </c>
      <c r="B1168">
        <f>HYPERLINK("Объекты недвижимости, не соответствующие градостроительным нормам_00-022_Август/781145df-eb2e-4570-a69b-323feeb99d00.jpg","open")</f>
        <v/>
      </c>
      <c r="C1168" t="inlineStr">
        <is>
          <t>a1a9db89-3f74-42ef-8fad-ad69705102cd</t>
        </is>
      </c>
      <c r="D1168" t="n">
        <v>55.68994</v>
      </c>
      <c r="E1168" t="n">
        <v>37.44931</v>
      </c>
      <c r="F1168" t="inlineStr"/>
      <c r="G1168" t="inlineStr"/>
      <c r="H1168" t="inlineStr"/>
    </row>
    <row r="1169">
      <c r="A1169" t="inlineStr">
        <is>
          <t>7ba4542e-fdea-4ec1-b053-7cc7173eae34.jpg</t>
        </is>
      </c>
      <c r="B1169">
        <f>HYPERLINK("Объекты недвижимости, не соответствующие градостроительным нормам_00-022_Август/7ba4542e-fdea-4ec1-b053-7cc7173eae34.jpg","open")</f>
        <v/>
      </c>
      <c r="C1169" t="inlineStr">
        <is>
          <t>ab4e767f-65c0-455b-af20-a5527124fd21</t>
        </is>
      </c>
      <c r="D1169" t="n">
        <v>55.97331</v>
      </c>
      <c r="E1169" t="n">
        <v>37.43119</v>
      </c>
      <c r="F1169" t="inlineStr"/>
      <c r="G1169" t="inlineStr"/>
      <c r="H1169" t="inlineStr"/>
    </row>
    <row r="1170">
      <c r="A1170" t="inlineStr">
        <is>
          <t>c50217f4-f387-4bca-930e-c385315b2949.jpg</t>
        </is>
      </c>
      <c r="B1170">
        <f>HYPERLINK("Объекты недвижимости, не соответствующие градостроительным нормам_00-022_Август/c50217f4-f387-4bca-930e-c385315b2949.jpg","open")</f>
        <v/>
      </c>
      <c r="C1170" t="inlineStr">
        <is>
          <t>1c951e11-4940-43c6-a447-394097e5609a</t>
        </is>
      </c>
      <c r="D1170" t="n">
        <v>55.68438</v>
      </c>
      <c r="E1170" t="n">
        <v>37.66422</v>
      </c>
      <c r="F1170" t="inlineStr"/>
      <c r="G1170" t="inlineStr"/>
      <c r="H1170" t="inlineStr"/>
    </row>
    <row r="1171">
      <c r="A1171" t="inlineStr">
        <is>
          <t>7dda417f-d99b-4d86-9a91-2a492f29f5bf.jpg</t>
        </is>
      </c>
      <c r="B1171">
        <f>HYPERLINK("Объекты недвижимости, не соответствующие градостроительным нормам_00-022_Август/7dda417f-d99b-4d86-9a91-2a492f29f5bf.jpg","open")</f>
        <v/>
      </c>
      <c r="C1171" t="inlineStr">
        <is>
          <t>ab4e767f-65c0-455b-af20-a5527124fd21</t>
        </is>
      </c>
      <c r="D1171" t="n">
        <v>55.97014</v>
      </c>
      <c r="E1171" t="n">
        <v>37.3998</v>
      </c>
      <c r="F1171" t="inlineStr"/>
      <c r="G1171" t="inlineStr"/>
      <c r="H1171" t="inlineStr"/>
    </row>
    <row r="1172">
      <c r="A1172" t="inlineStr">
        <is>
          <t>f2098673-920d-4521-88cf-7414a18a8c4a.jpg</t>
        </is>
      </c>
      <c r="B1172">
        <f>HYPERLINK("Объекты недвижимости, не соответствующие градостроительным нормам_00-022_Август/f2098673-920d-4521-88cf-7414a18a8c4a.jpg","open")</f>
        <v/>
      </c>
      <c r="C1172" t="inlineStr">
        <is>
          <t>8cde1fd0-eca1-4510-86ab-3c743b65fdfc</t>
        </is>
      </c>
      <c r="D1172" t="n">
        <v>55.68494</v>
      </c>
      <c r="E1172" t="n">
        <v>37.66436</v>
      </c>
      <c r="F1172" t="inlineStr"/>
      <c r="G1172" t="inlineStr"/>
      <c r="H1172" t="inlineStr"/>
    </row>
    <row r="1173">
      <c r="A1173" t="inlineStr">
        <is>
          <t>72ad9d61-7749-46dd-9ff6-4c3a88206a1b.jpg</t>
        </is>
      </c>
      <c r="B1173">
        <f>HYPERLINK("Объекты недвижимости, не соответствующие градостроительным нормам_00-022_Август/72ad9d61-7749-46dd-9ff6-4c3a88206a1b.jpg","open")</f>
        <v/>
      </c>
      <c r="C1173" t="inlineStr">
        <is>
          <t>1c951e11-4940-43c6-a447-394097e5609a</t>
        </is>
      </c>
      <c r="D1173" t="n">
        <v>55.68496</v>
      </c>
      <c r="E1173" t="n">
        <v>37.66437</v>
      </c>
      <c r="F1173" t="inlineStr"/>
      <c r="G1173" t="inlineStr"/>
      <c r="H1173" t="inlineStr"/>
    </row>
    <row r="1174">
      <c r="A1174" t="inlineStr">
        <is>
          <t>825604f0-d8fc-4d4f-bd0d-023b8393d9b6.jpg</t>
        </is>
      </c>
      <c r="B1174">
        <f>HYPERLINK("Объекты недвижимости, не соответствующие градостроительным нормам_00-022_Август/825604f0-d8fc-4d4f-bd0d-023b8393d9b6.jpg","open")</f>
        <v/>
      </c>
      <c r="C1174" t="inlineStr">
        <is>
          <t>a1a9db89-3f74-42ef-8fad-ad69705102cd</t>
        </is>
      </c>
      <c r="D1174" t="n">
        <v>55.69217</v>
      </c>
      <c r="E1174" t="n">
        <v>37.44629</v>
      </c>
      <c r="F1174" t="inlineStr"/>
      <c r="G1174" t="inlineStr"/>
      <c r="H1174" t="inlineStr"/>
    </row>
    <row r="1175">
      <c r="A1175" t="inlineStr">
        <is>
          <t>0ef4e2df-3818-49ba-b8a2-4abfaa5baef0.jpg</t>
        </is>
      </c>
      <c r="B1175">
        <f>HYPERLINK("Объекты недвижимости, не соответствующие градостроительным нормам_00-022_Август/0ef4e2df-3818-49ba-b8a2-4abfaa5baef0.jpg","open")</f>
        <v/>
      </c>
      <c r="C1175" t="inlineStr">
        <is>
          <t>1a55986c-2c3f-40c0-b3d1-014dce77832e</t>
        </is>
      </c>
      <c r="D1175" t="n">
        <v>55.73242</v>
      </c>
      <c r="E1175" t="n">
        <v>37.55319</v>
      </c>
      <c r="F1175" t="inlineStr"/>
      <c r="G1175" t="inlineStr"/>
      <c r="H1175" t="inlineStr"/>
    </row>
    <row r="1176">
      <c r="A1176" t="inlineStr">
        <is>
          <t>a2e99a19-f501-491b-b41d-d432bc57e5cf.jpg</t>
        </is>
      </c>
      <c r="B1176">
        <f>HYPERLINK("Объекты недвижимости, не соответствующие градостроительным нормам_00-022_Август/a2e99a19-f501-491b-b41d-d432bc57e5cf.jpg","open")</f>
        <v/>
      </c>
      <c r="C1176" t="inlineStr">
        <is>
          <t>cbf95b01-f708-45a3-9ec0-3603469b538e</t>
        </is>
      </c>
      <c r="D1176" t="n">
        <v>55.69054</v>
      </c>
      <c r="E1176" t="n">
        <v>37.44292</v>
      </c>
      <c r="F1176" t="inlineStr"/>
      <c r="G1176" t="inlineStr"/>
      <c r="H1176" t="inlineStr"/>
    </row>
    <row r="1177">
      <c r="A1177" t="inlineStr">
        <is>
          <t>c82c5bb7-b93c-4d5f-9ce0-3a9cb82dc3b8.jpg</t>
        </is>
      </c>
      <c r="B1177">
        <f>HYPERLINK("Объекты недвижимости, не соответствующие градостроительным нормам_00-022_Август/c82c5bb7-b93c-4d5f-9ce0-3a9cb82dc3b8.jpg","open")</f>
        <v/>
      </c>
      <c r="C1177" t="inlineStr">
        <is>
          <t>cbf95b01-f708-45a3-9ec0-3603469b538e</t>
        </is>
      </c>
      <c r="D1177" t="n">
        <v>55.69017</v>
      </c>
      <c r="E1177" t="n">
        <v>37.44205</v>
      </c>
      <c r="F1177" t="inlineStr"/>
      <c r="G1177" t="inlineStr"/>
      <c r="H1177" t="inlineStr"/>
    </row>
    <row r="1178">
      <c r="A1178" t="inlineStr">
        <is>
          <t>e4f78d2a-5e41-486a-9b89-35ad8a2fc76c.jpg</t>
        </is>
      </c>
      <c r="B1178">
        <f>HYPERLINK("Объекты недвижимости, не соответствующие градостроительным нормам_00-022_Август/e4f78d2a-5e41-486a-9b89-35ad8a2fc76c.jpg","open")</f>
        <v/>
      </c>
      <c r="C1178" t="inlineStr">
        <is>
          <t>ab4e767f-65c0-455b-af20-a5527124fd21</t>
        </is>
      </c>
      <c r="D1178" t="n">
        <v>55.98013</v>
      </c>
      <c r="E1178" t="n">
        <v>37.40432</v>
      </c>
      <c r="F1178" t="inlineStr"/>
      <c r="G1178" t="inlineStr"/>
      <c r="H1178" t="inlineStr"/>
    </row>
    <row r="1179">
      <c r="A1179" t="inlineStr">
        <is>
          <t>d1dee61a-0af1-46a1-b7d0-4bc029529826.jpg</t>
        </is>
      </c>
      <c r="B1179">
        <f>HYPERLINK("Объекты недвижимости, не соответствующие градостроительным нормам_00-022_Август/d1dee61a-0af1-46a1-b7d0-4bc029529826.jpg","open")</f>
        <v/>
      </c>
      <c r="C1179" t="inlineStr">
        <is>
          <t>cbf95b01-f708-45a3-9ec0-3603469b538e</t>
        </is>
      </c>
      <c r="D1179" t="n">
        <v>55.68981</v>
      </c>
      <c r="E1179" t="n">
        <v>37.44117</v>
      </c>
      <c r="F1179" t="inlineStr"/>
      <c r="G1179" t="inlineStr"/>
      <c r="H1179" t="inlineStr"/>
    </row>
    <row r="1180">
      <c r="A1180" t="inlineStr">
        <is>
          <t>883e74e8-21c2-41b7-804c-dec1811841f3.jpg</t>
        </is>
      </c>
      <c r="B1180">
        <f>HYPERLINK("Объекты недвижимости, не соответствующие градостроительным нормам_00-022_Август/883e74e8-21c2-41b7-804c-dec1811841f3.jpg","open")</f>
        <v/>
      </c>
      <c r="C1180" t="inlineStr">
        <is>
          <t>ed2bf0f1-3a66-4913-896e-4420a9796c0b</t>
        </is>
      </c>
      <c r="D1180" t="n">
        <v>55.73259</v>
      </c>
      <c r="E1180" t="n">
        <v>37.55088</v>
      </c>
      <c r="F1180" t="inlineStr"/>
      <c r="G1180" t="inlineStr"/>
      <c r="H1180" t="inlineStr"/>
    </row>
    <row r="1181">
      <c r="A1181" t="inlineStr">
        <is>
          <t>00f96bf7-6619-4a09-9849-8f0b3c299a3c.jpg</t>
        </is>
      </c>
      <c r="B1181">
        <f>HYPERLINK("Объекты недвижимости, не соответствующие градостроительным нормам_00-022_Август/00f96bf7-6619-4a09-9849-8f0b3c299a3c.jpg","open")</f>
        <v/>
      </c>
      <c r="C1181" t="inlineStr">
        <is>
          <t>1a55986c-2c3f-40c0-b3d1-014dce77832e</t>
        </is>
      </c>
      <c r="D1181" t="n">
        <v>55.73259</v>
      </c>
      <c r="E1181" t="n">
        <v>37.55085</v>
      </c>
      <c r="F1181" t="inlineStr"/>
      <c r="G1181" t="inlineStr"/>
      <c r="H1181" t="inlineStr"/>
    </row>
    <row r="1182">
      <c r="A1182" t="inlineStr">
        <is>
          <t>683b5a47-3585-4cdf-98fc-6b0848b06c39.jpg</t>
        </is>
      </c>
      <c r="B1182">
        <f>HYPERLINK("Объекты недвижимости, не соответствующие градостроительным нормам_00-022_Август/683b5a47-3585-4cdf-98fc-6b0848b06c39.jpg","open")</f>
        <v/>
      </c>
      <c r="C1182" t="inlineStr">
        <is>
          <t>1a55986c-2c3f-40c0-b3d1-014dce77832e</t>
        </is>
      </c>
      <c r="D1182" t="n">
        <v>55.732</v>
      </c>
      <c r="E1182" t="n">
        <v>37.55095</v>
      </c>
      <c r="F1182" t="inlineStr"/>
      <c r="G1182" t="inlineStr"/>
      <c r="H1182" t="inlineStr"/>
    </row>
    <row r="1183">
      <c r="A1183" t="inlineStr">
        <is>
          <t>bf7c6244-3aac-4dd8-8ecb-7dfcb31c86a4.jpg</t>
        </is>
      </c>
      <c r="B1183">
        <f>HYPERLINK("Объекты недвижимости, не соответствующие градостроительным нормам_00-022_Август/bf7c6244-3aac-4dd8-8ecb-7dfcb31c86a4.jpg","open")</f>
        <v/>
      </c>
      <c r="C1183" t="inlineStr">
        <is>
          <t>ed2bf0f1-3a66-4913-896e-4420a9796c0b</t>
        </is>
      </c>
      <c r="D1183" t="n">
        <v>55.73194</v>
      </c>
      <c r="E1183" t="n">
        <v>37.55107</v>
      </c>
      <c r="F1183" t="inlineStr"/>
      <c r="G1183" t="inlineStr"/>
      <c r="H1183" t="inlineStr"/>
    </row>
    <row r="1184">
      <c r="A1184" t="inlineStr">
        <is>
          <t>d9c33cba-07cb-4c2e-9cca-a83674dedb3e.jpg</t>
        </is>
      </c>
      <c r="B1184">
        <f>HYPERLINK("Объекты недвижимости, не соответствующие градостроительным нормам_00-022_Август/d9c33cba-07cb-4c2e-9cca-a83674dedb3e.jpg","open")</f>
        <v/>
      </c>
      <c r="C1184" t="inlineStr">
        <is>
          <t>8cde1fd0-eca1-4510-86ab-3c743b65fdfc</t>
        </is>
      </c>
      <c r="D1184" t="n">
        <v>55.6856</v>
      </c>
      <c r="E1184" t="n">
        <v>37.69194</v>
      </c>
      <c r="F1184" t="inlineStr"/>
      <c r="G1184" t="inlineStr"/>
      <c r="H1184" t="inlineStr"/>
    </row>
    <row r="1185">
      <c r="A1185" t="inlineStr">
        <is>
          <t>9a827b3a-688d-404f-b436-52aedcedd877.jpg</t>
        </is>
      </c>
      <c r="B1185">
        <f>HYPERLINK("Объекты недвижимости, не соответствующие градостроительным нормам_00-022_Август/9a827b3a-688d-404f-b436-52aedcedd877.jpg","open")</f>
        <v/>
      </c>
      <c r="C1185" t="inlineStr">
        <is>
          <t>1c951e11-4940-43c6-a447-394097e5609a</t>
        </is>
      </c>
      <c r="D1185" t="n">
        <v>55.68559</v>
      </c>
      <c r="E1185" t="n">
        <v>37.69202</v>
      </c>
      <c r="F1185" t="inlineStr"/>
      <c r="G1185" t="inlineStr"/>
      <c r="H1185" t="inlineStr"/>
    </row>
    <row r="1186">
      <c r="A1186" t="inlineStr">
        <is>
          <t>b4e06e1d-5215-4c9e-b633-bc245eb3f752.jpg</t>
        </is>
      </c>
      <c r="B1186">
        <f>HYPERLINK("Объекты недвижимости, не соответствующие градостроительным нормам_00-022_Август/b4e06e1d-5215-4c9e-b633-bc245eb3f752.jpg","open")</f>
        <v/>
      </c>
      <c r="C1186" t="inlineStr">
        <is>
          <t>8cde1fd0-eca1-4510-86ab-3c743b65fdfc</t>
        </is>
      </c>
      <c r="D1186" t="n">
        <v>55.68559</v>
      </c>
      <c r="E1186" t="n">
        <v>37.69204</v>
      </c>
      <c r="F1186" t="inlineStr"/>
      <c r="G1186" t="inlineStr"/>
      <c r="H1186" t="inlineStr"/>
    </row>
    <row r="1187">
      <c r="A1187" t="inlineStr">
        <is>
          <t>875cd5e4-2a61-4567-8673-b9b4d6a7577b.jpg</t>
        </is>
      </c>
      <c r="B1187">
        <f>HYPERLINK("Объекты недвижимости, не соответствующие градостроительным нормам_00-022_Август/875cd5e4-2a61-4567-8673-b9b4d6a7577b.jpg","open")</f>
        <v/>
      </c>
      <c r="C1187" t="inlineStr">
        <is>
          <t>8cde1fd0-eca1-4510-86ab-3c743b65fdfc</t>
        </is>
      </c>
      <c r="D1187" t="n">
        <v>55.68557</v>
      </c>
      <c r="E1187" t="n">
        <v>37.6921</v>
      </c>
      <c r="F1187" t="inlineStr"/>
      <c r="G1187" t="inlineStr"/>
      <c r="H1187" t="inlineStr"/>
    </row>
    <row r="1188">
      <c r="A1188" t="inlineStr">
        <is>
          <t>39905824-deb3-4a18-9de1-408e78a6ff49.jpg</t>
        </is>
      </c>
      <c r="B1188">
        <f>HYPERLINK("Объекты недвижимости, не соответствующие градостроительным нормам_00-022_Август/39905824-deb3-4a18-9de1-408e78a6ff49.jpg","open")</f>
        <v/>
      </c>
      <c r="C1188" t="inlineStr">
        <is>
          <t>1c951e11-4940-43c6-a447-394097e5609a</t>
        </is>
      </c>
      <c r="D1188" t="n">
        <v>55.68556</v>
      </c>
      <c r="E1188" t="n">
        <v>37.69214</v>
      </c>
      <c r="F1188" t="inlineStr"/>
      <c r="G1188" t="inlineStr"/>
      <c r="H1188" t="inlineStr"/>
    </row>
    <row r="1189">
      <c r="A1189" t="inlineStr">
        <is>
          <t>7c53432b-3b29-4eaf-b7b8-f22ab19deac7.jpg</t>
        </is>
      </c>
      <c r="B1189">
        <f>HYPERLINK("Объекты недвижимости, не соответствующие градостроительным нормам_00-022_Август/7c53432b-3b29-4eaf-b7b8-f22ab19deac7.jpg","open")</f>
        <v/>
      </c>
      <c r="C1189" t="inlineStr">
        <is>
          <t>8cde1fd0-eca1-4510-86ab-3c743b65fdfc</t>
        </is>
      </c>
      <c r="D1189" t="n">
        <v>55.68555</v>
      </c>
      <c r="E1189" t="n">
        <v>37.69216</v>
      </c>
      <c r="F1189" t="inlineStr"/>
      <c r="G1189" t="inlineStr"/>
      <c r="H1189" t="inlineStr"/>
    </row>
    <row r="1190">
      <c r="A1190" t="inlineStr">
        <is>
          <t>348bcaa9-dd11-433f-8314-7d4509e52699.jpg</t>
        </is>
      </c>
      <c r="B1190">
        <f>HYPERLINK("Объекты недвижимости, не соответствующие градостроительным нормам_00-022_Август/348bcaa9-dd11-433f-8314-7d4509e52699.jpg","open")</f>
        <v/>
      </c>
      <c r="C1190" t="inlineStr">
        <is>
          <t>f9ad0a8f-1e33-4fca-bdfe-5b844d3ee381</t>
        </is>
      </c>
      <c r="D1190" t="n">
        <v>55.97053</v>
      </c>
      <c r="E1190" t="n">
        <v>37.43043</v>
      </c>
      <c r="F1190" t="inlineStr"/>
      <c r="G1190" t="inlineStr"/>
      <c r="H1190" t="inlineStr"/>
    </row>
    <row r="1191">
      <c r="A1191" t="inlineStr">
        <is>
          <t>b9979f0c-9d4f-4ab0-b851-a85c9ffa9e5e.jpg</t>
        </is>
      </c>
      <c r="B1191">
        <f>HYPERLINK("Объекты недвижимости, не соответствующие градостроительным нормам_00-022_Август/b9979f0c-9d4f-4ab0-b851-a85c9ffa9e5e.jpg","open")</f>
        <v/>
      </c>
      <c r="C1191" t="inlineStr">
        <is>
          <t>48b533d5-d106-4175-ac9b-d5ce8d90cccf</t>
        </is>
      </c>
      <c r="D1191" t="n">
        <v>55.81684</v>
      </c>
      <c r="E1191" t="n">
        <v>37.78843</v>
      </c>
      <c r="F1191" t="inlineStr"/>
      <c r="G1191" t="inlineStr"/>
      <c r="H1191" t="inlineStr"/>
    </row>
    <row r="1192">
      <c r="A1192" t="inlineStr">
        <is>
          <t>6724d299-429e-46c4-9aa3-eed531eaea30.jpg</t>
        </is>
      </c>
      <c r="B1192">
        <f>HYPERLINK("Объекты недвижимости, не соответствующие градостроительным нормам_00-022_Август/6724d299-429e-46c4-9aa3-eed531eaea30.jpg","open")</f>
        <v/>
      </c>
      <c r="C1192" t="inlineStr">
        <is>
          <t>ab4e767f-65c0-455b-af20-a5527124fd21</t>
        </is>
      </c>
      <c r="D1192" t="n">
        <v>55.98269</v>
      </c>
      <c r="E1192" t="n">
        <v>37.41551</v>
      </c>
      <c r="F1192" t="inlineStr"/>
      <c r="G1192" t="inlineStr"/>
      <c r="H1192" t="inlineStr"/>
    </row>
    <row r="1193">
      <c r="A1193" t="inlineStr">
        <is>
          <t>1dd09a40-9184-4ebc-bb12-15888cd0892a.jpg</t>
        </is>
      </c>
      <c r="B1193">
        <f>HYPERLINK("Объекты недвижимости, не соответствующие градостроительным нормам_00-022_Август/1dd09a40-9184-4ebc-bb12-15888cd0892a.jpg","open")</f>
        <v/>
      </c>
      <c r="C1193" t="inlineStr">
        <is>
          <t>cbf95b01-f708-45a3-9ec0-3603469b538e</t>
        </is>
      </c>
      <c r="D1193" t="n">
        <v>55.706</v>
      </c>
      <c r="E1193" t="n">
        <v>37.39445</v>
      </c>
      <c r="F1193" t="inlineStr"/>
      <c r="G1193" t="inlineStr"/>
      <c r="H1193" t="inlineStr"/>
    </row>
    <row r="1194">
      <c r="A1194" t="inlineStr">
        <is>
          <t>b1d304cb-49f6-45fc-afbb-cd2b42e32f8d.jpg</t>
        </is>
      </c>
      <c r="B1194">
        <f>HYPERLINK("Объекты недвижимости, не соответствующие градостроительным нормам_00-022_Август/b1d304cb-49f6-45fc-afbb-cd2b42e32f8d.jpg","open")</f>
        <v/>
      </c>
      <c r="C1194" t="inlineStr">
        <is>
          <t>7b951050-981e-4ccd-816e-e002f271ab6a</t>
        </is>
      </c>
      <c r="D1194" t="n">
        <v>55.78776</v>
      </c>
      <c r="E1194" t="n">
        <v>37.7176</v>
      </c>
      <c r="F1194" t="inlineStr"/>
      <c r="G1194" t="inlineStr"/>
      <c r="H1194" t="inlineStr"/>
    </row>
    <row r="1195">
      <c r="A1195" t="inlineStr">
        <is>
          <t>c1decb03-9c79-4720-b43a-79ed7b1810c3.jpg</t>
        </is>
      </c>
      <c r="B1195">
        <f>HYPERLINK("Объекты недвижимости, не соответствующие градостроительным нормам_00-022_Август/c1decb03-9c79-4720-b43a-79ed7b1810c3.jpg","open")</f>
        <v/>
      </c>
      <c r="C1195" t="inlineStr">
        <is>
          <t>91248771-2c4d-44f3-b3cf-d536bd4ae73c</t>
        </is>
      </c>
      <c r="D1195" t="n">
        <v>55.78776</v>
      </c>
      <c r="E1195" t="n">
        <v>37.7176</v>
      </c>
      <c r="F1195" t="inlineStr"/>
      <c r="G1195" t="inlineStr"/>
      <c r="H1195" t="inlineStr"/>
    </row>
    <row r="1196">
      <c r="A1196" t="inlineStr">
        <is>
          <t>b846dc2a-fd16-4d75-b834-9195f217622b.jpg</t>
        </is>
      </c>
      <c r="B1196">
        <f>HYPERLINK("Объекты недвижимости, не соответствующие градостроительным нормам_00-022_Август/b846dc2a-fd16-4d75-b834-9195f217622b.jpg","open")</f>
        <v/>
      </c>
      <c r="C1196" t="inlineStr">
        <is>
          <t>91248771-2c4d-44f3-b3cf-d536bd4ae73c</t>
        </is>
      </c>
      <c r="D1196" t="n">
        <v>55.78776</v>
      </c>
      <c r="E1196" t="n">
        <v>37.7176</v>
      </c>
      <c r="F1196" t="inlineStr"/>
      <c r="G1196" t="inlineStr"/>
      <c r="H1196" t="inlineStr"/>
    </row>
    <row r="1197">
      <c r="A1197" t="inlineStr">
        <is>
          <t>dbcb5fc6-12e3-4327-8507-3dbabd11c7d8.jpg</t>
        </is>
      </c>
      <c r="B1197">
        <f>HYPERLINK("Объекты недвижимости, не соответствующие градостроительным нормам_00-022_Август/dbcb5fc6-12e3-4327-8507-3dbabd11c7d8.jpg","open")</f>
        <v/>
      </c>
      <c r="C1197" t="inlineStr">
        <is>
          <t>93848fc8-17e7-4748-9ebc-c7e379e11d2f</t>
        </is>
      </c>
      <c r="D1197" t="n">
        <v>55.61909</v>
      </c>
      <c r="E1197" t="n">
        <v>37.26164</v>
      </c>
      <c r="F1197" t="inlineStr"/>
      <c r="G1197" t="inlineStr"/>
      <c r="H1197" t="inlineStr"/>
    </row>
    <row r="1198">
      <c r="A1198" t="inlineStr">
        <is>
          <t>85d0829b-759d-4025-a463-fb7ccf86599a.jpg</t>
        </is>
      </c>
      <c r="B1198">
        <f>HYPERLINK("Объекты недвижимости, не соответствующие градостроительным нормам_00-022_Август/85d0829b-759d-4025-a463-fb7ccf86599a.jpg","open")</f>
        <v/>
      </c>
      <c r="C1198" t="inlineStr">
        <is>
          <t>8cde1fd0-eca1-4510-86ab-3c743b65fdfc</t>
        </is>
      </c>
      <c r="D1198" t="n">
        <v>55.64825</v>
      </c>
      <c r="E1198" t="n">
        <v>37.64767</v>
      </c>
      <c r="F1198" t="inlineStr"/>
      <c r="G1198" t="inlineStr"/>
      <c r="H1198" t="inlineStr"/>
    </row>
    <row r="1199">
      <c r="A1199" t="inlineStr">
        <is>
          <t>5c873fda-2e31-4098-a085-e47edf1eaad7.jpg</t>
        </is>
      </c>
      <c r="B1199">
        <f>HYPERLINK("Объекты недвижимости, не соответствующие градостроительным нормам_00-022_Август/5c873fda-2e31-4098-a085-e47edf1eaad7.jpg","open")</f>
        <v/>
      </c>
      <c r="C1199" t="inlineStr">
        <is>
          <t>8cde1fd0-eca1-4510-86ab-3c743b65fdfc</t>
        </is>
      </c>
      <c r="D1199" t="n">
        <v>55.64787</v>
      </c>
      <c r="E1199" t="n">
        <v>37.64817</v>
      </c>
      <c r="F1199" t="inlineStr"/>
      <c r="G1199" t="inlineStr"/>
      <c r="H1199" t="inlineStr"/>
    </row>
    <row r="1200">
      <c r="A1200" t="inlineStr">
        <is>
          <t>4acc6765-54ca-4486-a1f9-498fbcaf8f35.jpg</t>
        </is>
      </c>
      <c r="B1200">
        <f>HYPERLINK("Объекты недвижимости, не соответствующие градостроительным нормам_00-022_Август/4acc6765-54ca-4486-a1f9-498fbcaf8f35.jpg","open")</f>
        <v/>
      </c>
      <c r="C1200" t="inlineStr">
        <is>
          <t>ed2bf0f1-3a66-4913-896e-4420a9796c0b</t>
        </is>
      </c>
      <c r="D1200" t="n">
        <v>55.747</v>
      </c>
      <c r="E1200" t="n">
        <v>37.56205</v>
      </c>
      <c r="F1200" t="inlineStr"/>
      <c r="G1200" t="inlineStr"/>
      <c r="H1200" t="inlineStr"/>
    </row>
    <row r="1201">
      <c r="A1201" t="inlineStr">
        <is>
          <t>8c60dc92-173f-4c0b-974b-45c8d1108a57.jpg</t>
        </is>
      </c>
      <c r="B1201">
        <f>HYPERLINK("Объекты недвижимости, не соответствующие градостроительным нормам_00-022_Август/8c60dc92-173f-4c0b-974b-45c8d1108a57.jpg","open")</f>
        <v/>
      </c>
      <c r="C1201" t="inlineStr">
        <is>
          <t>1a55986c-2c3f-40c0-b3d1-014dce77832e</t>
        </is>
      </c>
      <c r="D1201" t="n">
        <v>55.74702</v>
      </c>
      <c r="E1201" t="n">
        <v>37.56206</v>
      </c>
      <c r="F1201" t="inlineStr"/>
      <c r="G1201" t="inlineStr"/>
      <c r="H1201" t="inlineStr"/>
    </row>
    <row r="1202">
      <c r="A1202" t="inlineStr">
        <is>
          <t>af56cce8-10f5-4270-a3d7-4300180c42e5.jpg</t>
        </is>
      </c>
      <c r="B1202">
        <f>HYPERLINK("Объекты недвижимости, не соответствующие градостроительным нормам_00-022_Август/af56cce8-10f5-4270-a3d7-4300180c42e5.jpg","open")</f>
        <v/>
      </c>
      <c r="C1202" t="inlineStr">
        <is>
          <t>ed2bf0f1-3a66-4913-896e-4420a9796c0b</t>
        </is>
      </c>
      <c r="D1202" t="n">
        <v>55.74709</v>
      </c>
      <c r="E1202" t="n">
        <v>37.56223</v>
      </c>
      <c r="F1202" t="inlineStr"/>
      <c r="G1202" t="inlineStr"/>
      <c r="H1202" t="inlineStr"/>
    </row>
    <row r="1203">
      <c r="A1203" t="inlineStr">
        <is>
          <t>0bdf7ba1-4ff1-44f7-82a5-16258be93676.jpg</t>
        </is>
      </c>
      <c r="B1203">
        <f>HYPERLINK("Объекты недвижимости, не соответствующие градостроительным нормам_00-022_Август/0bdf7ba1-4ff1-44f7-82a5-16258be93676.jpg","open")</f>
        <v/>
      </c>
      <c r="C1203" t="inlineStr">
        <is>
          <t>ed2bf0f1-3a66-4913-896e-4420a9796c0b</t>
        </is>
      </c>
      <c r="D1203" t="n">
        <v>55.74698</v>
      </c>
      <c r="E1203" t="n">
        <v>37.56355</v>
      </c>
      <c r="F1203" t="inlineStr"/>
      <c r="G1203" t="inlineStr"/>
      <c r="H1203" t="inlineStr"/>
    </row>
    <row r="1204">
      <c r="A1204" t="inlineStr">
        <is>
          <t>f2ac26e2-0489-48cb-924c-44003d6967d9.jpg</t>
        </is>
      </c>
      <c r="B1204">
        <f>HYPERLINK("Объекты недвижимости, не соответствующие градостроительным нормам_00-022_Август/f2ac26e2-0489-48cb-924c-44003d6967d9.jpg","open")</f>
        <v/>
      </c>
      <c r="C1204" t="inlineStr">
        <is>
          <t>caa4772d-6278-4484-a046-ee25514bf521</t>
        </is>
      </c>
      <c r="D1204" t="n">
        <v>55.97843</v>
      </c>
      <c r="E1204" t="n">
        <v>37.26426</v>
      </c>
      <c r="F1204" t="inlineStr"/>
      <c r="G1204" t="inlineStr"/>
      <c r="H1204" t="inlineStr"/>
    </row>
    <row r="1205">
      <c r="A1205" t="inlineStr">
        <is>
          <t>9c513e36-45b6-435d-82b9-22a81ad2c038.jpg</t>
        </is>
      </c>
      <c r="B1205">
        <f>HYPERLINK("Объекты недвижимости, не соответствующие градостроительным нормам_00-022_Август/9c513e36-45b6-435d-82b9-22a81ad2c038.jpg","open")</f>
        <v/>
      </c>
      <c r="C1205" t="inlineStr">
        <is>
          <t>8cde1fd0-eca1-4510-86ab-3c743b65fdfc</t>
        </is>
      </c>
      <c r="D1205" t="n">
        <v>55.63845</v>
      </c>
      <c r="E1205" t="n">
        <v>37.64765</v>
      </c>
      <c r="F1205" t="inlineStr"/>
      <c r="G1205" t="inlineStr"/>
      <c r="H1205" t="inlineStr"/>
    </row>
    <row r="1206">
      <c r="A1206" t="inlineStr">
        <is>
          <t>05bc2ffc-8a4c-4d27-9535-34d5d3028654.jpg</t>
        </is>
      </c>
      <c r="B1206">
        <f>HYPERLINK("Объекты недвижимости, не соответствующие градостроительным нормам_00-022_Август/05bc2ffc-8a4c-4d27-9535-34d5d3028654.jpg","open")</f>
        <v/>
      </c>
      <c r="C1206" t="inlineStr">
        <is>
          <t>8cde1fd0-eca1-4510-86ab-3c743b65fdfc</t>
        </is>
      </c>
      <c r="D1206" t="n">
        <v>55.60535</v>
      </c>
      <c r="E1206" t="n">
        <v>37.63348</v>
      </c>
      <c r="F1206" t="inlineStr"/>
      <c r="G1206" t="inlineStr"/>
      <c r="H1206" t="inlineStr"/>
    </row>
    <row r="1207">
      <c r="A1207" t="inlineStr">
        <is>
          <t>8525fa0a-8192-4994-bd0c-2e977a0794c7.jpg</t>
        </is>
      </c>
      <c r="B1207">
        <f>HYPERLINK("Объекты недвижимости, не соответствующие градостроительным нормам_00-022_Август/8525fa0a-8192-4994-bd0c-2e977a0794c7.jpg","open")</f>
        <v/>
      </c>
      <c r="C1207" t="inlineStr">
        <is>
          <t>cbf95b01-f708-45a3-9ec0-3603469b538e</t>
        </is>
      </c>
      <c r="D1207" t="n">
        <v>55.83134</v>
      </c>
      <c r="E1207" t="n">
        <v>37.40059</v>
      </c>
      <c r="F1207" t="inlineStr"/>
      <c r="G1207" t="inlineStr"/>
      <c r="H1207" t="inlineStr"/>
    </row>
    <row r="1208">
      <c r="A1208" t="inlineStr">
        <is>
          <t>909bca1a-8430-4cc4-82fe-d346c8e1cd89.jpg</t>
        </is>
      </c>
      <c r="B1208">
        <f>HYPERLINK("Объекты недвижимости, не соответствующие градостроительным нормам_00-022_Август/909bca1a-8430-4cc4-82fe-d346c8e1cd89.jpg","open")</f>
        <v/>
      </c>
      <c r="C1208" t="inlineStr">
        <is>
          <t>caa4772d-6278-4484-a046-ee25514bf521</t>
        </is>
      </c>
      <c r="D1208" t="n">
        <v>55.96979</v>
      </c>
      <c r="E1208" t="n">
        <v>37.25966</v>
      </c>
      <c r="F1208" t="inlineStr"/>
      <c r="G1208" t="inlineStr"/>
      <c r="H1208" t="inlineStr"/>
    </row>
    <row r="1209">
      <c r="A1209" t="inlineStr">
        <is>
          <t>5dd93d2e-bec5-4b75-90df-402eb5f3f3ca.jpg</t>
        </is>
      </c>
      <c r="B1209">
        <f>HYPERLINK("Объекты недвижимости, не соответствующие градостроительным нормам_00-022_Август/5dd93d2e-bec5-4b75-90df-402eb5f3f3ca.jpg","open")</f>
        <v/>
      </c>
      <c r="C1209" t="inlineStr">
        <is>
          <t>cbf95b01-f708-45a3-9ec0-3603469b538e</t>
        </is>
      </c>
      <c r="D1209" t="n">
        <v>55.97919</v>
      </c>
      <c r="E1209" t="n">
        <v>37.40273</v>
      </c>
      <c r="F1209" t="inlineStr"/>
      <c r="G1209" t="inlineStr"/>
      <c r="H1209" t="inlineStr"/>
    </row>
    <row r="1210">
      <c r="A1210" t="inlineStr">
        <is>
          <t>523a233e-a41c-4989-8bcd-5bf3d108255f.jpg</t>
        </is>
      </c>
      <c r="B1210">
        <f>HYPERLINK("Объекты недвижимости, не соответствующие градостроительным нормам_00-022_Август/523a233e-a41c-4989-8bcd-5bf3d108255f.jpg","open")</f>
        <v/>
      </c>
      <c r="C1210" t="inlineStr">
        <is>
          <t>ed2bf0f1-3a66-4913-896e-4420a9796c0b</t>
        </is>
      </c>
      <c r="D1210" t="n">
        <v>55.7455</v>
      </c>
      <c r="E1210" t="n">
        <v>37.56984</v>
      </c>
      <c r="F1210" t="inlineStr"/>
      <c r="G1210" t="inlineStr"/>
      <c r="H1210" t="inlineStr"/>
    </row>
    <row r="1211">
      <c r="A1211" t="inlineStr">
        <is>
          <t>04728554-23dc-4819-9d4b-c4e6bace1c33.jpg</t>
        </is>
      </c>
      <c r="B1211">
        <f>HYPERLINK("Объекты недвижимости, не соответствующие градостроительным нормам_00-022_Август/04728554-23dc-4819-9d4b-c4e6bace1c33.jpg","open")</f>
        <v/>
      </c>
      <c r="C1211" t="inlineStr">
        <is>
          <t>a1a9db89-3f74-42ef-8fad-ad69705102cd</t>
        </is>
      </c>
      <c r="D1211" t="n">
        <v>55.9795</v>
      </c>
      <c r="E1211" t="n">
        <v>37.40331</v>
      </c>
      <c r="F1211" t="inlineStr"/>
      <c r="G1211" t="inlineStr"/>
      <c r="H1211" t="inlineStr"/>
    </row>
    <row r="1212">
      <c r="A1212" t="inlineStr">
        <is>
          <t>401c335b-8225-4f87-80f1-a7864315071e.jpg</t>
        </is>
      </c>
      <c r="B1212">
        <f>HYPERLINK("Объекты недвижимости, не соответствующие градостроительным нормам_00-022_Август/401c335b-8225-4f87-80f1-a7864315071e.jpg","open")</f>
        <v/>
      </c>
      <c r="C1212" t="inlineStr">
        <is>
          <t>cbf95b01-f708-45a3-9ec0-3603469b538e</t>
        </is>
      </c>
      <c r="D1212" t="n">
        <v>55.97959</v>
      </c>
      <c r="E1212" t="n">
        <v>37.40346</v>
      </c>
      <c r="F1212" t="inlineStr"/>
      <c r="G1212" t="inlineStr"/>
      <c r="H1212" t="inlineStr"/>
    </row>
    <row r="1213">
      <c r="A1213" t="inlineStr">
        <is>
          <t>56cf2e7d-4599-48f6-9859-7c3b36a03a2f.jpg</t>
        </is>
      </c>
      <c r="B1213">
        <f>HYPERLINK("Объекты недвижимости, не соответствующие градостроительным нормам_00-022_Август/56cf2e7d-4599-48f6-9859-7c3b36a03a2f.jpg","open")</f>
        <v/>
      </c>
      <c r="C1213" t="inlineStr">
        <is>
          <t>a1a9db89-3f74-42ef-8fad-ad69705102cd</t>
        </is>
      </c>
      <c r="D1213" t="n">
        <v>55.98107</v>
      </c>
      <c r="E1213" t="n">
        <v>37.40673</v>
      </c>
      <c r="F1213" t="inlineStr"/>
      <c r="G1213" t="inlineStr"/>
      <c r="H1213" t="inlineStr"/>
    </row>
    <row r="1214">
      <c r="A1214" t="inlineStr">
        <is>
          <t>3dd4c193-eb0a-4851-8bb7-d0f7286b4ad2.jpg</t>
        </is>
      </c>
      <c r="B1214">
        <f>HYPERLINK("Объекты недвижимости, не соответствующие градостроительным нормам_00-022_Август/3dd4c193-eb0a-4851-8bb7-d0f7286b4ad2.jpg","open")</f>
        <v/>
      </c>
      <c r="C1214" t="inlineStr">
        <is>
          <t>1a55986c-2c3f-40c0-b3d1-014dce77832e</t>
        </is>
      </c>
      <c r="D1214" t="n">
        <v>55.74414</v>
      </c>
      <c r="E1214" t="n">
        <v>37.54253</v>
      </c>
      <c r="F1214" t="inlineStr"/>
      <c r="G1214" t="inlineStr"/>
      <c r="H1214" t="inlineStr"/>
    </row>
    <row r="1215">
      <c r="A1215" t="inlineStr">
        <is>
          <t>eddfe664-ca65-4916-a4a2-ca43eacbd260.jpg</t>
        </is>
      </c>
      <c r="B1215">
        <f>HYPERLINK("Объекты недвижимости, не соответствующие градостроительным нормам_00-022_Август/eddfe664-ca65-4916-a4a2-ca43eacbd260.jpg","open")</f>
        <v/>
      </c>
      <c r="C1215" t="inlineStr">
        <is>
          <t>ed2bf0f1-3a66-4913-896e-4420a9796c0b</t>
        </is>
      </c>
      <c r="D1215" t="n">
        <v>55.74415</v>
      </c>
      <c r="E1215" t="n">
        <v>37.54265</v>
      </c>
      <c r="F1215" t="inlineStr"/>
      <c r="G1215" t="inlineStr"/>
      <c r="H1215" t="inlineStr"/>
    </row>
    <row r="1216">
      <c r="A1216" t="inlineStr">
        <is>
          <t>cf764cb1-8d2b-441d-a36d-9c6eac7c6e39.jpg</t>
        </is>
      </c>
      <c r="B1216">
        <f>HYPERLINK("Объекты недвижимости, не соответствующие градостроительным нормам_00-022_Август/cf764cb1-8d2b-441d-a36d-9c6eac7c6e39.jpg","open")</f>
        <v/>
      </c>
      <c r="C1216" t="inlineStr">
        <is>
          <t>1a55986c-2c3f-40c0-b3d1-014dce77832e</t>
        </is>
      </c>
      <c r="D1216" t="n">
        <v>55.74417</v>
      </c>
      <c r="E1216" t="n">
        <v>37.54303</v>
      </c>
      <c r="F1216" t="inlineStr"/>
      <c r="G1216" t="inlineStr"/>
      <c r="H1216" t="inlineStr"/>
    </row>
    <row r="1217">
      <c r="A1217" t="inlineStr">
        <is>
          <t>eb9dab7f-89f4-4b79-beae-8e5106c0e904.jpg</t>
        </is>
      </c>
      <c r="B1217">
        <f>HYPERLINK("Объекты недвижимости, не соответствующие градостроительным нормам_00-022_Август/eb9dab7f-89f4-4b79-beae-8e5106c0e904.jpg","open")</f>
        <v/>
      </c>
      <c r="C1217" t="inlineStr">
        <is>
          <t>ed2bf0f1-3a66-4913-896e-4420a9796c0b</t>
        </is>
      </c>
      <c r="D1217" t="n">
        <v>55.74435</v>
      </c>
      <c r="E1217" t="n">
        <v>37.54366</v>
      </c>
      <c r="F1217" t="inlineStr"/>
      <c r="G1217" t="inlineStr"/>
      <c r="H1217" t="inlineStr"/>
    </row>
    <row r="1218">
      <c r="A1218" t="inlineStr">
        <is>
          <t>68c075a6-7500-4a2a-8a2f-c60c70a64594.jpg</t>
        </is>
      </c>
      <c r="B1218">
        <f>HYPERLINK("Объекты недвижимости, не соответствующие градостроительным нормам_00-022_Август/68c075a6-7500-4a2a-8a2f-c60c70a64594.jpg","open")</f>
        <v/>
      </c>
      <c r="C1218" t="inlineStr">
        <is>
          <t>ed2bf0f1-3a66-4913-896e-4420a9796c0b</t>
        </is>
      </c>
      <c r="D1218" t="n">
        <v>55.74388</v>
      </c>
      <c r="E1218" t="n">
        <v>37.54455</v>
      </c>
      <c r="F1218" t="inlineStr"/>
      <c r="G1218" t="inlineStr"/>
      <c r="H1218" t="inlineStr"/>
    </row>
    <row r="1219">
      <c r="A1219" t="inlineStr">
        <is>
          <t>14736c80-734b-4c60-8a81-6459f8f0c052.jpg</t>
        </is>
      </c>
      <c r="B1219">
        <f>HYPERLINK("Объекты недвижимости, не соответствующие градостроительным нормам_00-022_Август/14736c80-734b-4c60-8a81-6459f8f0c052.jpg","open")</f>
        <v/>
      </c>
      <c r="C1219" t="inlineStr">
        <is>
          <t>a1a9db89-3f74-42ef-8fad-ad69705102cd</t>
        </is>
      </c>
      <c r="D1219" t="n">
        <v>55.97024</v>
      </c>
      <c r="E1219" t="n">
        <v>37.43025</v>
      </c>
      <c r="F1219" t="inlineStr"/>
      <c r="G1219" t="inlineStr"/>
      <c r="H1219" t="inlineStr"/>
    </row>
    <row r="1220">
      <c r="A1220" t="inlineStr">
        <is>
          <t>abccdfb0-1b8c-4cdf-9b79-e87e36449a34.jpg</t>
        </is>
      </c>
      <c r="B1220">
        <f>HYPERLINK("Объекты недвижимости, не соответствующие градостроительным нормам_00-022_Август/abccdfb0-1b8c-4cdf-9b79-e87e36449a34.jpg","open")</f>
        <v/>
      </c>
      <c r="C1220" t="inlineStr">
        <is>
          <t>f9ad0a8f-1e33-4fca-bdfe-5b844d3ee381</t>
        </is>
      </c>
      <c r="D1220" t="n">
        <v>56.17927</v>
      </c>
      <c r="E1220" t="n">
        <v>37.3588</v>
      </c>
      <c r="F1220" t="inlineStr"/>
      <c r="G1220" t="inlineStr"/>
      <c r="H1220" t="inlineStr"/>
    </row>
    <row r="1221">
      <c r="A1221" t="inlineStr">
        <is>
          <t>7a7aec9e-edfa-4f45-992a-43bff3afc9f8.jpg</t>
        </is>
      </c>
      <c r="B1221">
        <f>HYPERLINK("Объекты недвижимости, не соответствующие градостроительным нормам_00-022_Август/7a7aec9e-edfa-4f45-992a-43bff3afc9f8.jpg","open")</f>
        <v/>
      </c>
      <c r="C1221" t="inlineStr">
        <is>
          <t>ab4e767f-65c0-455b-af20-a5527124fd21</t>
        </is>
      </c>
      <c r="D1221" t="n">
        <v>56.17927</v>
      </c>
      <c r="E1221" t="n">
        <v>37.3588</v>
      </c>
      <c r="F1221" t="inlineStr"/>
      <c r="G1221" t="inlineStr"/>
      <c r="H1221" t="inlineStr"/>
    </row>
    <row r="1222">
      <c r="A1222" t="inlineStr">
        <is>
          <t>132b10dd-5b47-4a5c-baec-2dd1b25c7cc9.jpg</t>
        </is>
      </c>
      <c r="B1222">
        <f>HYPERLINK("Объекты недвижимости, не соответствующие градостроительным нормам_00-022_Август/132b10dd-5b47-4a5c-baec-2dd1b25c7cc9.jpg","open")</f>
        <v/>
      </c>
      <c r="C1222" t="inlineStr">
        <is>
          <t>8cde1fd0-eca1-4510-86ab-3c743b65fdfc</t>
        </is>
      </c>
      <c r="D1222" t="n">
        <v>55.67423</v>
      </c>
      <c r="E1222" t="n">
        <v>37.62712</v>
      </c>
      <c r="F1222" t="inlineStr"/>
      <c r="G1222" t="inlineStr"/>
      <c r="H1222" t="inlineStr"/>
    </row>
    <row r="1223">
      <c r="A1223" t="inlineStr">
        <is>
          <t>51b711e7-311a-40aa-a026-7731d1231351.jpg</t>
        </is>
      </c>
      <c r="B1223">
        <f>HYPERLINK("Объекты недвижимости, не соответствующие градостроительным нормам_00-022_Август/51b711e7-311a-40aa-a026-7731d1231351.jpg","open")</f>
        <v/>
      </c>
      <c r="C1223" t="inlineStr">
        <is>
          <t>1c951e11-4940-43c6-a447-394097e5609a</t>
        </is>
      </c>
      <c r="D1223" t="n">
        <v>55.6941</v>
      </c>
      <c r="E1223" t="n">
        <v>37.62211</v>
      </c>
      <c r="F1223" t="inlineStr"/>
      <c r="G1223" t="inlineStr"/>
      <c r="H1223" t="inlineStr"/>
    </row>
    <row r="1224">
      <c r="A1224" t="inlineStr">
        <is>
          <t>f1cbcdb4-3e3b-481a-9b2b-5440d55e5dd0.jpg</t>
        </is>
      </c>
      <c r="B1224">
        <f>HYPERLINK("Объекты недвижимости, не соответствующие градостроительным нормам_00-022_Август/f1cbcdb4-3e3b-481a-9b2b-5440d55e5dd0.jpg","open")</f>
        <v/>
      </c>
      <c r="C1224" t="inlineStr">
        <is>
          <t>1c951e11-4940-43c6-a447-394097e5609a</t>
        </is>
      </c>
      <c r="D1224" t="n">
        <v>55.6941</v>
      </c>
      <c r="E1224" t="n">
        <v>37.62224</v>
      </c>
      <c r="F1224" t="inlineStr"/>
      <c r="G1224" t="inlineStr"/>
      <c r="H1224" t="inlineStr"/>
    </row>
    <row r="1225">
      <c r="A1225" t="inlineStr">
        <is>
          <t>a33a241f-c58e-44c3-a93c-b29ca43ad884.jpg</t>
        </is>
      </c>
      <c r="B1225">
        <f>HYPERLINK("Объекты недвижимости, не соответствующие градостроительным нормам_00-022_Август/a33a241f-c58e-44c3-a93c-b29ca43ad884.jpg","open")</f>
        <v/>
      </c>
      <c r="C1225" t="inlineStr">
        <is>
          <t>1c951e11-4940-43c6-a447-394097e5609a</t>
        </is>
      </c>
      <c r="D1225" t="n">
        <v>55.6941</v>
      </c>
      <c r="E1225" t="n">
        <v>37.62237</v>
      </c>
      <c r="F1225" t="inlineStr"/>
      <c r="G1225" t="inlineStr"/>
      <c r="H1225" t="inlineStr"/>
    </row>
    <row r="1226">
      <c r="A1226" t="inlineStr">
        <is>
          <t>04dda1c8-f794-4c78-94c4-4d0167b8e4a9.jpg</t>
        </is>
      </c>
      <c r="B1226">
        <f>HYPERLINK("Объекты недвижимости, не соответствующие градостроительным нормам_00-022_Август/04dda1c8-f794-4c78-94c4-4d0167b8e4a9.jpg","open")</f>
        <v/>
      </c>
      <c r="C1226" t="inlineStr">
        <is>
          <t>8cde1fd0-eca1-4510-86ab-3c743b65fdfc</t>
        </is>
      </c>
      <c r="D1226" t="n">
        <v>55.69411</v>
      </c>
      <c r="E1226" t="n">
        <v>37.62239</v>
      </c>
      <c r="F1226" t="inlineStr"/>
      <c r="G1226" t="inlineStr"/>
      <c r="H1226" t="inlineStr"/>
    </row>
    <row r="1227">
      <c r="A1227" t="inlineStr">
        <is>
          <t>6dbe2975-d8e8-418a-ba80-f1449b206a51.jpg</t>
        </is>
      </c>
      <c r="B1227">
        <f>HYPERLINK("Объекты недвижимости, не соответствующие градостроительным нормам_00-022_Август/6dbe2975-d8e8-418a-ba80-f1449b206a51.jpg","open")</f>
        <v/>
      </c>
      <c r="C1227" t="inlineStr">
        <is>
          <t>caa4772d-6278-4484-a046-ee25514bf521</t>
        </is>
      </c>
      <c r="D1227" t="n">
        <v>55.98413</v>
      </c>
      <c r="E1227" t="n">
        <v>37.28484</v>
      </c>
      <c r="F1227" t="inlineStr"/>
      <c r="G1227" t="inlineStr"/>
      <c r="H1227" t="inlineStr"/>
    </row>
    <row r="1228">
      <c r="A1228" t="inlineStr">
        <is>
          <t>bda2d679-9da4-4b15-8b28-38bcdfcae3d7.jpg</t>
        </is>
      </c>
      <c r="B1228">
        <f>HYPERLINK("Объекты недвижимости, не соответствующие градостроительным нормам_00-022_Август/bda2d679-9da4-4b15-8b28-38bcdfcae3d7.jpg","open")</f>
        <v/>
      </c>
      <c r="C1228" t="inlineStr">
        <is>
          <t>cbf95b01-f708-45a3-9ec0-3603469b538e</t>
        </is>
      </c>
      <c r="D1228" t="n">
        <v>55.97464</v>
      </c>
      <c r="E1228" t="n">
        <v>37.43094</v>
      </c>
      <c r="F1228" t="inlineStr"/>
      <c r="G1228" t="inlineStr"/>
      <c r="H1228" t="inlineStr"/>
    </row>
    <row r="1229">
      <c r="A1229" t="inlineStr">
        <is>
          <t>5a83bdb1-1120-48b1-8986-1f0d534ed92b.jpg</t>
        </is>
      </c>
      <c r="B1229">
        <f>HYPERLINK("Объекты недвижимости, не соответствующие градостроительным нормам_00-022_Август/5a83bdb1-1120-48b1-8986-1f0d534ed92b.jpg","open")</f>
        <v/>
      </c>
      <c r="C1229" t="inlineStr">
        <is>
          <t>cbf95b01-f708-45a3-9ec0-3603469b538e</t>
        </is>
      </c>
      <c r="D1229" t="n">
        <v>55.97455</v>
      </c>
      <c r="E1229" t="n">
        <v>37.39924</v>
      </c>
      <c r="F1229" t="inlineStr"/>
      <c r="G1229" t="inlineStr"/>
      <c r="H1229" t="inlineStr"/>
    </row>
    <row r="1230">
      <c r="A1230" t="inlineStr">
        <is>
          <t>d5b1e173-bd52-4961-a502-38a60f51778d.jpg</t>
        </is>
      </c>
      <c r="B1230">
        <f>HYPERLINK("Объекты недвижимости, не соответствующие градостроительным нормам_00-022_Август/d5b1e173-bd52-4961-a502-38a60f51778d.jpg","open")</f>
        <v/>
      </c>
      <c r="C1230" t="inlineStr">
        <is>
          <t>cbf95b01-f708-45a3-9ec0-3603469b538e</t>
        </is>
      </c>
      <c r="D1230" t="n">
        <v>55.97662</v>
      </c>
      <c r="E1230" t="n">
        <v>37.40016</v>
      </c>
      <c r="F1230" t="inlineStr"/>
      <c r="G1230" t="inlineStr"/>
      <c r="H1230" t="inlineStr"/>
    </row>
    <row r="1231">
      <c r="A1231" t="inlineStr">
        <is>
          <t>b060c285-1c49-4cf1-985a-5407aa3fb03a.jpg</t>
        </is>
      </c>
      <c r="B1231">
        <f>HYPERLINK("Объекты недвижимости, не соответствующие градостроительным нормам_00-022_Август/b060c285-1c49-4cf1-985a-5407aa3fb03a.jpg","open")</f>
        <v/>
      </c>
      <c r="C1231" t="inlineStr">
        <is>
          <t>1a55986c-2c3f-40c0-b3d1-014dce77832e</t>
        </is>
      </c>
      <c r="D1231" t="n">
        <v>55.74618</v>
      </c>
      <c r="E1231" t="n">
        <v>37.54636</v>
      </c>
      <c r="F1231" t="inlineStr"/>
      <c r="G1231" t="inlineStr"/>
      <c r="H1231" t="inlineStr"/>
    </row>
    <row r="1232">
      <c r="A1232" t="inlineStr">
        <is>
          <t>de766bf1-1aac-4a93-bae8-020294cd7157.jpg</t>
        </is>
      </c>
      <c r="B1232">
        <f>HYPERLINK("Объекты недвижимости, не соответствующие градостроительным нормам_00-022_Август/de766bf1-1aac-4a93-bae8-020294cd7157.jpg","open")</f>
        <v/>
      </c>
      <c r="C1232" t="inlineStr">
        <is>
          <t>cbf95b01-f708-45a3-9ec0-3603469b538e</t>
        </is>
      </c>
      <c r="D1232" t="n">
        <v>55.97461</v>
      </c>
      <c r="E1232" t="n">
        <v>37.43103</v>
      </c>
      <c r="F1232" t="inlineStr"/>
      <c r="G1232" t="inlineStr"/>
      <c r="H1232" t="inlineStr"/>
    </row>
    <row r="1233">
      <c r="A1233" t="inlineStr">
        <is>
          <t>25bade93-c8ae-4932-a355-d1f37d569ce5.jpg</t>
        </is>
      </c>
      <c r="B1233">
        <f>HYPERLINK("Объекты недвижимости, не соответствующие градостроительным нормам_00-022_Август/25bade93-c8ae-4932-a355-d1f37d569ce5.jpg","open")</f>
        <v/>
      </c>
      <c r="C1233" t="inlineStr">
        <is>
          <t>cbf95b01-f708-45a3-9ec0-3603469b538e</t>
        </is>
      </c>
      <c r="D1233" t="n">
        <v>55.96431</v>
      </c>
      <c r="E1233" t="n">
        <v>37.41444</v>
      </c>
      <c r="F1233" t="inlineStr"/>
      <c r="G1233" t="inlineStr"/>
      <c r="H1233" t="inlineStr"/>
    </row>
    <row r="1234">
      <c r="A1234" t="inlineStr">
        <is>
          <t>d4d04c65-c7ba-4bab-9b83-7b95a6588574.jpg</t>
        </is>
      </c>
      <c r="B1234">
        <f>HYPERLINK("Объекты недвижимости, не соответствующие градостроительным нормам_00-022_Август/d4d04c65-c7ba-4bab-9b83-7b95a6588574.jpg","open")</f>
        <v/>
      </c>
      <c r="C1234" t="inlineStr">
        <is>
          <t>8cde1fd0-eca1-4510-86ab-3c743b65fdfc</t>
        </is>
      </c>
      <c r="D1234" t="n">
        <v>55.70457</v>
      </c>
      <c r="E1234" t="n">
        <v>37.59754</v>
      </c>
      <c r="F1234" t="inlineStr"/>
      <c r="G1234" t="inlineStr"/>
      <c r="H1234" t="inlineStr"/>
    </row>
    <row r="1235">
      <c r="A1235" t="inlineStr">
        <is>
          <t>d119dc55-052d-4787-9dba-342381a0a334.jpg</t>
        </is>
      </c>
      <c r="B1235">
        <f>HYPERLINK("Объекты недвижимости, не соответствующие градостроительным нормам_00-022_Август/d119dc55-052d-4787-9dba-342381a0a334.jpg","open")</f>
        <v/>
      </c>
      <c r="C1235" t="inlineStr">
        <is>
          <t>cbf95b01-f708-45a3-9ec0-3603469b538e</t>
        </is>
      </c>
      <c r="D1235" t="n">
        <v>55.98228</v>
      </c>
      <c r="E1235" t="n">
        <v>37.41253</v>
      </c>
      <c r="F1235" t="inlineStr"/>
      <c r="G1235" t="inlineStr"/>
      <c r="H1235" t="inlineStr"/>
    </row>
    <row r="1236">
      <c r="A1236" t="inlineStr">
        <is>
          <t>1bac688b-15e4-44fb-bf2a-5c3a595202d1.jpg</t>
        </is>
      </c>
      <c r="B1236">
        <f>HYPERLINK("Объекты недвижимости, не соответствующие градостроительным нормам_00-022_Август/1bac688b-15e4-44fb-bf2a-5c3a595202d1.jpg","open")</f>
        <v/>
      </c>
      <c r="C1236" t="inlineStr">
        <is>
          <t>cbf95b01-f708-45a3-9ec0-3603469b538e</t>
        </is>
      </c>
      <c r="D1236" t="n">
        <v>55.98234</v>
      </c>
      <c r="E1236" t="n">
        <v>37.41316</v>
      </c>
      <c r="F1236" t="inlineStr"/>
      <c r="G1236" t="inlineStr"/>
      <c r="H1236" t="inlineStr"/>
    </row>
    <row r="1237">
      <c r="A1237" t="inlineStr">
        <is>
          <t>e8c49248-fde2-4f63-b515-4ae9c27d46db.jpg</t>
        </is>
      </c>
      <c r="B1237">
        <f>HYPERLINK("Объекты недвижимости, не соответствующие градостроительным нормам_00-022_Август/e8c49248-fde2-4f63-b515-4ae9c27d46db.jpg","open")</f>
        <v/>
      </c>
      <c r="C1237" t="inlineStr">
        <is>
          <t>ed2bf0f1-3a66-4913-896e-4420a9796c0b</t>
        </is>
      </c>
      <c r="D1237" t="n">
        <v>55.74933</v>
      </c>
      <c r="E1237" t="n">
        <v>37.24588</v>
      </c>
      <c r="F1237" t="inlineStr"/>
      <c r="G1237" t="inlineStr"/>
      <c r="H1237" t="inlineStr"/>
    </row>
    <row r="1238">
      <c r="A1238" t="inlineStr">
        <is>
          <t>ab350e54-d6ac-4703-8851-3f8b71f3f27d.jpg</t>
        </is>
      </c>
      <c r="B1238">
        <f>HYPERLINK("Объекты недвижимости, не соответствующие градостроительным нормам_00-022_Август/ab350e54-d6ac-4703-8851-3f8b71f3f27d.jpg","open")</f>
        <v/>
      </c>
      <c r="C1238" t="inlineStr">
        <is>
          <t>ed2bf0f1-3a66-4913-896e-4420a9796c0b</t>
        </is>
      </c>
      <c r="D1238" t="n">
        <v>55.73463</v>
      </c>
      <c r="E1238" t="n">
        <v>37.18968</v>
      </c>
      <c r="F1238" t="inlineStr"/>
      <c r="G1238" t="inlineStr"/>
      <c r="H1238" t="inlineStr"/>
    </row>
    <row r="1239">
      <c r="A1239" t="inlineStr">
        <is>
          <t>a642b716-516a-41b1-bbfb-f0db1a956faa.jpg</t>
        </is>
      </c>
      <c r="B1239">
        <f>HYPERLINK("Объекты недвижимости, не соответствующие градостроительным нормам_00-022_Август/a642b716-516a-41b1-bbfb-f0db1a956faa.jpg","open")</f>
        <v/>
      </c>
      <c r="C1239" t="inlineStr">
        <is>
          <t>8cde1fd0-eca1-4510-86ab-3c743b65fdfc</t>
        </is>
      </c>
      <c r="D1239" t="n">
        <v>55.72096</v>
      </c>
      <c r="E1239" t="n">
        <v>37.55912</v>
      </c>
      <c r="F1239" t="inlineStr"/>
      <c r="G1239" t="inlineStr"/>
      <c r="H1239" t="inlineStr"/>
    </row>
    <row r="1240">
      <c r="A1240" t="inlineStr">
        <is>
          <t>f7bef1b8-e370-4d7d-aaaa-c082784e1efa.jpg</t>
        </is>
      </c>
      <c r="B1240">
        <f>HYPERLINK("Объекты недвижимости, не соответствующие градостроительным нормам_00-022_Август/f7bef1b8-e370-4d7d-aaaa-c082784e1efa.jpg","open")</f>
        <v/>
      </c>
      <c r="C1240" t="inlineStr">
        <is>
          <t>9c930d0e-e445-452d-a046-325646b21ab7</t>
        </is>
      </c>
      <c r="D1240" t="n">
        <v>55.87396</v>
      </c>
      <c r="E1240" t="n">
        <v>37.67831</v>
      </c>
      <c r="F1240" t="inlineStr"/>
      <c r="G1240" t="inlineStr"/>
      <c r="H1240" t="inlineStr"/>
    </row>
    <row r="1241">
      <c r="A1241" t="inlineStr">
        <is>
          <t>c6429eba-0458-4401-9ca3-55f62f917624.jpg</t>
        </is>
      </c>
      <c r="B1241">
        <f>HYPERLINK("Объекты недвижимости, не соответствующие градостроительным нормам_00-022_Август/c6429eba-0458-4401-9ca3-55f62f917624.jpg","open")</f>
        <v/>
      </c>
      <c r="C1241" t="inlineStr">
        <is>
          <t>1a55986c-2c3f-40c0-b3d1-014dce77832e</t>
        </is>
      </c>
      <c r="D1241" t="n">
        <v>55.73004</v>
      </c>
      <c r="E1241" t="n">
        <v>37.54711</v>
      </c>
      <c r="F1241" t="inlineStr"/>
      <c r="G1241" t="inlineStr"/>
      <c r="H1241" t="inlineStr"/>
    </row>
    <row r="1242">
      <c r="A1242" t="inlineStr">
        <is>
          <t>77cba7ae-f9c9-4143-a837-d9eeda0b23e2.jpg</t>
        </is>
      </c>
      <c r="B1242">
        <f>HYPERLINK("Объекты недвижимости, не соответствующие градостроительным нормам_00-022_Август/77cba7ae-f9c9-4143-a837-d9eeda0b23e2.jpg","open")</f>
        <v/>
      </c>
      <c r="C1242" t="inlineStr">
        <is>
          <t>cbf95b01-f708-45a3-9ec0-3603469b538e</t>
        </is>
      </c>
      <c r="D1242" t="n">
        <v>55.96936</v>
      </c>
      <c r="E1242" t="n">
        <v>37.42923</v>
      </c>
      <c r="F1242" t="inlineStr"/>
      <c r="G1242" t="inlineStr"/>
      <c r="H1242" t="inlineStr"/>
    </row>
    <row r="1243">
      <c r="A1243" t="inlineStr">
        <is>
          <t>9de724af-e852-441a-bf5c-90730c97b05f.jpg</t>
        </is>
      </c>
      <c r="B1243">
        <f>HYPERLINK("Объекты недвижимости, не соответствующие градостроительным нормам_00-022_Август/9de724af-e852-441a-bf5c-90730c97b05f.jpg","open")</f>
        <v/>
      </c>
      <c r="C1243" t="inlineStr">
        <is>
          <t>ab4e767f-65c0-455b-af20-a5527124fd21</t>
        </is>
      </c>
      <c r="D1243" t="n">
        <v>55.7736</v>
      </c>
      <c r="E1243" t="n">
        <v>37.47379</v>
      </c>
      <c r="F1243" t="inlineStr"/>
      <c r="G1243" t="inlineStr"/>
      <c r="H1243" t="inlineStr"/>
    </row>
    <row r="1244">
      <c r="A1244" t="inlineStr">
        <is>
          <t>7d1394ea-f3cc-462f-85a7-b5fd9452a193.jpg</t>
        </is>
      </c>
      <c r="B1244">
        <f>HYPERLINK("Объекты недвижимости, не соответствующие градостроительным нормам_00-022_Август/7d1394ea-f3cc-462f-85a7-b5fd9452a193.jpg","open")</f>
        <v/>
      </c>
      <c r="C1244" t="inlineStr">
        <is>
          <t>ed2bf0f1-3a66-4913-896e-4420a9796c0b</t>
        </is>
      </c>
      <c r="D1244" t="n">
        <v>55.73057</v>
      </c>
      <c r="E1244" t="n">
        <v>37.54651</v>
      </c>
      <c r="F1244" t="inlineStr"/>
      <c r="G1244" t="inlineStr"/>
      <c r="H1244" t="inlineStr"/>
    </row>
    <row r="1245">
      <c r="A1245" t="inlineStr">
        <is>
          <t>8aed0a4e-8828-44d4-95ae-bb5d52e038b7.jpg</t>
        </is>
      </c>
      <c r="B1245">
        <f>HYPERLINK("Объекты недвижимости, не соответствующие градостроительным нормам_00-022_Август/8aed0a4e-8828-44d4-95ae-bb5d52e038b7.jpg","open")</f>
        <v/>
      </c>
      <c r="C1245" t="inlineStr">
        <is>
          <t>cbf95b01-f708-45a3-9ec0-3603469b538e</t>
        </is>
      </c>
      <c r="D1245" t="n">
        <v>55.96464</v>
      </c>
      <c r="E1245" t="n">
        <v>37.41823</v>
      </c>
      <c r="F1245" t="inlineStr"/>
      <c r="G1245" t="inlineStr"/>
      <c r="H1245" t="inlineStr"/>
    </row>
    <row r="1246">
      <c r="A1246" t="inlineStr">
        <is>
          <t>39935dbf-963d-4831-9a9a-eb426f7076c5.jpg</t>
        </is>
      </c>
      <c r="B1246">
        <f>HYPERLINK("Объекты недвижимости, не соответствующие градостроительным нормам_00-022_Август/39935dbf-963d-4831-9a9a-eb426f7076c5.jpg","open")</f>
        <v/>
      </c>
      <c r="C1246" t="inlineStr">
        <is>
          <t>cbf95b01-f708-45a3-9ec0-3603469b538e</t>
        </is>
      </c>
      <c r="D1246" t="n">
        <v>55.96531</v>
      </c>
      <c r="E1246" t="n">
        <v>37.40799</v>
      </c>
      <c r="F1246" t="inlineStr"/>
      <c r="G1246" t="inlineStr"/>
      <c r="H1246" t="inlineStr"/>
    </row>
    <row r="1247">
      <c r="A1247" t="inlineStr">
        <is>
          <t>a8266ea0-f800-4d06-b20d-55b8124c2ee8.jpg</t>
        </is>
      </c>
      <c r="B1247">
        <f>HYPERLINK("Объекты недвижимости, не соответствующие градостроительным нормам_00-022_Август/a8266ea0-f800-4d06-b20d-55b8124c2ee8.jpg","open")</f>
        <v/>
      </c>
      <c r="C1247" t="inlineStr">
        <is>
          <t>cbf95b01-f708-45a3-9ec0-3603469b538e</t>
        </is>
      </c>
      <c r="D1247" t="n">
        <v>55.96553</v>
      </c>
      <c r="E1247" t="n">
        <v>37.40722</v>
      </c>
      <c r="F1247" t="inlineStr"/>
      <c r="G1247" t="inlineStr"/>
      <c r="H1247" t="inlineStr"/>
    </row>
    <row r="1248">
      <c r="A1248" t="inlineStr">
        <is>
          <t>f818d897-1324-4cc6-a179-03403d850767.jpg</t>
        </is>
      </c>
      <c r="B1248">
        <f>HYPERLINK("Объекты недвижимости, не соответствующие градостроительным нормам_00-022_Август/f818d897-1324-4cc6-a179-03403d850767.jpg","open")</f>
        <v/>
      </c>
      <c r="C1248" t="inlineStr">
        <is>
          <t>8cde1fd0-eca1-4510-86ab-3c743b65fdfc</t>
        </is>
      </c>
      <c r="D1248" t="n">
        <v>55.96549</v>
      </c>
      <c r="E1248" t="n">
        <v>37.40695</v>
      </c>
      <c r="F1248" t="inlineStr"/>
      <c r="G1248" t="inlineStr"/>
      <c r="H1248" t="inlineStr"/>
    </row>
    <row r="1249">
      <c r="A1249" t="inlineStr">
        <is>
          <t>4020eb69-ba84-4c7a-b341-d894a35432fa.jpg</t>
        </is>
      </c>
      <c r="B1249">
        <f>HYPERLINK("Объекты недвижимости, не соответствующие градостроительным нормам_00-022_Август/4020eb69-ba84-4c7a-b341-d894a35432fa.jpg","open")</f>
        <v/>
      </c>
      <c r="C1249" t="inlineStr">
        <is>
          <t>1c951e11-4940-43c6-a447-394097e5609a</t>
        </is>
      </c>
      <c r="D1249" t="n">
        <v>55.96549</v>
      </c>
      <c r="E1249" t="n">
        <v>37.40695</v>
      </c>
      <c r="F1249" t="inlineStr"/>
      <c r="G1249" t="inlineStr"/>
      <c r="H1249" t="inlineStr"/>
    </row>
    <row r="1250">
      <c r="A1250" t="inlineStr">
        <is>
          <t>b8b55c0f-10e2-493f-89ff-8dc74e3ed5bd.jpg</t>
        </is>
      </c>
      <c r="B1250">
        <f>HYPERLINK("Объекты недвижимости, не соответствующие градостроительным нормам_00-022_Август/b8b55c0f-10e2-493f-89ff-8dc74e3ed5bd.jpg","open")</f>
        <v/>
      </c>
      <c r="C1250" t="inlineStr">
        <is>
          <t>93848fc8-17e7-4748-9ebc-c7e379e11d2f</t>
        </is>
      </c>
      <c r="D1250" t="n">
        <v>55.64735</v>
      </c>
      <c r="E1250" t="n">
        <v>37.27012</v>
      </c>
      <c r="F1250" t="inlineStr"/>
      <c r="G1250" t="inlineStr"/>
      <c r="H1250" t="inlineStr"/>
    </row>
    <row r="1251">
      <c r="A1251" t="inlineStr">
        <is>
          <t>06599405-7b5c-49d3-80c8-b18289032027.jpg</t>
        </is>
      </c>
      <c r="B1251">
        <f>HYPERLINK("Объекты недвижимости, не соответствующие градостроительным нормам_00-022_Август/06599405-7b5c-49d3-80c8-b18289032027.jpg","open")</f>
        <v/>
      </c>
      <c r="C1251" t="inlineStr">
        <is>
          <t>93848fc8-17e7-4748-9ebc-c7e379e11d2f</t>
        </is>
      </c>
      <c r="D1251" t="n">
        <v>55.64576</v>
      </c>
      <c r="E1251" t="n">
        <v>37.30226</v>
      </c>
      <c r="F1251" t="inlineStr"/>
      <c r="G1251" t="inlineStr"/>
      <c r="H1251" t="inlineStr"/>
    </row>
    <row r="1252">
      <c r="A1252" t="inlineStr">
        <is>
          <t>565c7dee-aa41-4e6b-8aa1-f14db3467f0b.jpg</t>
        </is>
      </c>
      <c r="B1252">
        <f>HYPERLINK("Объекты недвижимости, не соответствующие градостроительным нормам_00-022_Август/565c7dee-aa41-4e6b-8aa1-f14db3467f0b.jpg","open")</f>
        <v/>
      </c>
      <c r="C1252" t="inlineStr">
        <is>
          <t>cbf95b01-f708-45a3-9ec0-3603469b538e</t>
        </is>
      </c>
      <c r="D1252" t="n">
        <v>55.89857</v>
      </c>
      <c r="E1252" t="n">
        <v>37.51619</v>
      </c>
      <c r="F1252" t="inlineStr"/>
      <c r="G1252" t="inlineStr"/>
      <c r="H1252" t="inlineStr"/>
    </row>
    <row r="1253">
      <c r="A1253" t="inlineStr">
        <is>
          <t>5352e53f-b9a3-4879-9f63-d7b7eb0b6923.jpg</t>
        </is>
      </c>
      <c r="B1253">
        <f>HYPERLINK("Объекты недвижимости, не соответствующие градостроительным нормам_00-022_Август/5352e53f-b9a3-4879-9f63-d7b7eb0b6923.jpg","open")</f>
        <v/>
      </c>
      <c r="C1253" t="inlineStr">
        <is>
          <t>a1a9db89-3f74-42ef-8fad-ad69705102cd</t>
        </is>
      </c>
      <c r="D1253" t="n">
        <v>55.89852</v>
      </c>
      <c r="E1253" t="n">
        <v>37.51625</v>
      </c>
      <c r="F1253" t="inlineStr"/>
      <c r="G1253" t="inlineStr"/>
      <c r="H1253" t="inlineStr"/>
    </row>
    <row r="1254">
      <c r="A1254" t="inlineStr">
        <is>
          <t>d33b1777-62f7-435a-9f3b-80d687c35637.jpg</t>
        </is>
      </c>
      <c r="B1254">
        <f>HYPERLINK("Объекты недвижимости, не соответствующие градостроительным нормам_00-022_Август/d33b1777-62f7-435a-9f3b-80d687c35637.jpg","open")</f>
        <v/>
      </c>
      <c r="C1254" t="inlineStr">
        <is>
          <t>cbf95b01-f708-45a3-9ec0-3603469b538e</t>
        </is>
      </c>
      <c r="D1254" t="n">
        <v>55.89846</v>
      </c>
      <c r="E1254" t="n">
        <v>37.51631</v>
      </c>
      <c r="F1254" t="inlineStr"/>
      <c r="G1254" t="inlineStr"/>
      <c r="H1254" t="inlineStr"/>
    </row>
    <row r="1255">
      <c r="A1255" t="inlineStr">
        <is>
          <t>5ebd0b01-96d6-444d-bbe8-a6fd45d3a2cb.jpg</t>
        </is>
      </c>
      <c r="B1255">
        <f>HYPERLINK("Объекты недвижимости, не соответствующие градостроительным нормам_00-022_Август/5ebd0b01-96d6-444d-bbe8-a6fd45d3a2cb.jpg","open")</f>
        <v/>
      </c>
      <c r="C1255" t="inlineStr">
        <is>
          <t>1a55986c-2c3f-40c0-b3d1-014dce77832e</t>
        </is>
      </c>
      <c r="D1255" t="n">
        <v>55.70372</v>
      </c>
      <c r="E1255" t="n">
        <v>37.4783</v>
      </c>
      <c r="F1255" t="inlineStr"/>
      <c r="G1255" t="inlineStr"/>
      <c r="H1255" t="inlineStr"/>
    </row>
    <row r="1256">
      <c r="A1256" t="inlineStr">
        <is>
          <t>63e311ca-9f7a-44c8-b370-25bce7675082.jpg</t>
        </is>
      </c>
      <c r="B1256">
        <f>HYPERLINK("Объекты недвижимости, не соответствующие градостроительным нормам_00-022_Август/63e311ca-9f7a-44c8-b370-25bce7675082.jpg","open")</f>
        <v/>
      </c>
      <c r="C1256" t="inlineStr">
        <is>
          <t>8cde1fd0-eca1-4510-86ab-3c743b65fdfc</t>
        </is>
      </c>
      <c r="D1256" t="n">
        <v>55.75492</v>
      </c>
      <c r="E1256" t="n">
        <v>37.51346</v>
      </c>
      <c r="F1256" t="inlineStr"/>
      <c r="G1256" t="inlineStr"/>
      <c r="H1256" t="inlineStr"/>
    </row>
    <row r="1257">
      <c r="A1257" t="inlineStr">
        <is>
          <t>e3bc7b53-d876-4152-a210-e2a2f6b0b74f.jpg</t>
        </is>
      </c>
      <c r="B1257">
        <f>HYPERLINK("Объекты недвижимости, не соответствующие градостроительным нормам_00-022_Август/e3bc7b53-d876-4152-a210-e2a2f6b0b74f.jpg","open")</f>
        <v/>
      </c>
      <c r="C1257" t="inlineStr">
        <is>
          <t>8cde1fd0-eca1-4510-86ab-3c743b65fdfc</t>
        </is>
      </c>
      <c r="D1257" t="n">
        <v>55.75502</v>
      </c>
      <c r="E1257" t="n">
        <v>37.51336</v>
      </c>
      <c r="F1257" t="inlineStr"/>
      <c r="G1257" t="inlineStr"/>
      <c r="H1257" t="inlineStr"/>
    </row>
    <row r="1258">
      <c r="A1258" t="inlineStr">
        <is>
          <t>fcc94307-3f26-4b8a-83ff-67d368edb868.jpg</t>
        </is>
      </c>
      <c r="B1258">
        <f>HYPERLINK("Объекты недвижимости, не соответствующие градостроительным нормам_00-022_Август/fcc94307-3f26-4b8a-83ff-67d368edb868.jpg","open")</f>
        <v/>
      </c>
      <c r="C1258" t="inlineStr">
        <is>
          <t>ed2bf0f1-3a66-4913-896e-4420a9796c0b</t>
        </is>
      </c>
      <c r="D1258" t="n">
        <v>55.70338</v>
      </c>
      <c r="E1258" t="n">
        <v>37.48063</v>
      </c>
      <c r="F1258" t="inlineStr"/>
      <c r="G1258" t="inlineStr"/>
      <c r="H1258" t="inlineStr"/>
    </row>
    <row r="1259">
      <c r="A1259" t="inlineStr">
        <is>
          <t>614ab1b9-784f-434a-b0b6-2e9d885594e7.jpg</t>
        </is>
      </c>
      <c r="B1259">
        <f>HYPERLINK("Объекты недвижимости, не соответствующие градостроительным нормам_00-022_Август/614ab1b9-784f-434a-b0b6-2e9d885594e7.jpg","open")</f>
        <v/>
      </c>
      <c r="C1259" t="inlineStr">
        <is>
          <t>8cde1fd0-eca1-4510-86ab-3c743b65fdfc</t>
        </is>
      </c>
      <c r="D1259" t="n">
        <v>55.75552</v>
      </c>
      <c r="E1259" t="n">
        <v>37.51245</v>
      </c>
      <c r="F1259" t="inlineStr"/>
      <c r="G1259" t="inlineStr"/>
      <c r="H1259" t="inlineStr"/>
    </row>
    <row r="1260">
      <c r="A1260" t="inlineStr">
        <is>
          <t>0b3b8809-396d-4a2c-9118-1718647030f9.jpg</t>
        </is>
      </c>
      <c r="B1260">
        <f>HYPERLINK("Объекты недвижимости, не соответствующие градостроительным нормам_00-022_Август/0b3b8809-396d-4a2c-9118-1718647030f9.jpg","open")</f>
        <v/>
      </c>
      <c r="C1260" t="inlineStr">
        <is>
          <t>cbf95b01-f708-45a3-9ec0-3603469b538e</t>
        </is>
      </c>
      <c r="D1260" t="n">
        <v>55.89408</v>
      </c>
      <c r="E1260" t="n">
        <v>37.52213</v>
      </c>
      <c r="F1260" t="inlineStr"/>
      <c r="G1260" t="inlineStr"/>
      <c r="H1260" t="inlineStr"/>
    </row>
    <row r="1261">
      <c r="A1261" t="inlineStr">
        <is>
          <t>51f54aea-c977-4328-bc3d-a169001b42d8.jpg</t>
        </is>
      </c>
      <c r="B1261">
        <f>HYPERLINK("Объекты недвижимости, не соответствующие градостроительным нормам_00-022_Август/51f54aea-c977-4328-bc3d-a169001b42d8.jpg","open")</f>
        <v/>
      </c>
      <c r="C1261" t="inlineStr">
        <is>
          <t>cbf95b01-f708-45a3-9ec0-3603469b538e</t>
        </is>
      </c>
      <c r="D1261" t="n">
        <v>55.8926</v>
      </c>
      <c r="E1261" t="n">
        <v>37.51876</v>
      </c>
      <c r="F1261" t="inlineStr"/>
      <c r="G1261" t="inlineStr"/>
      <c r="H1261" t="inlineStr"/>
    </row>
    <row r="1262">
      <c r="A1262" t="inlineStr">
        <is>
          <t>6f345c98-2152-42b3-9453-d945ea9bebe4.jpg</t>
        </is>
      </c>
      <c r="B1262">
        <f>HYPERLINK("Объекты недвижимости, не соответствующие градостроительным нормам_00-022_Август/6f345c98-2152-42b3-9453-d945ea9bebe4.jpg","open")</f>
        <v/>
      </c>
      <c r="C1262" t="inlineStr">
        <is>
          <t>1c951e11-4940-43c6-a447-394097e5609a</t>
        </is>
      </c>
      <c r="D1262" t="n">
        <v>55.75946</v>
      </c>
      <c r="E1262" t="n">
        <v>37.5022</v>
      </c>
      <c r="F1262" t="inlineStr"/>
      <c r="G1262" t="inlineStr"/>
      <c r="H1262" t="inlineStr"/>
    </row>
    <row r="1263">
      <c r="A1263" t="inlineStr">
        <is>
          <t>e418dc95-e665-42ac-baa2-f63071066c2f.jpg</t>
        </is>
      </c>
      <c r="B1263">
        <f>HYPERLINK("Объекты недвижимости, не соответствующие градостроительным нормам_00-022_Август/e418dc95-e665-42ac-baa2-f63071066c2f.jpg","open")</f>
        <v/>
      </c>
      <c r="C1263" t="inlineStr">
        <is>
          <t>8cde1fd0-eca1-4510-86ab-3c743b65fdfc</t>
        </is>
      </c>
      <c r="D1263" t="n">
        <v>55.75954</v>
      </c>
      <c r="E1263" t="n">
        <v>37.50199</v>
      </c>
      <c r="F1263" t="inlineStr"/>
      <c r="G1263" t="inlineStr"/>
      <c r="H1263" t="inlineStr"/>
    </row>
    <row r="1264">
      <c r="A1264" t="inlineStr">
        <is>
          <t>6fd3b853-84d9-44bc-985c-91ea48574533.jpg</t>
        </is>
      </c>
      <c r="B1264">
        <f>HYPERLINK("Объекты недвижимости, не соответствующие градостроительным нормам_00-022_Август/6fd3b853-84d9-44bc-985c-91ea48574533.jpg","open")</f>
        <v/>
      </c>
      <c r="C1264" t="inlineStr">
        <is>
          <t>cbf95b01-f708-45a3-9ec0-3603469b538e</t>
        </is>
      </c>
      <c r="D1264" t="n">
        <v>55.89166</v>
      </c>
      <c r="E1264" t="n">
        <v>37.51657</v>
      </c>
      <c r="F1264" t="inlineStr"/>
      <c r="G1264" t="inlineStr"/>
      <c r="H1264" t="inlineStr"/>
    </row>
    <row r="1265">
      <c r="A1265" t="inlineStr">
        <is>
          <t>b473f585-6e96-4797-be9f-9b8ffb28919f.jpg</t>
        </is>
      </c>
      <c r="B1265">
        <f>HYPERLINK("Объекты недвижимости, не соответствующие градостроительным нормам_00-022_Август/b473f585-6e96-4797-be9f-9b8ffb28919f.jpg","open")</f>
        <v/>
      </c>
      <c r="C1265" t="inlineStr">
        <is>
          <t>cbf95b01-f708-45a3-9ec0-3603469b538e</t>
        </is>
      </c>
      <c r="D1265" t="n">
        <v>55.89109</v>
      </c>
      <c r="E1265" t="n">
        <v>37.51527</v>
      </c>
      <c r="F1265" t="inlineStr"/>
      <c r="G1265" t="inlineStr"/>
      <c r="H1265" t="inlineStr"/>
    </row>
    <row r="1266">
      <c r="A1266" t="inlineStr">
        <is>
          <t>5dd3d8ef-f98e-4565-b9b3-3aa9231948d1.jpg</t>
        </is>
      </c>
      <c r="B1266">
        <f>HYPERLINK("Объекты недвижимости, не соответствующие градостроительным нормам_00-022_Август/5dd3d8ef-f98e-4565-b9b3-3aa9231948d1.jpg","open")</f>
        <v/>
      </c>
      <c r="C1266" t="inlineStr">
        <is>
          <t>cbf95b01-f708-45a3-9ec0-3603469b538e</t>
        </is>
      </c>
      <c r="D1266" t="n">
        <v>55.89044</v>
      </c>
      <c r="E1266" t="n">
        <v>37.51374</v>
      </c>
      <c r="F1266" t="inlineStr"/>
      <c r="G1266" t="inlineStr"/>
      <c r="H1266" t="inlineStr"/>
    </row>
    <row r="1267">
      <c r="A1267" t="inlineStr">
        <is>
          <t>34033845-ee82-407e-8f2f-eb07d815f6b1.jpg</t>
        </is>
      </c>
      <c r="B1267">
        <f>HYPERLINK("Объекты недвижимости, не соответствующие градостроительным нормам_00-022_Август/34033845-ee82-407e-8f2f-eb07d815f6b1.jpg","open")</f>
        <v/>
      </c>
      <c r="C1267" t="inlineStr">
        <is>
          <t>ed2bf0f1-3a66-4913-896e-4420a9796c0b</t>
        </is>
      </c>
      <c r="D1267" t="n">
        <v>55.69965</v>
      </c>
      <c r="E1267" t="n">
        <v>37.47741</v>
      </c>
      <c r="F1267" t="inlineStr"/>
      <c r="G1267" t="inlineStr"/>
      <c r="H1267" t="inlineStr"/>
    </row>
    <row r="1268">
      <c r="A1268" t="inlineStr">
        <is>
          <t>48b62d0e-b81c-4f60-bbe4-6540b392485e.jpg</t>
        </is>
      </c>
      <c r="B1268">
        <f>HYPERLINK("Объекты недвижимости, не соответствующие градостроительным нормам_00-022_Август/48b62d0e-b81c-4f60-bbe4-6540b392485e.jpg","open")</f>
        <v/>
      </c>
      <c r="C1268" t="inlineStr">
        <is>
          <t>8cde1fd0-eca1-4510-86ab-3c743b65fdfc</t>
        </is>
      </c>
      <c r="D1268" t="n">
        <v>55.7633</v>
      </c>
      <c r="E1268" t="n">
        <v>37.46747</v>
      </c>
      <c r="F1268" t="inlineStr"/>
      <c r="G1268" t="inlineStr"/>
      <c r="H1268" t="inlineStr"/>
    </row>
    <row r="1269">
      <c r="A1269" t="inlineStr">
        <is>
          <t>824bad5d-7045-451d-b8a9-9f6256996f58.jpg</t>
        </is>
      </c>
      <c r="B1269">
        <f>HYPERLINK("Объекты недвижимости, не соответствующие градостроительным нормам_00-022_Август/824bad5d-7045-451d-b8a9-9f6256996f58.jpg","open")</f>
        <v/>
      </c>
      <c r="C1269" t="inlineStr">
        <is>
          <t>93848fc8-17e7-4748-9ebc-c7e379e11d2f</t>
        </is>
      </c>
      <c r="D1269" t="n">
        <v>55.61507</v>
      </c>
      <c r="E1269" t="n">
        <v>37.26513</v>
      </c>
      <c r="F1269" t="inlineStr"/>
      <c r="G1269" t="inlineStr"/>
      <c r="H1269" t="inlineStr"/>
    </row>
    <row r="1270">
      <c r="A1270" t="inlineStr">
        <is>
          <t>fc3f5af8-76ad-45b3-a5a8-ced570b1a93f.jpg</t>
        </is>
      </c>
      <c r="B1270">
        <f>HYPERLINK("Объекты недвижимости, не соответствующие градостроительным нормам_00-022_Август/fc3f5af8-76ad-45b3-a5a8-ced570b1a93f.jpg","open")</f>
        <v/>
      </c>
      <c r="C1270" t="inlineStr">
        <is>
          <t>93848fc8-17e7-4748-9ebc-c7e379e11d2f</t>
        </is>
      </c>
      <c r="D1270" t="n">
        <v>55.61987</v>
      </c>
      <c r="E1270" t="n">
        <v>37.27292</v>
      </c>
      <c r="F1270" t="inlineStr"/>
      <c r="G1270" t="inlineStr"/>
      <c r="H1270" t="inlineStr"/>
    </row>
    <row r="1271">
      <c r="A1271" t="inlineStr">
        <is>
          <t>93a1a91f-6bd2-43c8-bfef-bb0461d51141.jpg</t>
        </is>
      </c>
      <c r="B1271">
        <f>HYPERLINK("Объекты недвижимости, не соответствующие градостроительным нормам_00-022_Август/93a1a91f-6bd2-43c8-bfef-bb0461d51141.jpg","open")</f>
        <v/>
      </c>
      <c r="C1271" t="inlineStr">
        <is>
          <t>cbf95b01-f708-45a3-9ec0-3603469b538e</t>
        </is>
      </c>
      <c r="D1271" t="n">
        <v>55.88455</v>
      </c>
      <c r="E1271" t="n">
        <v>37.51467</v>
      </c>
      <c r="F1271" t="inlineStr"/>
      <c r="G1271" t="inlineStr"/>
      <c r="H1271" t="inlineStr"/>
    </row>
    <row r="1272">
      <c r="A1272" t="inlineStr">
        <is>
          <t>d229a034-c9a3-48e6-8e12-0de8191a4b2f.jpg</t>
        </is>
      </c>
      <c r="B1272">
        <f>HYPERLINK("Объекты недвижимости, не соответствующие градостроительным нормам_00-022_Август/d229a034-c9a3-48e6-8e12-0de8191a4b2f.jpg","open")</f>
        <v/>
      </c>
      <c r="C1272" t="inlineStr">
        <is>
          <t>db8b536c-32f2-4d9a-ae08-679d227e61f1</t>
        </is>
      </c>
      <c r="D1272" t="n">
        <v>55.67887</v>
      </c>
      <c r="E1272" t="n">
        <v>37.57392</v>
      </c>
      <c r="F1272" t="inlineStr"/>
      <c r="G1272" t="inlineStr"/>
      <c r="H1272" t="inlineStr"/>
    </row>
    <row r="1273">
      <c r="A1273" t="inlineStr">
        <is>
          <t>322d43b0-6bd5-490f-a194-57dccc980750.jpg</t>
        </is>
      </c>
      <c r="B1273">
        <f>HYPERLINK("Объекты недвижимости, не соответствующие градостроительным нормам_00-022_Август/322d43b0-6bd5-490f-a194-57dccc980750.jpg","open")</f>
        <v/>
      </c>
      <c r="C1273" t="inlineStr">
        <is>
          <t>cbf95b01-f708-45a3-9ec0-3603469b538e</t>
        </is>
      </c>
      <c r="D1273" t="n">
        <v>55.87822</v>
      </c>
      <c r="E1273" t="n">
        <v>37.52305</v>
      </c>
      <c r="F1273" t="inlineStr"/>
      <c r="G1273" t="inlineStr"/>
      <c r="H1273" t="inlineStr"/>
    </row>
    <row r="1274">
      <c r="A1274" t="inlineStr">
        <is>
          <t>c46c4e47-b60e-476c-94df-6e7bf7b14531.jpg</t>
        </is>
      </c>
      <c r="B1274">
        <f>HYPERLINK("Объекты недвижимости, не соответствующие градостроительным нормам_00-022_Август/c46c4e47-b60e-476c-94df-6e7bf7b14531.jpg","open")</f>
        <v/>
      </c>
      <c r="C1274" t="inlineStr">
        <is>
          <t>8cde1fd0-eca1-4510-86ab-3c743b65fdfc</t>
        </is>
      </c>
      <c r="D1274" t="n">
        <v>55.74067</v>
      </c>
      <c r="E1274" t="n">
        <v>37.41813</v>
      </c>
      <c r="F1274" t="inlineStr"/>
      <c r="G1274" t="inlineStr"/>
      <c r="H1274" t="inlineStr"/>
    </row>
    <row r="1275">
      <c r="A1275" t="inlineStr">
        <is>
          <t>72b56073-765e-4aae-a500-3e26d5643afb.jpg</t>
        </is>
      </c>
      <c r="B1275">
        <f>HYPERLINK("Объекты недвижимости, не соответствующие градостроительным нормам_00-022_Август/72b56073-765e-4aae-a500-3e26d5643afb.jpg","open")</f>
        <v/>
      </c>
      <c r="C1275" t="inlineStr">
        <is>
          <t>fce890a6-27da-4062-a046-08262a160ee6</t>
        </is>
      </c>
      <c r="D1275" t="n">
        <v>55.78284</v>
      </c>
      <c r="E1275" t="n">
        <v>37.66965</v>
      </c>
      <c r="F1275" t="inlineStr"/>
      <c r="G1275" t="inlineStr"/>
      <c r="H1275" t="inlineStr"/>
    </row>
    <row r="1276">
      <c r="A1276" t="inlineStr">
        <is>
          <t>767dee2f-d8b6-4da9-a60b-361e98c73aa8.jpg</t>
        </is>
      </c>
      <c r="B1276">
        <f>HYPERLINK("Объекты недвижимости, не соответствующие градостроительным нормам_00-022_Август/767dee2f-d8b6-4da9-a60b-361e98c73aa8.jpg","open")</f>
        <v/>
      </c>
      <c r="C1276" t="inlineStr">
        <is>
          <t>cbf95b01-f708-45a3-9ec0-3603469b538e</t>
        </is>
      </c>
      <c r="D1276" t="n">
        <v>55.86869</v>
      </c>
      <c r="E1276" t="n">
        <v>37.53802</v>
      </c>
      <c r="F1276" t="inlineStr"/>
      <c r="G1276" t="inlineStr"/>
      <c r="H1276" t="inlineStr"/>
    </row>
    <row r="1277">
      <c r="A1277" t="inlineStr">
        <is>
          <t>44e84757-0682-4d98-b4e3-a10c8e56b88a.jpg</t>
        </is>
      </c>
      <c r="B1277">
        <f>HYPERLINK("Объекты недвижимости, не соответствующие градостроительным нормам_00-022_Август/44e84757-0682-4d98-b4e3-a10c8e56b88a.jpg","open")</f>
        <v/>
      </c>
      <c r="C1277" t="inlineStr">
        <is>
          <t>0dd30d74-4dbc-46a8-b638-91e1431bb398</t>
        </is>
      </c>
      <c r="D1277" t="n">
        <v>55.62373</v>
      </c>
      <c r="E1277" t="n">
        <v>37.29689</v>
      </c>
      <c r="F1277" t="inlineStr"/>
      <c r="G1277" t="inlineStr"/>
      <c r="H1277" t="inlineStr"/>
    </row>
    <row r="1278">
      <c r="A1278" t="inlineStr">
        <is>
          <t>eb807936-7a12-48cd-8c6c-2a16b3920936.jpg</t>
        </is>
      </c>
      <c r="B1278">
        <f>HYPERLINK("Объекты недвижимости, не соответствующие градостроительным нормам_00-022_Август/eb807936-7a12-48cd-8c6c-2a16b3920936.jpg","open")</f>
        <v/>
      </c>
      <c r="C1278" t="inlineStr">
        <is>
          <t>caa4772d-6278-4484-a046-ee25514bf521</t>
        </is>
      </c>
      <c r="D1278" t="n">
        <v>55.98307</v>
      </c>
      <c r="E1278" t="n">
        <v>37.17125</v>
      </c>
      <c r="F1278" t="inlineStr"/>
      <c r="G1278" t="inlineStr"/>
      <c r="H1278" t="inlineStr"/>
    </row>
    <row r="1279">
      <c r="A1279" t="inlineStr">
        <is>
          <t>c856e407-b099-4e65-aa36-c95e1b623f4c.jpg</t>
        </is>
      </c>
      <c r="B1279">
        <f>HYPERLINK("Объекты недвижимости, не соответствующие градостроительным нормам_00-022_Август/c856e407-b099-4e65-aa36-c95e1b623f4c.jpg","open")</f>
        <v/>
      </c>
      <c r="C1279" t="inlineStr">
        <is>
          <t>8cde1fd0-eca1-4510-86ab-3c743b65fdfc</t>
        </is>
      </c>
      <c r="D1279" t="n">
        <v>55.73811</v>
      </c>
      <c r="E1279" t="n">
        <v>37.42077</v>
      </c>
      <c r="F1279" t="inlineStr"/>
      <c r="G1279" t="inlineStr"/>
      <c r="H1279" t="inlineStr"/>
    </row>
    <row r="1280">
      <c r="A1280" t="inlineStr">
        <is>
          <t>04faa2dc-433c-4b38-abcb-516ee6d0fed7.jpg</t>
        </is>
      </c>
      <c r="B1280">
        <f>HYPERLINK("Объекты недвижимости, не соответствующие градостроительным нормам_00-022_Август/04faa2dc-433c-4b38-abcb-516ee6d0fed7.jpg","open")</f>
        <v/>
      </c>
      <c r="C1280" t="inlineStr">
        <is>
          <t>9f88688f-4c81-42a8-b76a-3c3e7edf869e</t>
        </is>
      </c>
      <c r="D1280" t="n">
        <v>55.78284</v>
      </c>
      <c r="E1280" t="n">
        <v>37.66965</v>
      </c>
      <c r="F1280" t="inlineStr"/>
      <c r="G1280" t="inlineStr"/>
      <c r="H1280" t="inlineStr"/>
    </row>
    <row r="1281">
      <c r="A1281" t="inlineStr">
        <is>
          <t>9a14fd0a-a1f9-41b0-80d6-7640a6fc6b8d.jpg</t>
        </is>
      </c>
      <c r="B1281">
        <f>HYPERLINK("Объекты недвижимости, не соответствующие градостроительным нормам_00-022_Август/9a14fd0a-a1f9-41b0-80d6-7640a6fc6b8d.jpg","open")</f>
        <v/>
      </c>
      <c r="C1281" t="inlineStr">
        <is>
          <t>8cde1fd0-eca1-4510-86ab-3c743b65fdfc</t>
        </is>
      </c>
      <c r="D1281" t="n">
        <v>55.73967</v>
      </c>
      <c r="E1281" t="n">
        <v>37.41412</v>
      </c>
      <c r="F1281" t="inlineStr"/>
      <c r="G1281" t="inlineStr"/>
      <c r="H1281" t="inlineStr"/>
    </row>
    <row r="1282">
      <c r="A1282" t="inlineStr">
        <is>
          <t>2d8f9954-243d-4967-9a84-0f250d3b30fc.jpg</t>
        </is>
      </c>
      <c r="B1282">
        <f>HYPERLINK("Объекты недвижимости, не соответствующие градостроительным нормам_00-022_Август/2d8f9954-243d-4967-9a84-0f250d3b30fc.jpg","open")</f>
        <v/>
      </c>
      <c r="C1282" t="inlineStr">
        <is>
          <t>1c951e11-4940-43c6-a447-394097e5609a</t>
        </is>
      </c>
      <c r="D1282" t="n">
        <v>55.74981</v>
      </c>
      <c r="E1282" t="n">
        <v>37.40982</v>
      </c>
      <c r="F1282" t="inlineStr"/>
      <c r="G1282" t="inlineStr"/>
      <c r="H1282" t="inlineStr"/>
    </row>
    <row r="1283">
      <c r="A1283" t="inlineStr">
        <is>
          <t>4b8eb768-8ca4-402e-8c40-1c75d142e00b.jpg</t>
        </is>
      </c>
      <c r="B1283">
        <f>HYPERLINK("Объекты недвижимости, не соответствующие градостроительным нормам_00-022_Август/4b8eb768-8ca4-402e-8c40-1c75d142e00b.jpg","open")</f>
        <v/>
      </c>
      <c r="C1283" t="inlineStr">
        <is>
          <t>ed2bf0f1-3a66-4913-896e-4420a9796c0b</t>
        </is>
      </c>
      <c r="D1283" t="n">
        <v>55.69507</v>
      </c>
      <c r="E1283" t="n">
        <v>37.474</v>
      </c>
      <c r="F1283" t="inlineStr"/>
      <c r="G1283" t="inlineStr"/>
      <c r="H1283" t="inlineStr"/>
    </row>
    <row r="1284">
      <c r="A1284" t="inlineStr">
        <is>
          <t>8c9db432-ae9b-4a6c-9823-1dffc0d9187a.jpg</t>
        </is>
      </c>
      <c r="B1284">
        <f>HYPERLINK("Объекты недвижимости, не соответствующие градостроительным нормам_00-022_Август/8c9db432-ae9b-4a6c-9823-1dffc0d9187a.jpg","open")</f>
        <v/>
      </c>
      <c r="C1284" t="inlineStr">
        <is>
          <t>1a55986c-2c3f-40c0-b3d1-014dce77832e</t>
        </is>
      </c>
      <c r="D1284" t="n">
        <v>55.69506</v>
      </c>
      <c r="E1284" t="n">
        <v>37.47402</v>
      </c>
      <c r="F1284" t="inlineStr"/>
      <c r="G1284" t="inlineStr"/>
      <c r="H1284" t="inlineStr"/>
    </row>
    <row r="1285">
      <c r="A1285" t="inlineStr">
        <is>
          <t>aa2ad7d3-ee70-4407-b0aa-f2d392de9c9a.jpg</t>
        </is>
      </c>
      <c r="B1285">
        <f>HYPERLINK("Объекты недвижимости, не соответствующие градостроительным нормам_00-022_Август/aa2ad7d3-ee70-4407-b0aa-f2d392de9c9a.jpg","open")</f>
        <v/>
      </c>
      <c r="C1285" t="inlineStr">
        <is>
          <t>93848fc8-17e7-4748-9ebc-c7e379e11d2f</t>
        </is>
      </c>
      <c r="D1285" t="n">
        <v>55.62952</v>
      </c>
      <c r="E1285" t="n">
        <v>37.31596</v>
      </c>
      <c r="F1285" t="inlineStr"/>
      <c r="G1285" t="inlineStr"/>
      <c r="H1285" t="inlineStr"/>
    </row>
    <row r="1286">
      <c r="A1286" t="inlineStr">
        <is>
          <t>b6826c94-840f-4e7a-a744-69e9e7a7d098.jpg</t>
        </is>
      </c>
      <c r="B1286">
        <f>HYPERLINK("Объекты недвижимости, не соответствующие градостроительным нормам_00-022_Август/b6826c94-840f-4e7a-a744-69e9e7a7d098.jpg","open")</f>
        <v/>
      </c>
      <c r="C1286" t="inlineStr">
        <is>
          <t>ed2bf0f1-3a66-4913-896e-4420a9796c0b</t>
        </is>
      </c>
      <c r="D1286" t="n">
        <v>55.68888</v>
      </c>
      <c r="E1286" t="n">
        <v>37.474</v>
      </c>
      <c r="F1286" t="inlineStr"/>
      <c r="G1286" t="inlineStr"/>
      <c r="H1286" t="inlineStr"/>
    </row>
    <row r="1287">
      <c r="A1287" t="inlineStr">
        <is>
          <t>4753b3fe-ed7d-4687-bc12-635596dc5656.jpg</t>
        </is>
      </c>
      <c r="B1287">
        <f>HYPERLINK("Объекты недвижимости, не соответствующие градостроительным нормам_00-022_Август/4753b3fe-ed7d-4687-bc12-635596dc5656.jpg","open")</f>
        <v/>
      </c>
      <c r="C1287" t="inlineStr">
        <is>
          <t>8cde1fd0-eca1-4510-86ab-3c743b65fdfc</t>
        </is>
      </c>
      <c r="D1287" t="n">
        <v>55.79046</v>
      </c>
      <c r="E1287" t="n">
        <v>37.36951</v>
      </c>
      <c r="F1287" t="inlineStr"/>
      <c r="G1287" t="inlineStr"/>
      <c r="H1287" t="inlineStr"/>
    </row>
    <row r="1288">
      <c r="A1288" t="inlineStr">
        <is>
          <t>bd83fa91-0c82-4571-b40c-a9a8c34f8906.jpg</t>
        </is>
      </c>
      <c r="B1288">
        <f>HYPERLINK("Объекты недвижимости, не соответствующие градостроительным нормам_00-022_Август/bd83fa91-0c82-4571-b40c-a9a8c34f8906.jpg","open")</f>
        <v/>
      </c>
      <c r="C1288" t="inlineStr">
        <is>
          <t>1c951e11-4940-43c6-a447-394097e5609a</t>
        </is>
      </c>
      <c r="D1288" t="n">
        <v>55.79464</v>
      </c>
      <c r="E1288" t="n">
        <v>37.35486</v>
      </c>
      <c r="F1288" t="inlineStr"/>
      <c r="G1288" t="inlineStr"/>
      <c r="H1288" t="inlineStr"/>
    </row>
    <row r="1289">
      <c r="A1289" t="inlineStr">
        <is>
          <t>e9aac4e8-45a9-4226-a063-0c80cb57fe49.jpg</t>
        </is>
      </c>
      <c r="B1289">
        <f>HYPERLINK("Объекты недвижимости, не соответствующие градостроительным нормам_00-022_Август/e9aac4e8-45a9-4226-a063-0c80cb57fe49.jpg","open")</f>
        <v/>
      </c>
      <c r="C1289" t="inlineStr">
        <is>
          <t>1a55986c-2c3f-40c0-b3d1-014dce77832e</t>
        </is>
      </c>
      <c r="D1289" t="n">
        <v>55.68935</v>
      </c>
      <c r="E1289" t="n">
        <v>37.47379</v>
      </c>
      <c r="F1289" t="inlineStr"/>
      <c r="G1289" t="inlineStr"/>
      <c r="H1289" t="inlineStr"/>
    </row>
    <row r="1290">
      <c r="A1290" t="inlineStr">
        <is>
          <t>d1d4ad4f-122a-43ee-93ff-df136b09ed4e.jpg</t>
        </is>
      </c>
      <c r="B1290">
        <f>HYPERLINK("Объекты недвижимости, не соответствующие градостроительным нормам_00-022_Август/d1d4ad4f-122a-43ee-93ff-df136b09ed4e.jpg","open")</f>
        <v/>
      </c>
      <c r="C1290" t="inlineStr">
        <is>
          <t>ed2bf0f1-3a66-4913-896e-4420a9796c0b</t>
        </is>
      </c>
      <c r="D1290" t="n">
        <v>55.69166</v>
      </c>
      <c r="E1290" t="n">
        <v>37.47195</v>
      </c>
      <c r="F1290" t="inlineStr"/>
      <c r="G1290" t="inlineStr"/>
      <c r="H1290" t="inlineStr"/>
    </row>
    <row r="1291">
      <c r="A1291" t="inlineStr">
        <is>
          <t>3eb17daa-e1a4-4530-96ac-3667862be2d2.jpg</t>
        </is>
      </c>
      <c r="B1291">
        <f>HYPERLINK("Объекты недвижимости, не соответствующие градостроительным нормам_00-022_Август/3eb17daa-e1a4-4530-96ac-3667862be2d2.jpg","open")</f>
        <v/>
      </c>
      <c r="C1291" t="inlineStr">
        <is>
          <t>ed2bf0f1-3a66-4913-896e-4420a9796c0b</t>
        </is>
      </c>
      <c r="D1291" t="n">
        <v>55.69146</v>
      </c>
      <c r="E1291" t="n">
        <v>37.47371</v>
      </c>
      <c r="F1291" t="inlineStr"/>
      <c r="G1291" t="inlineStr"/>
      <c r="H1291" t="inlineStr"/>
    </row>
    <row r="1292">
      <c r="A1292" t="inlineStr">
        <is>
          <t>0243be28-c7b9-4331-b902-361729548f4d.jpg</t>
        </is>
      </c>
      <c r="B1292">
        <f>HYPERLINK("Объекты недвижимости, не соответствующие градостроительным нормам_00-022_Август/0243be28-c7b9-4331-b902-361729548f4d.jpg","open")</f>
        <v/>
      </c>
      <c r="C1292" t="inlineStr">
        <is>
          <t>1a55986c-2c3f-40c0-b3d1-014dce77832e</t>
        </is>
      </c>
      <c r="D1292" t="n">
        <v>55.69144</v>
      </c>
      <c r="E1292" t="n">
        <v>37.47366</v>
      </c>
      <c r="F1292" t="inlineStr"/>
      <c r="G1292" t="inlineStr"/>
      <c r="H1292" t="inlineStr"/>
    </row>
    <row r="1293">
      <c r="A1293" t="inlineStr">
        <is>
          <t>94c62b5d-3428-4083-8cbc-e9d8dc34840f.jpg</t>
        </is>
      </c>
      <c r="B1293">
        <f>HYPERLINK("Объекты недвижимости, не соответствующие градостроительным нормам_00-022_Август/94c62b5d-3428-4083-8cbc-e9d8dc34840f.jpg","open")</f>
        <v/>
      </c>
      <c r="C1293" t="inlineStr">
        <is>
          <t>1a55986c-2c3f-40c0-b3d1-014dce77832e</t>
        </is>
      </c>
      <c r="D1293" t="n">
        <v>55.69169</v>
      </c>
      <c r="E1293" t="n">
        <v>37.4752</v>
      </c>
      <c r="F1293" t="inlineStr"/>
      <c r="G1293" t="inlineStr"/>
      <c r="H1293" t="inlineStr"/>
    </row>
    <row r="1294">
      <c r="A1294" t="inlineStr">
        <is>
          <t>aba99a1c-bdfc-495b-83e2-0234b39deea9.jpg</t>
        </is>
      </c>
      <c r="B1294">
        <f>HYPERLINK("Объекты недвижимости, не соответствующие градостроительным нормам_00-022_Август/aba99a1c-bdfc-495b-83e2-0234b39deea9.jpg","open")</f>
        <v/>
      </c>
      <c r="C1294" t="inlineStr">
        <is>
          <t>ed2bf0f1-3a66-4913-896e-4420a9796c0b</t>
        </is>
      </c>
      <c r="D1294" t="n">
        <v>55.69168</v>
      </c>
      <c r="E1294" t="n">
        <v>37.47521</v>
      </c>
      <c r="F1294" t="inlineStr"/>
      <c r="G1294" t="inlineStr"/>
      <c r="H1294" t="inlineStr"/>
    </row>
    <row r="1295">
      <c r="A1295" t="inlineStr">
        <is>
          <t>4c833135-4834-46d0-bfec-28a42f93a864.jpg</t>
        </is>
      </c>
      <c r="B1295">
        <f>HYPERLINK("Объекты недвижимости, не соответствующие градостроительным нормам_00-022_Август/4c833135-4834-46d0-bfec-28a42f93a864.jpg","open")</f>
        <v/>
      </c>
      <c r="C1295" t="inlineStr">
        <is>
          <t>ed2bf0f1-3a66-4913-896e-4420a9796c0b</t>
        </is>
      </c>
      <c r="D1295" t="n">
        <v>55.69163</v>
      </c>
      <c r="E1295" t="n">
        <v>37.47312</v>
      </c>
      <c r="F1295" t="inlineStr"/>
      <c r="G1295" t="inlineStr"/>
      <c r="H1295" t="inlineStr"/>
    </row>
    <row r="1296">
      <c r="A1296" t="inlineStr">
        <is>
          <t>8d5da0d9-8108-49e9-8154-63da94bd1ff6.jpg</t>
        </is>
      </c>
      <c r="B1296">
        <f>HYPERLINK("Объекты недвижимости, не соответствующие градостроительным нормам_00-022_Август/8d5da0d9-8108-49e9-8154-63da94bd1ff6.jpg","open")</f>
        <v/>
      </c>
      <c r="C1296" t="inlineStr">
        <is>
          <t>8cde1fd0-eca1-4510-86ab-3c743b65fdfc</t>
        </is>
      </c>
      <c r="D1296" t="n">
        <v>55.79521</v>
      </c>
      <c r="E1296" t="n">
        <v>37.35356</v>
      </c>
      <c r="F1296" t="inlineStr"/>
      <c r="G1296" t="inlineStr"/>
      <c r="H1296" t="inlineStr"/>
    </row>
    <row r="1297">
      <c r="A1297" t="inlineStr">
        <is>
          <t>3bae97c9-8219-4d50-839e-5c4d61884ed7.jpg</t>
        </is>
      </c>
      <c r="B1297">
        <f>HYPERLINK("Объекты недвижимости, не соответствующие градостроительным нормам_00-022_Август/3bae97c9-8219-4d50-839e-5c4d61884ed7.jpg","open")</f>
        <v/>
      </c>
      <c r="C1297" t="inlineStr">
        <is>
          <t>1a55986c-2c3f-40c0-b3d1-014dce77832e</t>
        </is>
      </c>
      <c r="D1297" t="n">
        <v>55.70816</v>
      </c>
      <c r="E1297" t="n">
        <v>37.49087</v>
      </c>
      <c r="F1297" t="inlineStr"/>
      <c r="G1297" t="inlineStr"/>
      <c r="H1297" t="inlineStr"/>
    </row>
    <row r="1298">
      <c r="A1298" t="inlineStr">
        <is>
          <t>8c339420-0127-4450-b701-600eff5e8057.jpg</t>
        </is>
      </c>
      <c r="B1298">
        <f>HYPERLINK("Объекты недвижимости, не соответствующие градостроительным нормам_00-022_Август/8c339420-0127-4450-b701-600eff5e8057.jpg","open")</f>
        <v/>
      </c>
      <c r="C1298" t="inlineStr">
        <is>
          <t>ed2bf0f1-3a66-4913-896e-4420a9796c0b</t>
        </is>
      </c>
      <c r="D1298" t="n">
        <v>55.70837</v>
      </c>
      <c r="E1298" t="n">
        <v>37.49109</v>
      </c>
      <c r="F1298" t="inlineStr"/>
      <c r="G1298" t="inlineStr"/>
      <c r="H1298" t="inlineStr"/>
    </row>
    <row r="1299">
      <c r="A1299" t="inlineStr">
        <is>
          <t>48566570-4d63-4b33-8f95-9aaab625d3f7.jpg</t>
        </is>
      </c>
      <c r="B1299">
        <f>HYPERLINK("Объекты недвижимости, не соответствующие градостроительным нормам_00-022_Август/48566570-4d63-4b33-8f95-9aaab625d3f7.jpg","open")</f>
        <v/>
      </c>
      <c r="C1299" t="inlineStr">
        <is>
          <t>8cde1fd0-eca1-4510-86ab-3c743b65fdfc</t>
        </is>
      </c>
      <c r="D1299" t="n">
        <v>55.7658</v>
      </c>
      <c r="E1299" t="n">
        <v>37.37809</v>
      </c>
      <c r="F1299" t="inlineStr"/>
      <c r="G1299" t="inlineStr"/>
      <c r="H1299" t="inlineStr"/>
    </row>
    <row r="1300">
      <c r="A1300" t="inlineStr">
        <is>
          <t>3a86895e-b261-4a35-804a-3b82b7376a43.jpg</t>
        </is>
      </c>
      <c r="B1300">
        <f>HYPERLINK("Объекты недвижимости, не соответствующие градостроительным нормам_00-022_Август/3a86895e-b261-4a35-804a-3b82b7376a43.jpg","open")</f>
        <v/>
      </c>
      <c r="C1300" t="inlineStr">
        <is>
          <t>ed2bf0f1-3a66-4913-896e-4420a9796c0b</t>
        </is>
      </c>
      <c r="D1300" t="n">
        <v>55.71258</v>
      </c>
      <c r="E1300" t="n">
        <v>37.49474</v>
      </c>
      <c r="F1300" t="inlineStr"/>
      <c r="G1300" t="inlineStr"/>
      <c r="H1300" t="inlineStr"/>
    </row>
    <row r="1301">
      <c r="A1301" t="inlineStr">
        <is>
          <t>ca49d4a8-42b0-431e-b79b-d787fe959ae2.jpg</t>
        </is>
      </c>
      <c r="B1301">
        <f>HYPERLINK("Объекты недвижимости, не соответствующие градостроительным нормам_00-022_Август/ca49d4a8-42b0-431e-b79b-d787fe959ae2.jpg","open")</f>
        <v/>
      </c>
      <c r="C1301" t="inlineStr">
        <is>
          <t>8cde1fd0-eca1-4510-86ab-3c743b65fdfc</t>
        </is>
      </c>
      <c r="D1301" t="n">
        <v>55.72025</v>
      </c>
      <c r="E1301" t="n">
        <v>37.45029</v>
      </c>
      <c r="F1301" t="inlineStr"/>
      <c r="G1301" t="inlineStr"/>
      <c r="H1301" t="inlineStr"/>
    </row>
    <row r="1302">
      <c r="A1302" t="inlineStr">
        <is>
          <t>6f5955e2-5d4e-458c-a37b-52882b183892.jpg</t>
        </is>
      </c>
      <c r="B1302">
        <f>HYPERLINK("Объекты недвижимости, не соответствующие градостроительным нормам_00-022_Август/6f5955e2-5d4e-458c-a37b-52882b183892.jpg","open")</f>
        <v/>
      </c>
      <c r="C1302" t="inlineStr">
        <is>
          <t>caa4772d-6278-4484-a046-ee25514bf521</t>
        </is>
      </c>
      <c r="D1302" t="n">
        <v>56.00928</v>
      </c>
      <c r="E1302" t="n">
        <v>37.19929</v>
      </c>
      <c r="F1302" t="inlineStr"/>
      <c r="G1302" t="inlineStr"/>
      <c r="H1302" t="inlineStr"/>
    </row>
    <row r="1303">
      <c r="A1303" t="inlineStr">
        <is>
          <t>facb7c45-e7f5-4779-b6ce-8036692d0001.jpg</t>
        </is>
      </c>
      <c r="B1303">
        <f>HYPERLINK("Объекты недвижимости, не соответствующие градостроительным нормам_00-022_Август/facb7c45-e7f5-4779-b6ce-8036692d0001.jpg","open")</f>
        <v/>
      </c>
      <c r="C1303" t="inlineStr">
        <is>
          <t>1c951e11-4940-43c6-a447-394097e5609a</t>
        </is>
      </c>
      <c r="D1303" t="n">
        <v>55.70137</v>
      </c>
      <c r="E1303" t="n">
        <v>37.45893</v>
      </c>
      <c r="F1303" t="inlineStr"/>
      <c r="G1303" t="inlineStr"/>
      <c r="H1303" t="inlineStr"/>
    </row>
    <row r="1304">
      <c r="A1304" t="inlineStr">
        <is>
          <t>e1b577fb-b268-456e-b893-74179c244343.jpg</t>
        </is>
      </c>
      <c r="B1304">
        <f>HYPERLINK("Объекты недвижимости, не соответствующие градостроительным нормам_00-022_Август/e1b577fb-b268-456e-b893-74179c244343.jpg","open")</f>
        <v/>
      </c>
      <c r="C1304" t="inlineStr">
        <is>
          <t>8cde1fd0-eca1-4510-86ab-3c743b65fdfc</t>
        </is>
      </c>
      <c r="D1304" t="n">
        <v>55.7012</v>
      </c>
      <c r="E1304" t="n">
        <v>37.45905</v>
      </c>
      <c r="F1304" t="inlineStr"/>
      <c r="G1304" t="inlineStr"/>
      <c r="H1304" t="inlineStr"/>
    </row>
    <row r="1305">
      <c r="A1305" t="inlineStr">
        <is>
          <t>2988048f-ac3b-4980-8272-a9082cb8a36d.jpg</t>
        </is>
      </c>
      <c r="B1305">
        <f>HYPERLINK("Объекты недвижимости, не соответствующие градостроительным нормам_00-022_Август/2988048f-ac3b-4980-8272-a9082cb8a36d.jpg","open")</f>
        <v/>
      </c>
      <c r="C1305" t="inlineStr">
        <is>
          <t>ed2bf0f1-3a66-4913-896e-4420a9796c0b</t>
        </is>
      </c>
      <c r="D1305" t="n">
        <v>55.70107</v>
      </c>
      <c r="E1305" t="n">
        <v>37.49582</v>
      </c>
      <c r="F1305" t="inlineStr"/>
      <c r="G1305" t="inlineStr"/>
      <c r="H1305" t="inlineStr"/>
    </row>
    <row r="1306">
      <c r="A1306" t="inlineStr">
        <is>
          <t>65497203-9051-4f3d-aecc-004423fe62a3.jpg</t>
        </is>
      </c>
      <c r="B1306">
        <f>HYPERLINK("Объекты недвижимости, не соответствующие градостроительным нормам_00-022_Август/65497203-9051-4f3d-aecc-004423fe62a3.jpg","open")</f>
        <v/>
      </c>
      <c r="C1306" t="inlineStr">
        <is>
          <t>1a55986c-2c3f-40c0-b3d1-014dce77832e</t>
        </is>
      </c>
      <c r="D1306" t="n">
        <v>55.70107</v>
      </c>
      <c r="E1306" t="n">
        <v>37.49585</v>
      </c>
      <c r="F1306" t="inlineStr"/>
      <c r="G1306" t="inlineStr"/>
      <c r="H1306" t="inlineStr"/>
    </row>
    <row r="1307">
      <c r="A1307" t="inlineStr">
        <is>
          <t>574c634e-af02-4457-a857-aa3737a2f409.jpg</t>
        </is>
      </c>
      <c r="B1307">
        <f>HYPERLINK("Объекты недвижимости, не соответствующие градостроительным нормам_00-022_Август/574c634e-af02-4457-a857-aa3737a2f409.jpg","open")</f>
        <v/>
      </c>
      <c r="C1307" t="inlineStr">
        <is>
          <t>91248771-2c4d-44f3-b3cf-d536bd4ae73c</t>
        </is>
      </c>
      <c r="D1307" t="n">
        <v>55.7252</v>
      </c>
      <c r="E1307" t="n">
        <v>37.80062</v>
      </c>
      <c r="F1307" t="inlineStr"/>
      <c r="G1307" t="inlineStr"/>
      <c r="H1307" t="inlineStr"/>
    </row>
    <row r="1308">
      <c r="A1308" t="inlineStr">
        <is>
          <t>e3df8fde-dc65-4ff8-8e15-74365eadd8d1.jpg</t>
        </is>
      </c>
      <c r="B1308">
        <f>HYPERLINK("Объекты недвижимости, не соответствующие градостроительным нормам_00-022_Август/e3df8fde-dc65-4ff8-8e15-74365eadd8d1.jpg","open")</f>
        <v/>
      </c>
      <c r="C1308" t="inlineStr">
        <is>
          <t>91248771-2c4d-44f3-b3cf-d536bd4ae73c</t>
        </is>
      </c>
      <c r="D1308" t="n">
        <v>55.72462</v>
      </c>
      <c r="E1308" t="n">
        <v>37.79601</v>
      </c>
      <c r="F1308" t="inlineStr"/>
      <c r="G1308" t="inlineStr"/>
      <c r="H1308" t="inlineStr"/>
    </row>
    <row r="1309">
      <c r="A1309" t="inlineStr">
        <is>
          <t>931cb364-5163-40d5-b2e1-edf619ff654d.jpg</t>
        </is>
      </c>
      <c r="B1309">
        <f>HYPERLINK("Объекты недвижимости, не соответствующие градостроительным нормам_00-022_Август/931cb364-5163-40d5-b2e1-edf619ff654d.jpg","open")</f>
        <v/>
      </c>
      <c r="C1309" t="inlineStr">
        <is>
          <t>db8b536c-32f2-4d9a-ae08-679d227e61f1</t>
        </is>
      </c>
      <c r="D1309" t="n">
        <v>55.69909</v>
      </c>
      <c r="E1309" t="n">
        <v>37.57864</v>
      </c>
      <c r="F1309" t="inlineStr"/>
      <c r="G1309" t="inlineStr"/>
      <c r="H1309" t="inlineStr"/>
    </row>
    <row r="1310">
      <c r="A1310" t="inlineStr">
        <is>
          <t>7c2420a8-7ebc-44b2-b5ae-3aba1da93572.jpg</t>
        </is>
      </c>
      <c r="B1310">
        <f>HYPERLINK("Объекты недвижимости, не соответствующие градостроительным нормам_00-022_Август/7c2420a8-7ebc-44b2-b5ae-3aba1da93572.jpg","open")</f>
        <v/>
      </c>
      <c r="C1310" t="inlineStr">
        <is>
          <t>48b533d5-d106-4175-ac9b-d5ce8d90cccf</t>
        </is>
      </c>
      <c r="D1310" t="n">
        <v>55.74772</v>
      </c>
      <c r="E1310" t="n">
        <v>37.75047</v>
      </c>
      <c r="F1310" t="inlineStr"/>
      <c r="G1310" t="inlineStr"/>
      <c r="H1310" t="inlineStr"/>
    </row>
    <row r="1311">
      <c r="A1311" t="inlineStr">
        <is>
          <t>4e7b1d38-a804-4534-bee0-9262f46d54a1.jpg</t>
        </is>
      </c>
      <c r="B1311">
        <f>HYPERLINK("Объекты недвижимости, не соответствующие градостроительным нормам_00-022_Август/4e7b1d38-a804-4534-bee0-9262f46d54a1.jpg","open")</f>
        <v/>
      </c>
      <c r="C1311" t="inlineStr">
        <is>
          <t>cbf95b01-f708-45a3-9ec0-3603469b538e</t>
        </is>
      </c>
      <c r="D1311" t="n">
        <v>55.90518</v>
      </c>
      <c r="E1311" t="n">
        <v>37.54322</v>
      </c>
      <c r="F1311" t="inlineStr"/>
      <c r="G1311" t="inlineStr"/>
      <c r="H1311" t="inlineStr"/>
    </row>
    <row r="1312">
      <c r="A1312" t="inlineStr">
        <is>
          <t>80bb559a-893b-43ed-b531-0ad1fffefb67.jpg</t>
        </is>
      </c>
      <c r="B1312">
        <f>HYPERLINK("Объекты недвижимости, не соответствующие градостроительным нормам_00-022_Август/80bb559a-893b-43ed-b531-0ad1fffefb67.jpg","open")</f>
        <v/>
      </c>
      <c r="C1312" t="inlineStr">
        <is>
          <t>cbf95b01-f708-45a3-9ec0-3603469b538e</t>
        </is>
      </c>
      <c r="D1312" t="n">
        <v>55.90642</v>
      </c>
      <c r="E1312" t="n">
        <v>37.54462</v>
      </c>
      <c r="F1312" t="inlineStr"/>
      <c r="G1312" t="inlineStr"/>
      <c r="H1312" t="inlineStr"/>
    </row>
    <row r="1313">
      <c r="A1313" t="inlineStr">
        <is>
          <t>d59e5cc3-ef4d-4c4e-b46a-2d8a46e56de6.jpg</t>
        </is>
      </c>
      <c r="B1313">
        <f>HYPERLINK("Объекты недвижимости, не соответствующие градостроительным нормам_00-022_Август/d59e5cc3-ef4d-4c4e-b46a-2d8a46e56de6.jpg","open")</f>
        <v/>
      </c>
      <c r="C1313" t="inlineStr">
        <is>
          <t>8cde1fd0-eca1-4510-86ab-3c743b65fdfc</t>
        </is>
      </c>
      <c r="D1313" t="n">
        <v>55.6629</v>
      </c>
      <c r="E1313" t="n">
        <v>37.47067</v>
      </c>
      <c r="F1313" t="inlineStr"/>
      <c r="G1313" t="inlineStr"/>
      <c r="H1313" t="inlineStr"/>
    </row>
    <row r="1314">
      <c r="A1314" t="inlineStr">
        <is>
          <t>59fc10be-c2fa-4288-bf20-67d1399214e2.jpg</t>
        </is>
      </c>
      <c r="B1314">
        <f>HYPERLINK("Объекты недвижимости, не соответствующие градостроительным нормам_00-022_Август/59fc10be-c2fa-4288-bf20-67d1399214e2.jpg","open")</f>
        <v/>
      </c>
      <c r="C1314" t="inlineStr">
        <is>
          <t>91248771-2c4d-44f3-b3cf-d536bd4ae73c</t>
        </is>
      </c>
      <c r="D1314" t="n">
        <v>55.826</v>
      </c>
      <c r="E1314" t="n">
        <v>37.70642</v>
      </c>
      <c r="F1314" t="inlineStr"/>
      <c r="G1314" t="inlineStr"/>
      <c r="H1314" t="inlineStr"/>
    </row>
    <row r="1315">
      <c r="A1315" t="inlineStr">
        <is>
          <t>d36f4aef-f719-4ef7-893b-e45c01873648.jpg</t>
        </is>
      </c>
      <c r="B1315">
        <f>HYPERLINK("Объекты недвижимости, не соответствующие градостроительным нормам_00-022_Август/d36f4aef-f719-4ef7-893b-e45c01873648.jpg","open")</f>
        <v/>
      </c>
      <c r="C1315" t="inlineStr">
        <is>
          <t>91248771-2c4d-44f3-b3cf-d536bd4ae73c</t>
        </is>
      </c>
      <c r="D1315" t="n">
        <v>55.81992</v>
      </c>
      <c r="E1315" t="n">
        <v>37.70508</v>
      </c>
      <c r="F1315" t="inlineStr"/>
      <c r="G1315" t="inlineStr"/>
      <c r="H1315" t="inlineStr"/>
    </row>
    <row r="1316">
      <c r="A1316" t="inlineStr">
        <is>
          <t>5a47410b-123a-4343-b7d3-cf0d6daff60d.jpg</t>
        </is>
      </c>
      <c r="B1316">
        <f>HYPERLINK("Объекты недвижимости, не соответствующие градостроительным нормам_00-022_Август/5a47410b-123a-4343-b7d3-cf0d6daff60d.jpg","open")</f>
        <v/>
      </c>
      <c r="C1316" t="inlineStr">
        <is>
          <t>8cde1fd0-eca1-4510-86ab-3c743b65fdfc</t>
        </is>
      </c>
      <c r="D1316" t="n">
        <v>55.66155</v>
      </c>
      <c r="E1316" t="n">
        <v>37.47058</v>
      </c>
      <c r="F1316" t="inlineStr"/>
      <c r="G1316" t="inlineStr"/>
      <c r="H1316" t="inlineStr"/>
    </row>
    <row r="1317">
      <c r="A1317" t="inlineStr">
        <is>
          <t>e3f1fa69-8e4f-4f74-851e-d34d9eea48fe.jpg</t>
        </is>
      </c>
      <c r="B1317">
        <f>HYPERLINK("Объекты недвижимости, не соответствующие градостроительным нормам_00-022_Август/e3f1fa69-8e4f-4f74-851e-d34d9eea48fe.jpg","open")</f>
        <v/>
      </c>
      <c r="C1317" t="inlineStr">
        <is>
          <t>ed2bf0f1-3a66-4913-896e-4420a9796c0b</t>
        </is>
      </c>
      <c r="D1317" t="n">
        <v>55.68768</v>
      </c>
      <c r="E1317" t="n">
        <v>37.48457</v>
      </c>
      <c r="F1317" t="inlineStr"/>
      <c r="G1317" t="inlineStr"/>
      <c r="H1317" t="inlineStr"/>
    </row>
    <row r="1318">
      <c r="A1318" t="inlineStr">
        <is>
          <t>38034dbf-c2dd-48ed-b85f-ad06db2946eb.jpg</t>
        </is>
      </c>
      <c r="B1318">
        <f>HYPERLINK("Объекты недвижимости, не соответствующие градостроительным нормам_00-022_Август/38034dbf-c2dd-48ed-b85f-ad06db2946eb.jpg","open")</f>
        <v/>
      </c>
      <c r="C1318" t="inlineStr">
        <is>
          <t>1a55986c-2c3f-40c0-b3d1-014dce77832e</t>
        </is>
      </c>
      <c r="D1318" t="n">
        <v>55.68761</v>
      </c>
      <c r="E1318" t="n">
        <v>37.48491</v>
      </c>
      <c r="F1318" t="inlineStr"/>
      <c r="G1318" t="inlineStr"/>
      <c r="H1318" t="inlineStr"/>
    </row>
    <row r="1319">
      <c r="A1319" t="inlineStr">
        <is>
          <t>623038d8-ed32-4597-8c85-52100ba04176.jpg</t>
        </is>
      </c>
      <c r="B1319">
        <f>HYPERLINK("Объекты недвижимости, не соответствующие градостроительным нормам_00-022_Август/623038d8-ed32-4597-8c85-52100ba04176.jpg","open")</f>
        <v/>
      </c>
      <c r="C1319" t="inlineStr">
        <is>
          <t>7b951050-981e-4ccd-816e-e002f271ab6a</t>
        </is>
      </c>
      <c r="D1319" t="n">
        <v>55.812</v>
      </c>
      <c r="E1319" t="n">
        <v>37.69831</v>
      </c>
      <c r="F1319" t="inlineStr"/>
      <c r="G1319" t="inlineStr"/>
      <c r="H1319" t="inlineStr"/>
    </row>
    <row r="1320">
      <c r="A1320" t="inlineStr">
        <is>
          <t>1cfde8ae-f25b-453f-a0bc-1f6a6c91ca33.jpg</t>
        </is>
      </c>
      <c r="B1320">
        <f>HYPERLINK("Объекты недвижимости, не соответствующие градостроительным нормам_00-022_Август/1cfde8ae-f25b-453f-a0bc-1f6a6c91ca33.jpg","open")</f>
        <v/>
      </c>
      <c r="C1320" t="inlineStr">
        <is>
          <t>8cde1fd0-eca1-4510-86ab-3c743b65fdfc</t>
        </is>
      </c>
      <c r="D1320" t="n">
        <v>55.65602</v>
      </c>
      <c r="E1320" t="n">
        <v>37.47001</v>
      </c>
      <c r="F1320" t="inlineStr"/>
      <c r="G1320" t="inlineStr"/>
      <c r="H1320" t="inlineStr"/>
    </row>
    <row r="1321">
      <c r="A1321" t="inlineStr">
        <is>
          <t>068b8322-3e21-48f0-93da-c49a33902b84.jpg</t>
        </is>
      </c>
      <c r="B1321">
        <f>HYPERLINK("Объекты недвижимости, не соответствующие градостроительным нормам_00-022_Август/068b8322-3e21-48f0-93da-c49a33902b84.jpg","open")</f>
        <v/>
      </c>
      <c r="C1321" t="inlineStr">
        <is>
          <t>cbf95b01-f708-45a3-9ec0-3603469b538e</t>
        </is>
      </c>
      <c r="D1321" t="n">
        <v>55.89396</v>
      </c>
      <c r="E1321" t="n">
        <v>37.65325</v>
      </c>
      <c r="F1321" t="inlineStr"/>
      <c r="G1321" t="inlineStr"/>
      <c r="H1321" t="inlineStr"/>
    </row>
    <row r="1322">
      <c r="A1322" t="inlineStr">
        <is>
          <t>28e974fe-1a53-4513-af8b-c0486d613b50.jpg</t>
        </is>
      </c>
      <c r="B1322">
        <f>HYPERLINK("Объекты недвижимости, не соответствующие градостроительным нормам_00-022_Август/28e974fe-1a53-4513-af8b-c0486d613b50.jpg","open")</f>
        <v/>
      </c>
      <c r="C1322" t="inlineStr">
        <is>
          <t>a1a9db89-3f74-42ef-8fad-ad69705102cd</t>
        </is>
      </c>
      <c r="D1322" t="n">
        <v>55.89084</v>
      </c>
      <c r="E1322" t="n">
        <v>37.66225</v>
      </c>
      <c r="F1322" t="inlineStr"/>
      <c r="G1322" t="inlineStr"/>
      <c r="H1322" t="inlineStr"/>
    </row>
    <row r="1323">
      <c r="A1323" t="inlineStr">
        <is>
          <t>a2a1a732-eabf-4090-b06d-acb22a50ba94.jpg</t>
        </is>
      </c>
      <c r="B1323">
        <f>HYPERLINK("Объекты недвижимости, не соответствующие градостроительным нормам_00-022_Август/a2a1a732-eabf-4090-b06d-acb22a50ba94.jpg","open")</f>
        <v/>
      </c>
      <c r="C1323" t="inlineStr">
        <is>
          <t>cbf95b01-f708-45a3-9ec0-3603469b538e</t>
        </is>
      </c>
      <c r="D1323" t="n">
        <v>55.89063</v>
      </c>
      <c r="E1323" t="n">
        <v>37.64605</v>
      </c>
      <c r="F1323" t="inlineStr"/>
      <c r="G1323" t="inlineStr"/>
      <c r="H1323" t="inlineStr"/>
    </row>
    <row r="1324">
      <c r="A1324" t="inlineStr">
        <is>
          <t>ee1a64b7-4571-4762-8d85-f16aa4a024e1.jpg</t>
        </is>
      </c>
      <c r="B1324">
        <f>HYPERLINK("Объекты недвижимости, не соответствующие градостроительным нормам_00-022_Август/ee1a64b7-4571-4762-8d85-f16aa4a024e1.jpg","open")</f>
        <v/>
      </c>
      <c r="C1324" t="inlineStr">
        <is>
          <t>cbf95b01-f708-45a3-9ec0-3603469b538e</t>
        </is>
      </c>
      <c r="D1324" t="n">
        <v>55.89075</v>
      </c>
      <c r="E1324" t="n">
        <v>37.64571</v>
      </c>
      <c r="F1324" t="inlineStr"/>
      <c r="G1324" t="inlineStr"/>
      <c r="H1324" t="inlineStr"/>
    </row>
    <row r="1325">
      <c r="A1325" t="inlineStr">
        <is>
          <t>20573a29-6b7f-4223-a4f9-fac53c79b848.jpg</t>
        </is>
      </c>
      <c r="B1325">
        <f>HYPERLINK("Объекты недвижимости, не соответствующие градостроительным нормам_00-022_Август/20573a29-6b7f-4223-a4f9-fac53c79b848.jpg","open")</f>
        <v/>
      </c>
      <c r="C1325" t="inlineStr">
        <is>
          <t>1a55986c-2c3f-40c0-b3d1-014dce77832e</t>
        </is>
      </c>
      <c r="D1325" t="n">
        <v>55.69363</v>
      </c>
      <c r="E1325" t="n">
        <v>37.5023</v>
      </c>
      <c r="F1325" t="inlineStr"/>
      <c r="G1325" t="inlineStr"/>
      <c r="H1325" t="inlineStr"/>
    </row>
    <row r="1326">
      <c r="A1326" t="inlineStr">
        <is>
          <t>172be1f6-4933-430a-93d4-2072bdbee519.jpg</t>
        </is>
      </c>
      <c r="B1326">
        <f>HYPERLINK("Объекты недвижимости, не соответствующие градостроительным нормам_00-022_Август/172be1f6-4933-430a-93d4-2072bdbee519.jpg","open")</f>
        <v/>
      </c>
      <c r="C1326" t="inlineStr">
        <is>
          <t>ed2bf0f1-3a66-4913-896e-4420a9796c0b</t>
        </is>
      </c>
      <c r="D1326" t="n">
        <v>55.69464</v>
      </c>
      <c r="E1326" t="n">
        <v>37.50053</v>
      </c>
      <c r="F1326" t="inlineStr"/>
      <c r="G1326" t="inlineStr"/>
      <c r="H1326" t="inlineStr"/>
    </row>
    <row r="1327">
      <c r="A1327" t="inlineStr">
        <is>
          <t>c5b446b6-2382-45bd-bf8e-41e7f5b49cf5.jpg</t>
        </is>
      </c>
      <c r="B1327">
        <f>HYPERLINK("Объекты недвижимости, не соответствующие градостроительным нормам_00-022_Август/c5b446b6-2382-45bd-bf8e-41e7f5b49cf5.jpg","open")</f>
        <v/>
      </c>
      <c r="C1327" t="inlineStr">
        <is>
          <t>1a55986c-2c3f-40c0-b3d1-014dce77832e</t>
        </is>
      </c>
      <c r="D1327" t="n">
        <v>55.69467</v>
      </c>
      <c r="E1327" t="n">
        <v>37.50039</v>
      </c>
      <c r="F1327" t="inlineStr"/>
      <c r="G1327" t="inlineStr"/>
      <c r="H1327" t="inlineStr"/>
    </row>
    <row r="1328">
      <c r="A1328" t="inlineStr">
        <is>
          <t>3ccec75c-e5c6-4f25-833e-881bea60f50e.jpg</t>
        </is>
      </c>
      <c r="B1328">
        <f>HYPERLINK("Объекты недвижимости, не соответствующие градостроительным нормам_00-022_Август/3ccec75c-e5c6-4f25-833e-881bea60f50e.jpg","open")</f>
        <v/>
      </c>
      <c r="C1328" t="inlineStr">
        <is>
          <t>1a55986c-2c3f-40c0-b3d1-014dce77832e</t>
        </is>
      </c>
      <c r="D1328" t="n">
        <v>55.69472</v>
      </c>
      <c r="E1328" t="n">
        <v>37.50034</v>
      </c>
      <c r="F1328" t="inlineStr"/>
      <c r="G1328" t="inlineStr"/>
      <c r="H1328" t="inlineStr"/>
    </row>
    <row r="1329">
      <c r="A1329" t="inlineStr">
        <is>
          <t>56917504-f166-4fe9-a6ce-e03aed4e0a77.jpg</t>
        </is>
      </c>
      <c r="B1329">
        <f>HYPERLINK("Объекты недвижимости, не соответствующие градостроительным нормам_00-022_Август/56917504-f166-4fe9-a6ce-e03aed4e0a77.jpg","open")</f>
        <v/>
      </c>
      <c r="C1329" t="inlineStr">
        <is>
          <t>cbf95b01-f708-45a3-9ec0-3603469b538e</t>
        </is>
      </c>
      <c r="D1329" t="n">
        <v>55.89199</v>
      </c>
      <c r="E1329" t="n">
        <v>37.64594</v>
      </c>
      <c r="F1329" t="inlineStr"/>
      <c r="G1329" t="inlineStr"/>
      <c r="H1329" t="inlineStr"/>
    </row>
    <row r="1330">
      <c r="A1330" t="inlineStr">
        <is>
          <t>dce3c8ce-9770-4f84-b475-51283182e55b.jpg</t>
        </is>
      </c>
      <c r="B1330">
        <f>HYPERLINK("Объекты недвижимости, не соответствующие градостроительным нормам_00-022_Август/dce3c8ce-9770-4f84-b475-51283182e55b.jpg","open")</f>
        <v/>
      </c>
      <c r="C1330" t="inlineStr">
        <is>
          <t>ed2bf0f1-3a66-4913-896e-4420a9796c0b</t>
        </is>
      </c>
      <c r="D1330" t="n">
        <v>55.69478</v>
      </c>
      <c r="E1330" t="n">
        <v>37.50028</v>
      </c>
      <c r="F1330" t="inlineStr"/>
      <c r="G1330" t="inlineStr"/>
      <c r="H1330" t="inlineStr"/>
    </row>
    <row r="1331">
      <c r="A1331" t="inlineStr">
        <is>
          <t>64ac78ba-243c-4b4f-8122-fc6438874b7c.jpg</t>
        </is>
      </c>
      <c r="B1331">
        <f>HYPERLINK("Объекты недвижимости, не соответствующие градостроительным нормам_00-022_Август/64ac78ba-243c-4b4f-8122-fc6438874b7c.jpg","open")</f>
        <v/>
      </c>
      <c r="C1331" t="inlineStr">
        <is>
          <t>cbf95b01-f708-45a3-9ec0-3603469b538e</t>
        </is>
      </c>
      <c r="D1331" t="n">
        <v>55.89292</v>
      </c>
      <c r="E1331" t="n">
        <v>37.64701</v>
      </c>
      <c r="F1331" t="inlineStr"/>
      <c r="G1331" t="inlineStr"/>
      <c r="H1331" t="inlineStr"/>
    </row>
    <row r="1332">
      <c r="A1332" t="inlineStr">
        <is>
          <t>8ba071d1-2bfa-4c6c-a637-b60750a3a163.jpg</t>
        </is>
      </c>
      <c r="B1332">
        <f>HYPERLINK("Объекты недвижимости, не соответствующие градостроительным нормам_00-022_Август/8ba071d1-2bfa-4c6c-a637-b60750a3a163.jpg","open")</f>
        <v/>
      </c>
      <c r="C1332" t="inlineStr">
        <is>
          <t>a1a9db89-3f74-42ef-8fad-ad69705102cd</t>
        </is>
      </c>
      <c r="D1332" t="n">
        <v>55.89377</v>
      </c>
      <c r="E1332" t="n">
        <v>37.64616</v>
      </c>
      <c r="F1332" t="inlineStr"/>
      <c r="G1332" t="inlineStr"/>
      <c r="H1332" t="inlineStr"/>
    </row>
    <row r="1333">
      <c r="A1333" t="inlineStr">
        <is>
          <t>49afc204-43a7-4880-899d-acd145568e8d.jpg</t>
        </is>
      </c>
      <c r="B1333">
        <f>HYPERLINK("Объекты недвижимости, не соответствующие градостроительным нормам_00-022_Август/49afc204-43a7-4880-899d-acd145568e8d.jpg","open")</f>
        <v/>
      </c>
      <c r="C1333" t="inlineStr">
        <is>
          <t>cbf95b01-f708-45a3-9ec0-3603469b538e</t>
        </is>
      </c>
      <c r="D1333" t="n">
        <v>55.89388</v>
      </c>
      <c r="E1333" t="n">
        <v>37.64597</v>
      </c>
      <c r="F1333" t="inlineStr"/>
      <c r="G1333" t="inlineStr"/>
      <c r="H1333" t="inlineStr"/>
    </row>
    <row r="1334">
      <c r="A1334" t="inlineStr">
        <is>
          <t>231d9ce0-a679-40a4-8216-f29b329f9bbf.jpg</t>
        </is>
      </c>
      <c r="B1334">
        <f>HYPERLINK("Объекты недвижимости, не соответствующие градостроительным нормам_00-022_Август/231d9ce0-a679-40a4-8216-f29b329f9bbf.jpg","open")</f>
        <v/>
      </c>
      <c r="C1334" t="inlineStr">
        <is>
          <t>cbf95b01-f708-45a3-9ec0-3603469b538e</t>
        </is>
      </c>
      <c r="D1334" t="n">
        <v>55.89521</v>
      </c>
      <c r="E1334" t="n">
        <v>37.64419</v>
      </c>
      <c r="F1334" t="inlineStr"/>
      <c r="G1334" t="inlineStr"/>
      <c r="H1334" t="inlineStr"/>
    </row>
    <row r="1335">
      <c r="A1335" t="inlineStr">
        <is>
          <t>b5b18d1f-1c28-4ac6-9e9f-db120b945e61.jpg</t>
        </is>
      </c>
      <c r="B1335">
        <f>HYPERLINK("Объекты недвижимости, не соответствующие градостроительным нормам_00-022_Август/b5b18d1f-1c28-4ac6-9e9f-db120b945e61.jpg","open")</f>
        <v/>
      </c>
      <c r="C1335" t="inlineStr">
        <is>
          <t>cbf95b01-f708-45a3-9ec0-3603469b538e</t>
        </is>
      </c>
      <c r="D1335" t="n">
        <v>55.8952</v>
      </c>
      <c r="E1335" t="n">
        <v>37.644</v>
      </c>
      <c r="F1335" t="inlineStr"/>
      <c r="G1335" t="inlineStr"/>
      <c r="H1335" t="inlineStr"/>
    </row>
    <row r="1336">
      <c r="A1336" t="inlineStr">
        <is>
          <t>54605b3a-11fc-404e-85bf-4f278e0d5574.jpg</t>
        </is>
      </c>
      <c r="B1336">
        <f>HYPERLINK("Объекты недвижимости, не соответствующие градостроительным нормам_00-022_Август/54605b3a-11fc-404e-85bf-4f278e0d5574.jpg","open")</f>
        <v/>
      </c>
      <c r="C1336" t="inlineStr">
        <is>
          <t>a1a9db89-3f74-42ef-8fad-ad69705102cd</t>
        </is>
      </c>
      <c r="D1336" t="n">
        <v>55.89515</v>
      </c>
      <c r="E1336" t="n">
        <v>37.64437</v>
      </c>
      <c r="F1336" t="inlineStr"/>
      <c r="G1336" t="inlineStr"/>
      <c r="H1336" t="inlineStr"/>
    </row>
    <row r="1337">
      <c r="A1337" t="inlineStr">
        <is>
          <t>555d7eab-ab67-4d18-9393-234c35f04c13.jpg</t>
        </is>
      </c>
      <c r="B1337">
        <f>HYPERLINK("Объекты недвижимости, не соответствующие градостроительным нормам_00-022_Август/555d7eab-ab67-4d18-9393-234c35f04c13.jpg","open")</f>
        <v/>
      </c>
      <c r="C1337" t="inlineStr">
        <is>
          <t>cbf95b01-f708-45a3-9ec0-3603469b538e</t>
        </is>
      </c>
      <c r="D1337" t="n">
        <v>55.89514</v>
      </c>
      <c r="E1337" t="n">
        <v>37.64385</v>
      </c>
      <c r="F1337" t="inlineStr"/>
      <c r="G1337" t="inlineStr"/>
      <c r="H1337" t="inlineStr"/>
    </row>
    <row r="1338">
      <c r="A1338" t="inlineStr">
        <is>
          <t>9f794676-1cd7-4166-8d05-af449c19becb.jpg</t>
        </is>
      </c>
      <c r="B1338">
        <f>HYPERLINK("Объекты недвижимости, не соответствующие градостроительным нормам_00-022_Август/9f794676-1cd7-4166-8d05-af449c19becb.jpg","open")</f>
        <v/>
      </c>
      <c r="C1338" t="inlineStr">
        <is>
          <t>cbf95b01-f708-45a3-9ec0-3603469b538e</t>
        </is>
      </c>
      <c r="D1338" t="n">
        <v>55.89434</v>
      </c>
      <c r="E1338" t="n">
        <v>37.64167</v>
      </c>
      <c r="F1338" t="inlineStr"/>
      <c r="G1338" t="inlineStr"/>
      <c r="H1338" t="inlineStr"/>
    </row>
    <row r="1339">
      <c r="A1339" t="inlineStr">
        <is>
          <t>2b47c572-7d97-40be-9c6c-74adba30e227.jpg</t>
        </is>
      </c>
      <c r="B1339">
        <f>HYPERLINK("Объекты недвижимости, не соответствующие градостроительным нормам_00-022_Август/2b47c572-7d97-40be-9c6c-74adba30e227.jpg","open")</f>
        <v/>
      </c>
      <c r="C1339" t="inlineStr">
        <is>
          <t>cbf95b01-f708-45a3-9ec0-3603469b538e</t>
        </is>
      </c>
      <c r="D1339" t="n">
        <v>55.89435</v>
      </c>
      <c r="E1339" t="n">
        <v>37.64165</v>
      </c>
      <c r="F1339" t="inlineStr"/>
      <c r="G1339" t="inlineStr"/>
      <c r="H1339" t="inlineStr"/>
    </row>
    <row r="1340">
      <c r="A1340" t="inlineStr">
        <is>
          <t>44555446-8426-4873-8efb-9bcd9e4bf505.jpg</t>
        </is>
      </c>
      <c r="B1340">
        <f>HYPERLINK("Объекты недвижимости, не соответствующие градостроительным нормам_00-022_Август/44555446-8426-4873-8efb-9bcd9e4bf505.jpg","open")</f>
        <v/>
      </c>
      <c r="C1340" t="inlineStr">
        <is>
          <t>cbf95b01-f708-45a3-9ec0-3603469b538e</t>
        </is>
      </c>
      <c r="D1340" t="n">
        <v>55.89435</v>
      </c>
      <c r="E1340" t="n">
        <v>37.64165</v>
      </c>
      <c r="F1340" t="inlineStr"/>
      <c r="G1340" t="inlineStr"/>
      <c r="H1340" t="inlineStr"/>
    </row>
    <row r="1341">
      <c r="A1341" t="inlineStr">
        <is>
          <t>c2ce8b2d-74d1-48ba-b64a-d8f312ca683a.jpg</t>
        </is>
      </c>
      <c r="B1341">
        <f>HYPERLINK("Объекты недвижимости, не соответствующие градостроительным нормам_00-022_Август/c2ce8b2d-74d1-48ba-b64a-d8f312ca683a.jpg","open")</f>
        <v/>
      </c>
      <c r="C1341" t="inlineStr">
        <is>
          <t>cbf95b01-f708-45a3-9ec0-3603469b538e</t>
        </is>
      </c>
      <c r="D1341" t="n">
        <v>55.89434</v>
      </c>
      <c r="E1341" t="n">
        <v>37.64165</v>
      </c>
      <c r="F1341" t="inlineStr"/>
      <c r="G1341" t="inlineStr"/>
      <c r="H1341" t="inlineStr"/>
    </row>
    <row r="1342">
      <c r="A1342" t="inlineStr">
        <is>
          <t>ed510558-575a-4d23-af8d-053bda41c8be.jpg</t>
        </is>
      </c>
      <c r="B1342">
        <f>HYPERLINK("Объекты недвижимости, не соответствующие градостроительным нормам_00-022_Август/ed510558-575a-4d23-af8d-053bda41c8be.jpg","open")</f>
        <v/>
      </c>
      <c r="C1342" t="inlineStr">
        <is>
          <t>caa4772d-6278-4484-a046-ee25514bf521</t>
        </is>
      </c>
      <c r="D1342" t="n">
        <v>56.00681</v>
      </c>
      <c r="E1342" t="n">
        <v>37.21157</v>
      </c>
      <c r="F1342" t="inlineStr"/>
      <c r="G1342" t="inlineStr"/>
      <c r="H1342" t="inlineStr"/>
    </row>
    <row r="1343">
      <c r="A1343" t="inlineStr">
        <is>
          <t>d568c173-1bb0-4788-a038-5ba0f71a0047.jpg</t>
        </is>
      </c>
      <c r="B1343">
        <f>HYPERLINK("Объекты недвижимости, не соответствующие градостроительным нормам_00-022_Август/d568c173-1bb0-4788-a038-5ba0f71a0047.jpg","open")</f>
        <v/>
      </c>
      <c r="C1343" t="inlineStr">
        <is>
          <t>ed2bf0f1-3a66-4913-896e-4420a9796c0b</t>
        </is>
      </c>
      <c r="D1343" t="n">
        <v>55.69051</v>
      </c>
      <c r="E1343" t="n">
        <v>37.51598</v>
      </c>
      <c r="F1343" t="inlineStr"/>
      <c r="G1343" t="inlineStr"/>
      <c r="H1343" t="inlineStr"/>
    </row>
    <row r="1344">
      <c r="A1344" t="inlineStr">
        <is>
          <t>a8ae2961-008d-4cdd-b78a-75f5b5013fbb.jpg</t>
        </is>
      </c>
      <c r="B1344">
        <f>HYPERLINK("Объекты недвижимости, не соответствующие градостроительным нормам_00-022_Август/a8ae2961-008d-4cdd-b78a-75f5b5013fbb.jpg","open")</f>
        <v/>
      </c>
      <c r="C1344" t="inlineStr">
        <is>
          <t>caa4772d-6278-4484-a046-ee25514bf521</t>
        </is>
      </c>
      <c r="D1344" t="n">
        <v>56.00716</v>
      </c>
      <c r="E1344" t="n">
        <v>37.20683</v>
      </c>
      <c r="F1344" t="inlineStr"/>
      <c r="G1344" t="inlineStr"/>
      <c r="H1344" t="inlineStr"/>
    </row>
    <row r="1345">
      <c r="A1345" t="inlineStr">
        <is>
          <t>bbca0b7f-5908-4370-8f0b-07605477d659.jpg</t>
        </is>
      </c>
      <c r="B1345">
        <f>HYPERLINK("Объекты недвижимости, не соответствующие градостроительным нормам_00-022_Август/bbca0b7f-5908-4370-8f0b-07605477d659.jpg","open")</f>
        <v/>
      </c>
      <c r="C1345" t="inlineStr">
        <is>
          <t>cbf95b01-f708-45a3-9ec0-3603469b538e</t>
        </is>
      </c>
      <c r="D1345" t="n">
        <v>55.89435</v>
      </c>
      <c r="E1345" t="n">
        <v>37.64167</v>
      </c>
      <c r="F1345" t="inlineStr"/>
      <c r="G1345" t="inlineStr"/>
      <c r="H1345" t="inlineStr"/>
    </row>
    <row r="1346">
      <c r="A1346" t="inlineStr">
        <is>
          <t>63a863e2-c507-4acb-8a65-63c77ed40242.jpg</t>
        </is>
      </c>
      <c r="B1346">
        <f>HYPERLINK("Объекты недвижимости, не соответствующие градостроительным нормам_00-022_Август/63a863e2-c507-4acb-8a65-63c77ed40242.jpg","open")</f>
        <v/>
      </c>
      <c r="C1346" t="inlineStr">
        <is>
          <t>ed2bf0f1-3a66-4913-896e-4420a9796c0b</t>
        </is>
      </c>
      <c r="D1346" t="n">
        <v>55.68305</v>
      </c>
      <c r="E1346" t="n">
        <v>37.51444</v>
      </c>
      <c r="F1346" t="inlineStr"/>
      <c r="G1346" t="inlineStr"/>
      <c r="H1346" t="inlineStr"/>
    </row>
    <row r="1347">
      <c r="A1347" t="inlineStr">
        <is>
          <t>c919d6cd-13af-4158-bbed-4838a1798130.jpg</t>
        </is>
      </c>
      <c r="B1347">
        <f>HYPERLINK("Объекты недвижимости, не соответствующие градостроительным нормам_00-022_Август/c919d6cd-13af-4158-bbed-4838a1798130.jpg","open")</f>
        <v/>
      </c>
      <c r="C1347" t="inlineStr">
        <is>
          <t>1a55986c-2c3f-40c0-b3d1-014dce77832e</t>
        </is>
      </c>
      <c r="D1347" t="n">
        <v>55.68445</v>
      </c>
      <c r="E1347" t="n">
        <v>37.51958</v>
      </c>
      <c r="F1347" t="inlineStr"/>
      <c r="G1347" t="inlineStr"/>
      <c r="H1347" t="inlineStr"/>
    </row>
    <row r="1348">
      <c r="A1348" t="inlineStr">
        <is>
          <t>f1309e69-3274-4373-abd8-5e07780726e1.jpg</t>
        </is>
      </c>
      <c r="B1348">
        <f>HYPERLINK("Объекты недвижимости, не соответствующие градостроительным нормам_00-022_Август/f1309e69-3274-4373-abd8-5e07780726e1.jpg","open")</f>
        <v/>
      </c>
      <c r="C1348" t="inlineStr">
        <is>
          <t>0dd30d74-4dbc-46a8-b638-91e1431bb398</t>
        </is>
      </c>
      <c r="D1348" t="n">
        <v>55.65278</v>
      </c>
      <c r="E1348" t="n">
        <v>37.34542</v>
      </c>
      <c r="F1348" t="inlineStr"/>
      <c r="G1348" t="inlineStr"/>
      <c r="H1348" t="inlineStr"/>
    </row>
    <row r="1349">
      <c r="A1349" t="inlineStr">
        <is>
          <t>25daba70-79ca-4352-a876-dc93ba7e01be.jpg</t>
        </is>
      </c>
      <c r="B1349">
        <f>HYPERLINK("Объекты недвижимости, не соответствующие градостроительным нормам_00-022_Август/25daba70-79ca-4352-a876-dc93ba7e01be.jpg","open")</f>
        <v/>
      </c>
      <c r="C1349" t="inlineStr">
        <is>
          <t>93848fc8-17e7-4748-9ebc-c7e379e11d2f</t>
        </is>
      </c>
      <c r="D1349" t="n">
        <v>55.65278</v>
      </c>
      <c r="E1349" t="n">
        <v>37.34542</v>
      </c>
      <c r="F1349" t="inlineStr"/>
      <c r="G1349" t="inlineStr"/>
      <c r="H1349" t="inlineStr"/>
    </row>
    <row r="1350">
      <c r="A1350" t="inlineStr">
        <is>
          <t>c9477a4a-96b6-4b3c-85ba-4e14218d4d98.jpg</t>
        </is>
      </c>
      <c r="B1350">
        <f>HYPERLINK("Объекты недвижимости, не соответствующие градостроительным нормам_00-022_Август/c9477a4a-96b6-4b3c-85ba-4e14218d4d98.jpg","open")</f>
        <v/>
      </c>
      <c r="C1350" t="inlineStr">
        <is>
          <t>93848fc8-17e7-4748-9ebc-c7e379e11d2f</t>
        </is>
      </c>
      <c r="D1350" t="n">
        <v>55.65475</v>
      </c>
      <c r="E1350" t="n">
        <v>37.34783</v>
      </c>
      <c r="F1350" t="inlineStr"/>
      <c r="G1350" t="inlineStr"/>
      <c r="H1350" t="inlineStr"/>
    </row>
    <row r="1351">
      <c r="A1351" t="inlineStr">
        <is>
          <t>20691dea-5400-499f-8671-fb8771966183.jpg</t>
        </is>
      </c>
      <c r="B1351">
        <f>HYPERLINK("Объекты недвижимости, не соответствующие градостроительным нормам_00-022_Август/20691dea-5400-499f-8671-fb8771966183.jpg","open")</f>
        <v/>
      </c>
      <c r="C1351" t="inlineStr">
        <is>
          <t>cbf95b01-f708-45a3-9ec0-3603469b538e</t>
        </is>
      </c>
      <c r="D1351" t="n">
        <v>55.88005</v>
      </c>
      <c r="E1351" t="n">
        <v>37.59596</v>
      </c>
      <c r="F1351" t="inlineStr"/>
      <c r="G1351" t="inlineStr"/>
      <c r="H1351" t="inlineStr"/>
    </row>
    <row r="1352">
      <c r="A1352" t="inlineStr">
        <is>
          <t>eaeac259-5eea-4741-a740-b9bb5727fef4.jpg</t>
        </is>
      </c>
      <c r="B1352">
        <f>HYPERLINK("Объекты недвижимости, не соответствующие градостроительным нормам_00-022_Август/eaeac259-5eea-4741-a740-b9bb5727fef4.jpg","open")</f>
        <v/>
      </c>
      <c r="C1352" t="inlineStr">
        <is>
          <t>797901ad-53b1-41b8-99d1-d59d59c863d5</t>
        </is>
      </c>
      <c r="D1352" t="n">
        <v>55.77953</v>
      </c>
      <c r="E1352" t="n">
        <v>37.73259</v>
      </c>
      <c r="F1352" t="inlineStr"/>
      <c r="G1352" t="inlineStr"/>
      <c r="H1352" t="inlineStr"/>
    </row>
    <row r="1353">
      <c r="A1353" t="inlineStr">
        <is>
          <t>2172a534-f8c0-427b-b1f1-88c1d2718d74.jpg</t>
        </is>
      </c>
      <c r="B1353">
        <f>HYPERLINK("Объекты недвижимости, не соответствующие градостроительным нормам_00-022_Август/2172a534-f8c0-427b-b1f1-88c1d2718d74.jpg","open")</f>
        <v/>
      </c>
      <c r="C1353" t="inlineStr">
        <is>
          <t>ed2bf0f1-3a66-4913-896e-4420a9796c0b</t>
        </is>
      </c>
      <c r="D1353" t="n">
        <v>55.71692</v>
      </c>
      <c r="E1353" t="n">
        <v>37.56878</v>
      </c>
      <c r="F1353" t="inlineStr"/>
      <c r="G1353" t="inlineStr"/>
      <c r="H1353" t="inlineStr"/>
    </row>
    <row r="1354">
      <c r="A1354" t="inlineStr">
        <is>
          <t>5d125b19-5c17-4e50-afeb-1cf7e2248808.jpg</t>
        </is>
      </c>
      <c r="B1354">
        <f>HYPERLINK("Объекты недвижимости, не соответствующие градостроительным нормам_00-022_Август/5d125b19-5c17-4e50-afeb-1cf7e2248808.jpg","open")</f>
        <v/>
      </c>
      <c r="C1354" t="inlineStr">
        <is>
          <t>cbf95b01-f708-45a3-9ec0-3603469b538e</t>
        </is>
      </c>
      <c r="D1354" t="n">
        <v>55.85537</v>
      </c>
      <c r="E1354" t="n">
        <v>37.57748</v>
      </c>
      <c r="F1354" t="inlineStr"/>
      <c r="G1354" t="inlineStr"/>
      <c r="H1354" t="inlineStr"/>
    </row>
    <row r="1355">
      <c r="A1355" t="inlineStr">
        <is>
          <t>c4acf208-8a5a-4ca5-8b6a-d760e557f3f0.jpg</t>
        </is>
      </c>
      <c r="B1355">
        <f>HYPERLINK("Объекты недвижимости, не соответствующие градостроительным нормам_00-022_Август/c4acf208-8a5a-4ca5-8b6a-d760e557f3f0.jpg","open")</f>
        <v/>
      </c>
      <c r="C1355" t="inlineStr">
        <is>
          <t>cbf95b01-f708-45a3-9ec0-3603469b538e</t>
        </is>
      </c>
      <c r="D1355" t="n">
        <v>55.85515</v>
      </c>
      <c r="E1355" t="n">
        <v>37.57372</v>
      </c>
      <c r="F1355" t="inlineStr"/>
      <c r="G1355" t="inlineStr"/>
      <c r="H1355" t="inlineStr"/>
    </row>
    <row r="1356">
      <c r="A1356" t="inlineStr">
        <is>
          <t>7752419d-4eaf-4718-bc04-ed584e79345d.jpg</t>
        </is>
      </c>
      <c r="B1356">
        <f>HYPERLINK("Объекты недвижимости, не соответствующие градостроительным нормам_00-022_Август/7752419d-4eaf-4718-bc04-ed584e79345d.jpg","open")</f>
        <v/>
      </c>
      <c r="C1356" t="inlineStr">
        <is>
          <t>cbf95b01-f708-45a3-9ec0-3603469b538e</t>
        </is>
      </c>
      <c r="D1356" t="n">
        <v>55.85389</v>
      </c>
      <c r="E1356" t="n">
        <v>37.56326</v>
      </c>
      <c r="F1356" t="inlineStr"/>
      <c r="G1356" t="inlineStr"/>
      <c r="H1356" t="inlineStr"/>
    </row>
    <row r="1357">
      <c r="A1357" t="inlineStr">
        <is>
          <t>f665e1d0-8973-4bf9-8a25-eb53606161e9.jpg</t>
        </is>
      </c>
      <c r="B1357">
        <f>HYPERLINK("Объекты недвижимости, не соответствующие градостроительным нормам_00-022_Август/f665e1d0-8973-4bf9-8a25-eb53606161e9.jpg","open")</f>
        <v/>
      </c>
      <c r="C1357" t="inlineStr">
        <is>
          <t>cbf95b01-f708-45a3-9ec0-3603469b538e</t>
        </is>
      </c>
      <c r="D1357" t="n">
        <v>55.82965</v>
      </c>
      <c r="E1357" t="n">
        <v>37.57286</v>
      </c>
      <c r="F1357" t="inlineStr"/>
      <c r="G1357" t="inlineStr"/>
      <c r="H1357" t="inlineStr"/>
    </row>
    <row r="1358">
      <c r="A1358" t="inlineStr">
        <is>
          <t>b56fa280-4fee-4a7b-a6dd-c9b7db9b3450.jpg</t>
        </is>
      </c>
      <c r="B1358">
        <f>HYPERLINK("Объекты недвижимости, не соответствующие градостроительным нормам_00-022_Август/b56fa280-4fee-4a7b-a6dd-c9b7db9b3450.jpg","open")</f>
        <v/>
      </c>
      <c r="C1358" t="inlineStr">
        <is>
          <t>1c951e11-4940-43c6-a447-394097e5609a</t>
        </is>
      </c>
      <c r="D1358" t="n">
        <v>55.64358</v>
      </c>
      <c r="E1358" t="n">
        <v>37.32903</v>
      </c>
      <c r="F1358" t="inlineStr"/>
      <c r="G1358" t="inlineStr"/>
      <c r="H1358" t="inlineStr"/>
    </row>
    <row r="1359">
      <c r="A1359" t="inlineStr">
        <is>
          <t>bd377ddb-c017-4400-99c2-bb8ade2e5d07.jpg</t>
        </is>
      </c>
      <c r="B1359">
        <f>HYPERLINK("Объекты недвижимости, не соответствующие градостроительным нормам_00-022_Август/bd377ddb-c017-4400-99c2-bb8ade2e5d07.jpg","open")</f>
        <v/>
      </c>
      <c r="C1359" t="inlineStr">
        <is>
          <t>cbf95b01-f708-45a3-9ec0-3603469b538e</t>
        </is>
      </c>
      <c r="D1359" t="n">
        <v>55.79603</v>
      </c>
      <c r="E1359" t="n">
        <v>37.58428</v>
      </c>
      <c r="F1359" t="inlineStr"/>
      <c r="G1359" t="inlineStr"/>
      <c r="H1359" t="inlineStr"/>
    </row>
    <row r="1360">
      <c r="A1360" t="inlineStr">
        <is>
          <t>40aeb468-51e2-48bb-b178-b4be2c7c60d8.jpg</t>
        </is>
      </c>
      <c r="B1360">
        <f>HYPERLINK("Объекты недвижимости, не соответствующие градостроительным нормам_00-022_Август/40aeb468-51e2-48bb-b178-b4be2c7c60d8.jpg","open")</f>
        <v/>
      </c>
      <c r="C1360" t="inlineStr">
        <is>
          <t>cbf95b01-f708-45a3-9ec0-3603469b538e</t>
        </is>
      </c>
      <c r="D1360" t="n">
        <v>55.79567</v>
      </c>
      <c r="E1360" t="n">
        <v>37.58434</v>
      </c>
      <c r="F1360" t="inlineStr"/>
      <c r="G1360" t="inlineStr"/>
      <c r="H1360" t="inlineStr"/>
    </row>
    <row r="1361">
      <c r="A1361" t="inlineStr">
        <is>
          <t>2bd40b7d-e6e2-4203-bdb7-e47389348f2d.jpg</t>
        </is>
      </c>
      <c r="B1361">
        <f>HYPERLINK("Объекты недвижимости, не соответствующие градостроительным нормам_00-022_Август/2bd40b7d-e6e2-4203-bdb7-e47389348f2d.jpg","open")</f>
        <v/>
      </c>
      <c r="C1361" t="inlineStr">
        <is>
          <t>cbf95b01-f708-45a3-9ec0-3603469b538e</t>
        </is>
      </c>
      <c r="D1361" t="n">
        <v>55.79189</v>
      </c>
      <c r="E1361" t="n">
        <v>37.58858</v>
      </c>
      <c r="F1361" t="inlineStr"/>
      <c r="G1361" t="inlineStr"/>
      <c r="H1361" t="inlineStr"/>
    </row>
    <row r="1362">
      <c r="A1362" t="inlineStr">
        <is>
          <t>9f8cd118-6ae1-434f-b523-83523d8f1f1c.jpg</t>
        </is>
      </c>
      <c r="B1362">
        <f>HYPERLINK("Объекты недвижимости, не соответствующие градостроительным нормам_00-022_Август/9f8cd118-6ae1-434f-b523-83523d8f1f1c.jpg","open")</f>
        <v/>
      </c>
      <c r="C1362" t="inlineStr">
        <is>
          <t>cbf95b01-f708-45a3-9ec0-3603469b538e</t>
        </is>
      </c>
      <c r="D1362" t="n">
        <v>55.79013</v>
      </c>
      <c r="E1362" t="n">
        <v>37.58868</v>
      </c>
      <c r="F1362" t="inlineStr"/>
      <c r="G1362" t="inlineStr"/>
      <c r="H1362" t="inlineStr"/>
    </row>
    <row r="1363">
      <c r="A1363" t="inlineStr">
        <is>
          <t>de4365c3-e314-4d8c-b6f6-dc4a93209b5b.jpg</t>
        </is>
      </c>
      <c r="B1363">
        <f>HYPERLINK("Объекты недвижимости, не соответствующие градостроительным нормам_00-022_Август/de4365c3-e314-4d8c-b6f6-dc4a93209b5b.jpg","open")</f>
        <v/>
      </c>
      <c r="C1363" t="inlineStr">
        <is>
          <t>ed2bf0f1-3a66-4913-896e-4420a9796c0b</t>
        </is>
      </c>
      <c r="D1363" t="n">
        <v>55.76882</v>
      </c>
      <c r="E1363" t="n">
        <v>37.27869</v>
      </c>
      <c r="F1363" t="inlineStr"/>
      <c r="G1363" t="inlineStr"/>
      <c r="H1363" t="inlineStr"/>
    </row>
    <row r="1364">
      <c r="A1364" t="inlineStr">
        <is>
          <t>77df2498-cd56-4159-9545-3291efefcb8c.jpg</t>
        </is>
      </c>
      <c r="B1364">
        <f>HYPERLINK("Объекты недвижимости, не соответствующие градостроительным нормам_00-022_Август/77df2498-cd56-4159-9545-3291efefcb8c.jpg","open")</f>
        <v/>
      </c>
      <c r="C1364" t="inlineStr">
        <is>
          <t>1a55986c-2c3f-40c0-b3d1-014dce77832e</t>
        </is>
      </c>
      <c r="D1364" t="n">
        <v>55.76882</v>
      </c>
      <c r="E1364" t="n">
        <v>37.27869</v>
      </c>
      <c r="F1364" t="inlineStr"/>
      <c r="G1364" t="inlineStr"/>
      <c r="H1364" t="inlineStr"/>
    </row>
    <row r="1365">
      <c r="A1365" t="inlineStr">
        <is>
          <t>cea73282-5981-4aae-b7a4-18621d05116a.jpg</t>
        </is>
      </c>
      <c r="B1365">
        <f>HYPERLINK("Объекты недвижимости, не соответствующие градостроительным нормам_00-022_Август/cea73282-5981-4aae-b7a4-18621d05116a.jpg","open")</f>
        <v/>
      </c>
      <c r="C1365" t="inlineStr">
        <is>
          <t>48b533d5-d106-4175-ac9b-d5ce8d90cccf</t>
        </is>
      </c>
      <c r="D1365" t="n">
        <v>55.75626</v>
      </c>
      <c r="E1365" t="n">
        <v>37.78968</v>
      </c>
      <c r="F1365" t="inlineStr"/>
      <c r="G1365" t="inlineStr"/>
      <c r="H1365" t="inlineStr"/>
    </row>
    <row r="1366">
      <c r="A1366" t="inlineStr">
        <is>
          <t>3961f000-3352-4f47-ae0a-2cb34c6e6fd8.jpg</t>
        </is>
      </c>
      <c r="B1366">
        <f>HYPERLINK("Объекты недвижимости, не соответствующие градостроительным нормам_00-022_Август/3961f000-3352-4f47-ae0a-2cb34c6e6fd8.jpg","open")</f>
        <v/>
      </c>
      <c r="C1366" t="inlineStr">
        <is>
          <t>8996eb30-6497-4318-8a0e-b95314b8172e</t>
        </is>
      </c>
      <c r="D1366" t="n">
        <v>55.75624</v>
      </c>
      <c r="E1366" t="n">
        <v>37.78958</v>
      </c>
      <c r="F1366" t="inlineStr"/>
      <c r="G1366" t="inlineStr"/>
      <c r="H1366" t="inlineStr"/>
    </row>
    <row r="1367">
      <c r="A1367" t="inlineStr">
        <is>
          <t>26f5ebee-8247-4385-b8e7-c78d68658f24.jpg</t>
        </is>
      </c>
      <c r="B1367">
        <f>HYPERLINK("Объекты недвижимости, не соответствующие градостроительным нормам_00-022_Август/26f5ebee-8247-4385-b8e7-c78d68658f24.jpg","open")</f>
        <v/>
      </c>
      <c r="C1367" t="inlineStr">
        <is>
          <t>cbf95b01-f708-45a3-9ec0-3603469b538e</t>
        </is>
      </c>
      <c r="D1367" t="n">
        <v>55.78047</v>
      </c>
      <c r="E1367" t="n">
        <v>37.59964</v>
      </c>
      <c r="F1367" t="inlineStr"/>
      <c r="G1367" t="inlineStr"/>
      <c r="H1367" t="inlineStr"/>
    </row>
    <row r="1368">
      <c r="A1368" t="inlineStr">
        <is>
          <t>a6934285-6c84-4a1b-91ca-42800ce547cd.jpg</t>
        </is>
      </c>
      <c r="B1368">
        <f>HYPERLINK("Объекты недвижимости, не соответствующие градостроительным нормам_00-022_Август/a6934285-6c84-4a1b-91ca-42800ce547cd.jpg","open")</f>
        <v/>
      </c>
      <c r="C1368" t="inlineStr">
        <is>
          <t>a1a9db89-3f74-42ef-8fad-ad69705102cd</t>
        </is>
      </c>
      <c r="D1368" t="n">
        <v>55.78047</v>
      </c>
      <c r="E1368" t="n">
        <v>37.59964</v>
      </c>
      <c r="F1368" t="inlineStr"/>
      <c r="G1368" t="inlineStr"/>
      <c r="H1368" t="inlineStr"/>
    </row>
    <row r="1369">
      <c r="A1369" t="inlineStr">
        <is>
          <t>5a7dc2cb-2b2f-496a-8b94-e4f09b049388.jpg</t>
        </is>
      </c>
      <c r="B1369">
        <f>HYPERLINK("Объекты недвижимости, не соответствующие градостроительным нормам_00-022_Август/5a7dc2cb-2b2f-496a-8b94-e4f09b049388.jpg","open")</f>
        <v/>
      </c>
      <c r="C1369" t="inlineStr">
        <is>
          <t>a1a9db89-3f74-42ef-8fad-ad69705102cd</t>
        </is>
      </c>
      <c r="D1369" t="n">
        <v>55.78047</v>
      </c>
      <c r="E1369" t="n">
        <v>37.59964</v>
      </c>
      <c r="F1369" t="inlineStr"/>
      <c r="G1369" t="inlineStr"/>
      <c r="H1369" t="inlineStr"/>
    </row>
    <row r="1370">
      <c r="A1370" t="inlineStr">
        <is>
          <t>6f49298e-4c0a-4744-8b29-e788404e9165.jpg</t>
        </is>
      </c>
      <c r="B1370">
        <f>HYPERLINK("Объекты недвижимости, не соответствующие градостроительным нормам_00-022_Август/6f49298e-4c0a-4744-8b29-e788404e9165.jpg","open")</f>
        <v/>
      </c>
      <c r="C1370" t="inlineStr">
        <is>
          <t>cbf95b01-f708-45a3-9ec0-3603469b538e</t>
        </is>
      </c>
      <c r="D1370" t="n">
        <v>55.83258</v>
      </c>
      <c r="E1370" t="n">
        <v>37.58959</v>
      </c>
      <c r="F1370" t="inlineStr"/>
      <c r="G1370" t="inlineStr"/>
      <c r="H1370" t="inlineStr"/>
    </row>
    <row r="1371">
      <c r="A1371" t="inlineStr">
        <is>
          <t>c9ed67b4-cdf8-4965-a7d4-7631a4ae9708.jpg</t>
        </is>
      </c>
      <c r="B1371">
        <f>HYPERLINK("Объекты недвижимости, не соответствующие градостроительным нормам_00-022_Август/c9ed67b4-cdf8-4965-a7d4-7631a4ae9708.jpg","open")</f>
        <v/>
      </c>
      <c r="C1371" t="inlineStr">
        <is>
          <t>cbf95b01-f708-45a3-9ec0-3603469b538e</t>
        </is>
      </c>
      <c r="D1371" t="n">
        <v>55.83133</v>
      </c>
      <c r="E1371" t="n">
        <v>37.59608</v>
      </c>
      <c r="F1371" t="inlineStr"/>
      <c r="G1371" t="inlineStr"/>
      <c r="H1371" t="inlineStr"/>
    </row>
    <row r="1372">
      <c r="A1372" t="inlineStr">
        <is>
          <t>9a1d0767-7a19-4c9d-8ed6-3e5ba1cea5b3.jpg</t>
        </is>
      </c>
      <c r="B1372">
        <f>HYPERLINK("Объекты недвижимости, не соответствующие градостроительным нормам_00-022_Август/9a1d0767-7a19-4c9d-8ed6-3e5ba1cea5b3.jpg","open")</f>
        <v/>
      </c>
      <c r="C1372" t="inlineStr">
        <is>
          <t>cbf95b01-f708-45a3-9ec0-3603469b538e</t>
        </is>
      </c>
      <c r="D1372" t="n">
        <v>55.83133</v>
      </c>
      <c r="E1372" t="n">
        <v>37.59608</v>
      </c>
      <c r="F1372" t="inlineStr"/>
      <c r="G1372" t="inlineStr"/>
      <c r="H1372" t="inlineStr"/>
    </row>
    <row r="1373">
      <c r="A1373" t="inlineStr">
        <is>
          <t>7c62d4be-32c1-4299-ac5b-72345bcf1b17.jpg</t>
        </is>
      </c>
      <c r="B1373">
        <f>HYPERLINK("Объекты недвижимости, не соответствующие градостроительным нормам_00-022_Август/7c62d4be-32c1-4299-ac5b-72345bcf1b17.jpg","open")</f>
        <v/>
      </c>
      <c r="C1373" t="inlineStr">
        <is>
          <t>1c951e11-4940-43c6-a447-394097e5609a</t>
        </is>
      </c>
      <c r="D1373" t="n">
        <v>55.60331</v>
      </c>
      <c r="E1373" t="n">
        <v>37.35916</v>
      </c>
      <c r="F1373" t="inlineStr"/>
      <c r="G1373" t="inlineStr"/>
      <c r="H1373" t="inlineStr"/>
    </row>
    <row r="1374">
      <c r="A1374" t="inlineStr">
        <is>
          <t>9a594e50-6d3e-4b87-82e1-16bbd663c89e.jpg</t>
        </is>
      </c>
      <c r="B1374">
        <f>HYPERLINK("Объекты недвижимости, не соответствующие градостроительным нормам_00-022_Август/9a594e50-6d3e-4b87-82e1-16bbd663c89e.jpg","open")</f>
        <v/>
      </c>
      <c r="C1374" t="inlineStr">
        <is>
          <t>a1a9db89-3f74-42ef-8fad-ad69705102cd</t>
        </is>
      </c>
      <c r="D1374" t="n">
        <v>55.83133</v>
      </c>
      <c r="E1374" t="n">
        <v>37.59608</v>
      </c>
      <c r="F1374" t="inlineStr"/>
      <c r="G1374" t="inlineStr"/>
      <c r="H1374" t="inlineStr"/>
    </row>
    <row r="1375">
      <c r="A1375" t="inlineStr">
        <is>
          <t>744d6793-b834-4e2f-9c62-7aba222ec159.jpg</t>
        </is>
      </c>
      <c r="B1375">
        <f>HYPERLINK("Объекты недвижимости, не соответствующие градостроительным нормам_00-022_Август/744d6793-b834-4e2f-9c62-7aba222ec159.jpg","open")</f>
        <v/>
      </c>
      <c r="C1375" t="inlineStr">
        <is>
          <t>cbf95b01-f708-45a3-9ec0-3603469b538e</t>
        </is>
      </c>
      <c r="D1375" t="n">
        <v>55.83133</v>
      </c>
      <c r="E1375" t="n">
        <v>37.59608</v>
      </c>
      <c r="F1375" t="inlineStr"/>
      <c r="G1375" t="inlineStr"/>
      <c r="H1375" t="inlineStr"/>
    </row>
    <row r="1376">
      <c r="A1376" t="inlineStr">
        <is>
          <t>9a94985b-3927-484b-ae42-8445715e7508.jpg</t>
        </is>
      </c>
      <c r="B1376">
        <f>HYPERLINK("Объекты недвижимости, не соответствующие градостроительным нормам_00-022_Август/9a94985b-3927-484b-ae42-8445715e7508.jpg","open")</f>
        <v/>
      </c>
      <c r="C1376" t="inlineStr">
        <is>
          <t>cbf95b01-f708-45a3-9ec0-3603469b538e</t>
        </is>
      </c>
      <c r="D1376" t="n">
        <v>55.83133</v>
      </c>
      <c r="E1376" t="n">
        <v>37.59608</v>
      </c>
      <c r="F1376" t="inlineStr"/>
      <c r="G1376" t="inlineStr"/>
      <c r="H1376" t="inlineStr"/>
    </row>
    <row r="1377">
      <c r="A1377" t="inlineStr">
        <is>
          <t>8a816748-a7f2-486c-87c2-56bedc490a9a.jpg</t>
        </is>
      </c>
      <c r="B1377">
        <f>HYPERLINK("Объекты недвижимости, не соответствующие градостроительным нормам_00-022_Август/8a816748-a7f2-486c-87c2-56bedc490a9a.jpg","open")</f>
        <v/>
      </c>
      <c r="C1377" t="inlineStr">
        <is>
          <t>cbf95b01-f708-45a3-9ec0-3603469b538e</t>
        </is>
      </c>
      <c r="D1377" t="n">
        <v>55.83133</v>
      </c>
      <c r="E1377" t="n">
        <v>37.59608</v>
      </c>
      <c r="F1377" t="inlineStr"/>
      <c r="G1377" t="inlineStr"/>
      <c r="H1377" t="inlineStr"/>
    </row>
    <row r="1378">
      <c r="A1378" t="inlineStr">
        <is>
          <t>f910d35f-be71-4f8b-ae2f-55f87b8f3197.jpg</t>
        </is>
      </c>
      <c r="B1378">
        <f>HYPERLINK("Объекты недвижимости, не соответствующие градостроительным нормам_00-022_Август/f910d35f-be71-4f8b-ae2f-55f87b8f3197.jpg","open")</f>
        <v/>
      </c>
      <c r="C1378" t="inlineStr">
        <is>
          <t>cbf95b01-f708-45a3-9ec0-3603469b538e</t>
        </is>
      </c>
      <c r="D1378" t="n">
        <v>55.83133</v>
      </c>
      <c r="E1378" t="n">
        <v>37.59608</v>
      </c>
      <c r="F1378" t="inlineStr"/>
      <c r="G1378" t="inlineStr"/>
      <c r="H1378" t="inlineStr"/>
    </row>
    <row r="1379">
      <c r="A1379" t="inlineStr">
        <is>
          <t>6baeb9e7-952e-4b34-9a34-d49a1ae94605.jpg</t>
        </is>
      </c>
      <c r="B1379">
        <f>HYPERLINK("Объекты недвижимости, не соответствующие градостроительным нормам_00-022_Август/6baeb9e7-952e-4b34-9a34-d49a1ae94605.jpg","open")</f>
        <v/>
      </c>
      <c r="C1379" t="inlineStr">
        <is>
          <t>cbf95b01-f708-45a3-9ec0-3603469b538e</t>
        </is>
      </c>
      <c r="D1379" t="n">
        <v>55.83133</v>
      </c>
      <c r="E1379" t="n">
        <v>37.59608</v>
      </c>
      <c r="F1379" t="inlineStr"/>
      <c r="G1379" t="inlineStr"/>
      <c r="H1379" t="inlineStr"/>
    </row>
    <row r="1380">
      <c r="A1380" t="inlineStr">
        <is>
          <t>8e3dca28-060c-4fdd-8ea8-76df17c59be9.jpg</t>
        </is>
      </c>
      <c r="B1380">
        <f>HYPERLINK("Объекты недвижимости, не соответствующие градостроительным нормам_00-022_Август/8e3dca28-060c-4fdd-8ea8-76df17c59be9.jpg","open")</f>
        <v/>
      </c>
      <c r="C1380" t="inlineStr">
        <is>
          <t>a1a9db89-3f74-42ef-8fad-ad69705102cd</t>
        </is>
      </c>
      <c r="D1380" t="n">
        <v>55.83133</v>
      </c>
      <c r="E1380" t="n">
        <v>37.59608</v>
      </c>
      <c r="F1380" t="inlineStr"/>
      <c r="G1380" t="inlineStr"/>
      <c r="H1380" t="inlineStr"/>
    </row>
    <row r="1381">
      <c r="A1381" t="inlineStr">
        <is>
          <t>8e04a9bc-570b-48fd-8d62-628def450e48.jpg</t>
        </is>
      </c>
      <c r="B1381">
        <f>HYPERLINK("Объекты недвижимости, не соответствующие градостроительным нормам_00-022_Август/8e04a9bc-570b-48fd-8d62-628def450e48.jpg","open")</f>
        <v/>
      </c>
      <c r="C1381" t="inlineStr">
        <is>
          <t>a1a9db89-3f74-42ef-8fad-ad69705102cd</t>
        </is>
      </c>
      <c r="D1381" t="n">
        <v>54.82396</v>
      </c>
      <c r="E1381" t="n">
        <v>35.2511</v>
      </c>
      <c r="F1381" t="inlineStr"/>
      <c r="G1381" t="inlineStr"/>
      <c r="H1381" t="inlineStr"/>
    </row>
    <row r="1382">
      <c r="A1382" t="inlineStr">
        <is>
          <t>52cdc708-710d-43dd-8ca3-f2ee49acf077.jpg</t>
        </is>
      </c>
      <c r="B1382">
        <f>HYPERLINK("Объекты недвижимости, не соответствующие градостроительным нормам_00-022_Август/52cdc708-710d-43dd-8ca3-f2ee49acf077.jpg","open")</f>
        <v/>
      </c>
      <c r="C1382" t="inlineStr">
        <is>
          <t>cbf95b01-f708-45a3-9ec0-3603469b538e</t>
        </is>
      </c>
      <c r="D1382" t="n">
        <v>54.82396</v>
      </c>
      <c r="E1382" t="n">
        <v>35.2511</v>
      </c>
      <c r="F1382" t="inlineStr"/>
      <c r="G1382" t="inlineStr"/>
      <c r="H1382" t="inlineStr"/>
    </row>
    <row r="1383">
      <c r="A1383" t="inlineStr">
        <is>
          <t>01093572-f3f8-49df-9c2c-0065e685bbfe.jpg</t>
        </is>
      </c>
      <c r="B1383">
        <f>HYPERLINK("Объекты недвижимости, не соответствующие градостроительным нормам_00-022_Август/01093572-f3f8-49df-9c2c-0065e685bbfe.jpg","open")</f>
        <v/>
      </c>
      <c r="C1383" t="inlineStr">
        <is>
          <t>cbf95b01-f708-45a3-9ec0-3603469b538e</t>
        </is>
      </c>
      <c r="D1383" t="n">
        <v>54.82396</v>
      </c>
      <c r="E1383" t="n">
        <v>35.2511</v>
      </c>
      <c r="F1383" t="inlineStr"/>
      <c r="G1383" t="inlineStr"/>
      <c r="H1383" t="inlineStr"/>
    </row>
    <row r="1384">
      <c r="A1384" t="inlineStr">
        <is>
          <t>65611bbf-01f0-4e10-a4ce-de8edce9cbf7.jpg</t>
        </is>
      </c>
      <c r="B1384">
        <f>HYPERLINK("Объекты недвижимости, не соответствующие градостроительным нормам_00-022_Август/65611bbf-01f0-4e10-a4ce-de8edce9cbf7.jpg","open")</f>
        <v/>
      </c>
      <c r="C1384" t="inlineStr">
        <is>
          <t>cbf95b01-f708-45a3-9ec0-3603469b538e</t>
        </is>
      </c>
      <c r="D1384" t="n">
        <v>54.82396</v>
      </c>
      <c r="E1384" t="n">
        <v>35.2511</v>
      </c>
      <c r="F1384" t="inlineStr"/>
      <c r="G1384" t="inlineStr"/>
      <c r="H1384" t="inlineStr"/>
    </row>
    <row r="1385">
      <c r="A1385" t="inlineStr">
        <is>
          <t>feee8d4f-9add-4081-bc39-b5949c310d86.jpg</t>
        </is>
      </c>
      <c r="B1385">
        <f>HYPERLINK("Объекты недвижимости, не соответствующие градостроительным нормам_00-022_Август/feee8d4f-9add-4081-bc39-b5949c310d86.jpg","open")</f>
        <v/>
      </c>
      <c r="C1385" t="inlineStr">
        <is>
          <t>cbf95b01-f708-45a3-9ec0-3603469b538e</t>
        </is>
      </c>
      <c r="D1385" t="n">
        <v>54.82396</v>
      </c>
      <c r="E1385" t="n">
        <v>35.2511</v>
      </c>
      <c r="F1385" t="inlineStr"/>
      <c r="G1385" t="inlineStr"/>
      <c r="H1385" t="inlineStr"/>
    </row>
    <row r="1386">
      <c r="A1386" t="inlineStr">
        <is>
          <t>78f634de-3f8b-49f0-b208-7e19ce0ee572.jpg</t>
        </is>
      </c>
      <c r="B1386">
        <f>HYPERLINK("Объекты недвижимости, не соответствующие градостроительным нормам_00-022_Август/78f634de-3f8b-49f0-b208-7e19ce0ee572.jpg","open")</f>
        <v/>
      </c>
      <c r="C1386" t="inlineStr">
        <is>
          <t>cbf95b01-f708-45a3-9ec0-3603469b538e</t>
        </is>
      </c>
      <c r="D1386" t="n">
        <v>54.82396</v>
      </c>
      <c r="E1386" t="n">
        <v>35.2511</v>
      </c>
      <c r="F1386" t="inlineStr"/>
      <c r="G1386" t="inlineStr"/>
      <c r="H1386" t="inlineStr"/>
    </row>
    <row r="1387">
      <c r="A1387" t="inlineStr">
        <is>
          <t>ea40bb78-2a7b-4441-9298-a2af1f3e15e8.jpg</t>
        </is>
      </c>
      <c r="B1387">
        <f>HYPERLINK("Объекты недвижимости, не соответствующие градостроительным нормам_00-022_Август/ea40bb78-2a7b-4441-9298-a2af1f3e15e8.jpg","open")</f>
        <v/>
      </c>
      <c r="C1387" t="inlineStr">
        <is>
          <t>cbf95b01-f708-45a3-9ec0-3603469b538e</t>
        </is>
      </c>
      <c r="D1387" t="n">
        <v>54.82396</v>
      </c>
      <c r="E1387" t="n">
        <v>35.2511</v>
      </c>
      <c r="F1387" t="inlineStr"/>
      <c r="G1387" t="inlineStr"/>
      <c r="H1387" t="inlineStr"/>
    </row>
    <row r="1388">
      <c r="A1388" t="inlineStr">
        <is>
          <t>e8981682-d6e2-4047-a377-86a58c587df5.jpg</t>
        </is>
      </c>
      <c r="B1388">
        <f>HYPERLINK("Объекты недвижимости, не соответствующие градостроительным нормам_00-022_Август/e8981682-d6e2-4047-a377-86a58c587df5.jpg","open")</f>
        <v/>
      </c>
      <c r="C1388" t="inlineStr">
        <is>
          <t>cbf95b01-f708-45a3-9ec0-3603469b538e</t>
        </is>
      </c>
      <c r="D1388" t="n">
        <v>54.82396</v>
      </c>
      <c r="E1388" t="n">
        <v>35.2511</v>
      </c>
      <c r="F1388" t="inlineStr"/>
      <c r="G1388" t="inlineStr"/>
      <c r="H1388" t="inlineStr"/>
    </row>
    <row r="1389">
      <c r="A1389" t="inlineStr">
        <is>
          <t>dbadcac3-46c5-48ba-902e-2fc9f50d369f.jpg</t>
        </is>
      </c>
      <c r="B1389">
        <f>HYPERLINK("Объекты недвижимости, не соответствующие градостроительным нормам_00-022_Август/dbadcac3-46c5-48ba-902e-2fc9f50d369f.jpg","open")</f>
        <v/>
      </c>
      <c r="C1389" t="inlineStr">
        <is>
          <t>a1a9db89-3f74-42ef-8fad-ad69705102cd</t>
        </is>
      </c>
      <c r="D1389" t="n">
        <v>54.82396</v>
      </c>
      <c r="E1389" t="n">
        <v>35.2511</v>
      </c>
      <c r="F1389" t="inlineStr"/>
      <c r="G1389" t="inlineStr"/>
      <c r="H1389" t="inlineStr"/>
    </row>
    <row r="1390">
      <c r="A1390" t="inlineStr">
        <is>
          <t>fde2ecc0-1631-41a6-ae12-be9e31438506.jpg</t>
        </is>
      </c>
      <c r="B1390">
        <f>HYPERLINK("Объекты недвижимости, не соответствующие градостроительным нормам_00-022_Август/fde2ecc0-1631-41a6-ae12-be9e31438506.jpg","open")</f>
        <v/>
      </c>
      <c r="C1390" t="inlineStr">
        <is>
          <t>cbf95b01-f708-45a3-9ec0-3603469b538e</t>
        </is>
      </c>
      <c r="D1390" t="n">
        <v>54.82396</v>
      </c>
      <c r="E1390" t="n">
        <v>35.2511</v>
      </c>
      <c r="F1390" t="inlineStr"/>
      <c r="G1390" t="inlineStr"/>
      <c r="H1390" t="inlineStr"/>
    </row>
    <row r="1391">
      <c r="A1391" t="inlineStr">
        <is>
          <t>f4d6fb0a-5fdf-47e8-812d-17338c7376be.jpg</t>
        </is>
      </c>
      <c r="B1391">
        <f>HYPERLINK("Объекты недвижимости, не соответствующие градостроительным нормам_00-022_Август/f4d6fb0a-5fdf-47e8-812d-17338c7376be.jpg","open")</f>
        <v/>
      </c>
      <c r="C1391" t="inlineStr">
        <is>
          <t>a1a9db89-3f74-42ef-8fad-ad69705102cd</t>
        </is>
      </c>
      <c r="D1391" t="n">
        <v>54.82396</v>
      </c>
      <c r="E1391" t="n">
        <v>35.2511</v>
      </c>
      <c r="F1391" t="inlineStr"/>
      <c r="G1391" t="inlineStr"/>
      <c r="H1391" t="inlineStr"/>
    </row>
    <row r="1392">
      <c r="A1392" t="inlineStr">
        <is>
          <t>3c64a230-b1a7-46be-8ac0-445cca1cc2b1.jpg</t>
        </is>
      </c>
      <c r="B1392">
        <f>HYPERLINK("Объекты недвижимости, не соответствующие градостроительным нормам_00-022_Август/3c64a230-b1a7-46be-8ac0-445cca1cc2b1.jpg","open")</f>
        <v/>
      </c>
      <c r="C1392" t="inlineStr">
        <is>
          <t>cbf95b01-f708-45a3-9ec0-3603469b538e</t>
        </is>
      </c>
      <c r="D1392" t="n">
        <v>54.82396</v>
      </c>
      <c r="E1392" t="n">
        <v>35.2511</v>
      </c>
      <c r="F1392" t="inlineStr"/>
      <c r="G1392" t="inlineStr"/>
      <c r="H1392" t="inlineStr"/>
    </row>
    <row r="1393">
      <c r="A1393" t="inlineStr">
        <is>
          <t>be15e172-524c-4152-bfb6-3f567333dd28.jpg</t>
        </is>
      </c>
      <c r="B1393">
        <f>HYPERLINK("Объекты недвижимости, не соответствующие градостроительным нормам_00-022_Август/be15e172-524c-4152-bfb6-3f567333dd28.jpg","open")</f>
        <v/>
      </c>
      <c r="C1393" t="inlineStr">
        <is>
          <t>a1a9db89-3f74-42ef-8fad-ad69705102cd</t>
        </is>
      </c>
      <c r="D1393" t="n">
        <v>54.82396</v>
      </c>
      <c r="E1393" t="n">
        <v>35.2511</v>
      </c>
      <c r="F1393" t="inlineStr"/>
      <c r="G1393" t="inlineStr"/>
      <c r="H1393" t="inlineStr"/>
    </row>
    <row r="1394">
      <c r="A1394" t="inlineStr">
        <is>
          <t>c5cdee7a-133c-415b-aed5-03ecf401fb2a.jpg</t>
        </is>
      </c>
      <c r="B1394">
        <f>HYPERLINK("Объекты недвижимости, не соответствующие градостроительным нормам_00-022_Август/c5cdee7a-133c-415b-aed5-03ecf401fb2a.jpg","open")</f>
        <v/>
      </c>
      <c r="C1394" t="inlineStr">
        <is>
          <t>cbf95b01-f708-45a3-9ec0-3603469b538e</t>
        </is>
      </c>
      <c r="D1394" t="n">
        <v>54.82396</v>
      </c>
      <c r="E1394" t="n">
        <v>35.2511</v>
      </c>
      <c r="F1394" t="inlineStr"/>
      <c r="G1394" t="inlineStr"/>
      <c r="H1394" t="inlineStr"/>
    </row>
    <row r="1395">
      <c r="A1395" t="inlineStr">
        <is>
          <t>4213a69d-1207-4b72-afe4-d9c50d8f762a.jpg</t>
        </is>
      </c>
      <c r="B1395">
        <f>HYPERLINK("Объекты недвижимости, не соответствующие градостроительным нормам_00-022_Август/4213a69d-1207-4b72-afe4-d9c50d8f762a.jpg","open")</f>
        <v/>
      </c>
      <c r="C1395" t="inlineStr">
        <is>
          <t>a1a9db89-3f74-42ef-8fad-ad69705102cd</t>
        </is>
      </c>
      <c r="D1395" t="n">
        <v>54.82396</v>
      </c>
      <c r="E1395" t="n">
        <v>35.2511</v>
      </c>
      <c r="F1395" t="inlineStr"/>
      <c r="G1395" t="inlineStr"/>
      <c r="H1395" t="inlineStr"/>
    </row>
    <row r="1396">
      <c r="A1396" t="inlineStr">
        <is>
          <t>8f3b583a-bd2a-4560-a0ce-58465224e443.jpg</t>
        </is>
      </c>
      <c r="B1396">
        <f>HYPERLINK("Объекты недвижимости, не соответствующие градостроительным нормам_00-022_Август/8f3b583a-bd2a-4560-a0ce-58465224e443.jpg","open")</f>
        <v/>
      </c>
      <c r="C1396" t="inlineStr">
        <is>
          <t>cbf95b01-f708-45a3-9ec0-3603469b538e</t>
        </is>
      </c>
      <c r="D1396" t="n">
        <v>54.82396</v>
      </c>
      <c r="E1396" t="n">
        <v>35.2511</v>
      </c>
      <c r="F1396" t="inlineStr"/>
      <c r="G1396" t="inlineStr"/>
      <c r="H1396" t="inlineStr"/>
    </row>
    <row r="1397">
      <c r="A1397" t="inlineStr">
        <is>
          <t>7bace541-8f2f-4bc3-a323-cee856364723.jpg</t>
        </is>
      </c>
      <c r="B1397">
        <f>HYPERLINK("Объекты недвижимости, не соответствующие градостроительным нормам_00-022_Август/7bace541-8f2f-4bc3-a323-cee856364723.jpg","open")</f>
        <v/>
      </c>
      <c r="C1397" t="inlineStr">
        <is>
          <t>a1a9db89-3f74-42ef-8fad-ad69705102cd</t>
        </is>
      </c>
      <c r="D1397" t="n">
        <v>54.82396</v>
      </c>
      <c r="E1397" t="n">
        <v>35.2511</v>
      </c>
      <c r="F1397" t="inlineStr"/>
      <c r="G1397" t="inlineStr"/>
      <c r="H1397" t="inlineStr"/>
    </row>
    <row r="1398">
      <c r="A1398" t="inlineStr">
        <is>
          <t>57b0c066-d0ce-4b0b-9cab-dc3146942725.jpg</t>
        </is>
      </c>
      <c r="B1398">
        <f>HYPERLINK("Объекты недвижимости, не соответствующие градостроительным нормам_00-022_Август/57b0c066-d0ce-4b0b-9cab-dc3146942725.jpg","open")</f>
        <v/>
      </c>
      <c r="C1398" t="inlineStr">
        <is>
          <t>cbf95b01-f708-45a3-9ec0-3603469b538e</t>
        </is>
      </c>
      <c r="D1398" t="n">
        <v>54.82396</v>
      </c>
      <c r="E1398" t="n">
        <v>35.2511</v>
      </c>
      <c r="F1398" t="inlineStr"/>
      <c r="G1398" t="inlineStr"/>
      <c r="H1398" t="inlineStr"/>
    </row>
    <row r="1399">
      <c r="A1399" t="inlineStr">
        <is>
          <t>d95f5bca-5193-4ca6-8c4a-e4cee36aec1c.jpg</t>
        </is>
      </c>
      <c r="B1399">
        <f>HYPERLINK("Объекты недвижимости, не соответствующие градостроительным нормам_00-022_Август/d95f5bca-5193-4ca6-8c4a-e4cee36aec1c.jpg","open")</f>
        <v/>
      </c>
      <c r="C1399" t="inlineStr">
        <is>
          <t>a1a9db89-3f74-42ef-8fad-ad69705102cd</t>
        </is>
      </c>
      <c r="D1399" t="n">
        <v>54.82396</v>
      </c>
      <c r="E1399" t="n">
        <v>35.2511</v>
      </c>
      <c r="F1399" t="inlineStr"/>
      <c r="G1399" t="inlineStr"/>
      <c r="H1399" t="inlineStr"/>
    </row>
    <row r="1400">
      <c r="A1400" t="inlineStr">
        <is>
          <t>0c7ad02f-d724-492f-8e77-e552994404e3.jpg</t>
        </is>
      </c>
      <c r="B1400">
        <f>HYPERLINK("Объекты недвижимости, не соответствующие градостроительным нормам_00-022_Август/0c7ad02f-d724-492f-8e77-e552994404e3.jpg","open")</f>
        <v/>
      </c>
      <c r="C1400" t="inlineStr">
        <is>
          <t>cbf95b01-f708-45a3-9ec0-3603469b538e</t>
        </is>
      </c>
      <c r="D1400" t="n">
        <v>54.82396</v>
      </c>
      <c r="E1400" t="n">
        <v>35.2511</v>
      </c>
      <c r="F1400" t="inlineStr"/>
      <c r="G1400" t="inlineStr"/>
      <c r="H1400" t="inlineStr"/>
    </row>
    <row r="1401">
      <c r="A1401" t="inlineStr">
        <is>
          <t>8d7d8d5e-4197-4a45-be5a-42d056481407.jpg</t>
        </is>
      </c>
      <c r="B1401">
        <f>HYPERLINK("Объекты недвижимости, не соответствующие градостроительным нормам_00-022_Август/8d7d8d5e-4197-4a45-be5a-42d056481407.jpg","open")</f>
        <v/>
      </c>
      <c r="C1401" t="inlineStr">
        <is>
          <t>cbf95b01-f708-45a3-9ec0-3603469b538e</t>
        </is>
      </c>
      <c r="D1401" t="n">
        <v>54.82396</v>
      </c>
      <c r="E1401" t="n">
        <v>35.2511</v>
      </c>
      <c r="F1401" t="inlineStr"/>
      <c r="G1401" t="inlineStr"/>
      <c r="H1401" t="inlineStr"/>
    </row>
    <row r="1402">
      <c r="A1402" t="inlineStr">
        <is>
          <t>9b244d48-6aa0-45f6-9bf8-7b3a3f2cc621.jpg</t>
        </is>
      </c>
      <c r="B1402">
        <f>HYPERLINK("Объекты недвижимости, не соответствующие градостроительным нормам_00-022_Август/9b244d48-6aa0-45f6-9bf8-7b3a3f2cc621.jpg","open")</f>
        <v/>
      </c>
      <c r="C1402" t="inlineStr">
        <is>
          <t>8cde1fd0-eca1-4510-86ab-3c743b65fdfc</t>
        </is>
      </c>
      <c r="D1402" t="n">
        <v>55.59975</v>
      </c>
      <c r="E1402" t="n">
        <v>37.36201</v>
      </c>
      <c r="F1402" t="inlineStr"/>
      <c r="G1402" t="inlineStr"/>
      <c r="H1402" t="inlineStr"/>
    </row>
    <row r="1403">
      <c r="A1403" t="inlineStr">
        <is>
          <t>d1acadf3-8aa7-4193-8751-4dbe4e09b61d.jpg</t>
        </is>
      </c>
      <c r="B1403">
        <f>HYPERLINK("Объекты недвижимости, не соответствующие градостроительным нормам_00-022_Август/d1acadf3-8aa7-4193-8751-4dbe4e09b61d.jpg","open")</f>
        <v/>
      </c>
      <c r="C1403" t="inlineStr">
        <is>
          <t>1c951e11-4940-43c6-a447-394097e5609a</t>
        </is>
      </c>
      <c r="D1403" t="n">
        <v>55.59975</v>
      </c>
      <c r="E1403" t="n">
        <v>37.36201</v>
      </c>
      <c r="F1403" t="inlineStr"/>
      <c r="G1403" t="inlineStr"/>
      <c r="H1403" t="inlineStr"/>
    </row>
    <row r="1404">
      <c r="A1404" t="inlineStr">
        <is>
          <t>638550f5-e878-48d7-84f3-8e6d373d267e.jpg</t>
        </is>
      </c>
      <c r="B1404">
        <f>HYPERLINK("Объекты недвижимости, не соответствующие градостроительным нормам_00-022_Август/638550f5-e878-48d7-84f3-8e6d373d267e.jpg","open")</f>
        <v/>
      </c>
      <c r="C1404" t="inlineStr">
        <is>
          <t>cbf95b01-f708-45a3-9ec0-3603469b538e</t>
        </is>
      </c>
      <c r="D1404" t="n">
        <v>54.82396</v>
      </c>
      <c r="E1404" t="n">
        <v>35.2511</v>
      </c>
      <c r="F1404" t="inlineStr"/>
      <c r="G1404" t="inlineStr"/>
      <c r="H1404" t="inlineStr"/>
    </row>
    <row r="1405">
      <c r="A1405" t="inlineStr">
        <is>
          <t>6cd52aa9-0f01-4efe-be53-75c2f157c931.jpg</t>
        </is>
      </c>
      <c r="B1405">
        <f>HYPERLINK("Объекты недвижимости, не соответствующие градостроительным нормам_00-022_Август/6cd52aa9-0f01-4efe-be53-75c2f157c931.jpg","open")</f>
        <v/>
      </c>
      <c r="C1405" t="inlineStr">
        <is>
          <t>a1a9db89-3f74-42ef-8fad-ad69705102cd</t>
        </is>
      </c>
      <c r="D1405" t="n">
        <v>54.82396</v>
      </c>
      <c r="E1405" t="n">
        <v>35.2511</v>
      </c>
      <c r="F1405" t="inlineStr"/>
      <c r="G1405" t="inlineStr"/>
      <c r="H1405" t="inlineStr"/>
    </row>
    <row r="1406">
      <c r="A1406" t="inlineStr">
        <is>
          <t>f7cc1eb8-f49e-4178-901f-bf9836e4f5e6.jpg</t>
        </is>
      </c>
      <c r="B1406">
        <f>HYPERLINK("Объекты недвижимости, не соответствующие градостроительным нормам_00-022_Август/f7cc1eb8-f49e-4178-901f-bf9836e4f5e6.jpg","open")</f>
        <v/>
      </c>
      <c r="C1406" t="inlineStr">
        <is>
          <t>cbf95b01-f708-45a3-9ec0-3603469b538e</t>
        </is>
      </c>
      <c r="D1406" t="n">
        <v>54.82396</v>
      </c>
      <c r="E1406" t="n">
        <v>35.2511</v>
      </c>
      <c r="F1406" t="inlineStr"/>
      <c r="G1406" t="inlineStr"/>
      <c r="H1406" t="inlineStr"/>
    </row>
    <row r="1407">
      <c r="A1407" t="inlineStr">
        <is>
          <t>f4e99722-0c07-4152-ae9a-f9c575278055.jpg</t>
        </is>
      </c>
      <c r="B1407">
        <f>HYPERLINK("Объекты недвижимости, не соответствующие градостроительным нормам_00-022_Август/f4e99722-0c07-4152-ae9a-f9c575278055.jpg","open")</f>
        <v/>
      </c>
      <c r="C1407" t="inlineStr">
        <is>
          <t>1c951e11-4940-43c6-a447-394097e5609a</t>
        </is>
      </c>
      <c r="D1407" t="n">
        <v>55.59786</v>
      </c>
      <c r="E1407" t="n">
        <v>37.36515</v>
      </c>
      <c r="F1407" t="inlineStr"/>
      <c r="G1407" t="inlineStr"/>
      <c r="H1407" t="inlineStr"/>
    </row>
    <row r="1408">
      <c r="A1408" t="inlineStr">
        <is>
          <t>67f7c99d-cd09-495e-aa1a-d9e6fca29471.jpg</t>
        </is>
      </c>
      <c r="B1408">
        <f>HYPERLINK("Объекты недвижимости, не соответствующие градостроительным нормам_00-022_Август/67f7c99d-cd09-495e-aa1a-d9e6fca29471.jpg","open")</f>
        <v/>
      </c>
      <c r="C1408" t="inlineStr">
        <is>
          <t>cbf95b01-f708-45a3-9ec0-3603469b538e</t>
        </is>
      </c>
      <c r="D1408" t="n">
        <v>54.82396</v>
      </c>
      <c r="E1408" t="n">
        <v>35.2511</v>
      </c>
      <c r="F1408" t="inlineStr"/>
      <c r="G1408" t="inlineStr"/>
      <c r="H1408" t="inlineStr"/>
    </row>
    <row r="1409">
      <c r="A1409" t="inlineStr">
        <is>
          <t>f3b24b38-c86e-41f6-bd93-f67c88f15c15.jpg</t>
        </is>
      </c>
      <c r="B1409">
        <f>HYPERLINK("Объекты недвижимости, не соответствующие градостроительным нормам_00-022_Август/f3b24b38-c86e-41f6-bd93-f67c88f15c15.jpg","open")</f>
        <v/>
      </c>
      <c r="C1409" t="inlineStr">
        <is>
          <t>cbf95b01-f708-45a3-9ec0-3603469b538e</t>
        </is>
      </c>
      <c r="D1409" t="n">
        <v>54.82396</v>
      </c>
      <c r="E1409" t="n">
        <v>35.2511</v>
      </c>
      <c r="F1409" t="inlineStr"/>
      <c r="G1409" t="inlineStr"/>
      <c r="H1409" t="inlineStr"/>
    </row>
    <row r="1410">
      <c r="A1410" t="inlineStr">
        <is>
          <t>b05b86c7-67be-4269-85bd-70f57006bd2e.jpg</t>
        </is>
      </c>
      <c r="B1410">
        <f>HYPERLINK("Объекты недвижимости, не соответствующие градостроительным нормам_00-022_Август/b05b86c7-67be-4269-85bd-70f57006bd2e.jpg","open")</f>
        <v/>
      </c>
      <c r="C1410" t="inlineStr">
        <is>
          <t>8cde1fd0-eca1-4510-86ab-3c743b65fdfc</t>
        </is>
      </c>
      <c r="D1410" t="n">
        <v>55.59895</v>
      </c>
      <c r="E1410" t="n">
        <v>37.36469</v>
      </c>
      <c r="F1410" t="inlineStr"/>
      <c r="G1410" t="inlineStr"/>
      <c r="H1410" t="inlineStr"/>
    </row>
    <row r="1411">
      <c r="A1411" t="inlineStr">
        <is>
          <t>af0fbb8e-aefa-43d3-8471-1301360d277d.jpg</t>
        </is>
      </c>
      <c r="B1411">
        <f>HYPERLINK("Объекты недвижимости, не соответствующие градостроительным нормам_00-022_Август/af0fbb8e-aefa-43d3-8471-1301360d277d.jpg","open")</f>
        <v/>
      </c>
      <c r="C1411" t="inlineStr">
        <is>
          <t>cbf95b01-f708-45a3-9ec0-3603469b538e</t>
        </is>
      </c>
      <c r="D1411" t="n">
        <v>54.82396</v>
      </c>
      <c r="E1411" t="n">
        <v>35.2511</v>
      </c>
      <c r="F1411" t="inlineStr"/>
      <c r="G1411" t="inlineStr"/>
      <c r="H1411" t="inlineStr"/>
    </row>
    <row r="1412">
      <c r="A1412" t="inlineStr">
        <is>
          <t>993ac7a0-56ee-46f2-82dd-7cd363c1960a.jpg</t>
        </is>
      </c>
      <c r="B1412">
        <f>HYPERLINK("Объекты недвижимости, не соответствующие градостроительным нормам_00-022_Август/993ac7a0-56ee-46f2-82dd-7cd363c1960a.jpg","open")</f>
        <v/>
      </c>
      <c r="C1412" t="inlineStr">
        <is>
          <t>a1a9db89-3f74-42ef-8fad-ad69705102cd</t>
        </is>
      </c>
      <c r="D1412" t="n">
        <v>54.82396</v>
      </c>
      <c r="E1412" t="n">
        <v>35.2511</v>
      </c>
      <c r="F1412" t="inlineStr"/>
      <c r="G1412" t="inlineStr"/>
      <c r="H1412" t="inlineStr"/>
    </row>
    <row r="1413">
      <c r="A1413" t="inlineStr">
        <is>
          <t>0bb5c255-0492-4586-9ef5-0f2834699e14.jpg</t>
        </is>
      </c>
      <c r="B1413">
        <f>HYPERLINK("Объекты недвижимости, не соответствующие градостроительным нормам_00-022_Август/0bb5c255-0492-4586-9ef5-0f2834699e14.jpg","open")</f>
        <v/>
      </c>
      <c r="C1413" t="inlineStr">
        <is>
          <t>cbf95b01-f708-45a3-9ec0-3603469b538e</t>
        </is>
      </c>
      <c r="D1413" t="n">
        <v>54.82396</v>
      </c>
      <c r="E1413" t="n">
        <v>35.2511</v>
      </c>
      <c r="F1413" t="inlineStr"/>
      <c r="G1413" t="inlineStr"/>
      <c r="H1413" t="inlineStr"/>
    </row>
    <row r="1414">
      <c r="A1414" t="inlineStr">
        <is>
          <t>f962b55d-2f97-4a7b-a17c-d6d2375f2c11.jpg</t>
        </is>
      </c>
      <c r="B1414">
        <f>HYPERLINK("Объекты недвижимости, не соответствующие градостроительным нормам_00-022_Август/f962b55d-2f97-4a7b-a17c-d6d2375f2c11.jpg","open")</f>
        <v/>
      </c>
      <c r="C1414" t="inlineStr">
        <is>
          <t>cbf95b01-f708-45a3-9ec0-3603469b538e</t>
        </is>
      </c>
      <c r="D1414" t="n">
        <v>54.82396</v>
      </c>
      <c r="E1414" t="n">
        <v>35.2511</v>
      </c>
      <c r="F1414" t="inlineStr"/>
      <c r="G1414" t="inlineStr"/>
      <c r="H1414" t="inlineStr"/>
    </row>
    <row r="1415">
      <c r="A1415" t="inlineStr">
        <is>
          <t>b4e3cfb0-f04f-4d7c-96ba-6cca9a6e0af5.jpg</t>
        </is>
      </c>
      <c r="B1415">
        <f>HYPERLINK("Объекты недвижимости, не соответствующие градостроительным нормам_00-022_Август/b4e3cfb0-f04f-4d7c-96ba-6cca9a6e0af5.jpg","open")</f>
        <v/>
      </c>
      <c r="C1415" t="inlineStr">
        <is>
          <t>cbf95b01-f708-45a3-9ec0-3603469b538e</t>
        </is>
      </c>
      <c r="D1415" t="n">
        <v>54.82396</v>
      </c>
      <c r="E1415" t="n">
        <v>35.2511</v>
      </c>
      <c r="F1415" t="inlineStr"/>
      <c r="G1415" t="inlineStr"/>
      <c r="H1415" t="inlineStr"/>
    </row>
    <row r="1416">
      <c r="A1416" t="inlineStr">
        <is>
          <t>345369a9-a57a-4834-8de2-96a6ba1e30ad.jpg</t>
        </is>
      </c>
      <c r="B1416">
        <f>HYPERLINK("Объекты недвижимости, не соответствующие градостроительным нормам_00-022_Август/345369a9-a57a-4834-8de2-96a6ba1e30ad.jpg","open")</f>
        <v/>
      </c>
      <c r="C1416" t="inlineStr">
        <is>
          <t>cbf95b01-f708-45a3-9ec0-3603469b538e</t>
        </is>
      </c>
      <c r="D1416" t="n">
        <v>54.82396</v>
      </c>
      <c r="E1416" t="n">
        <v>35.2511</v>
      </c>
      <c r="F1416" t="inlineStr"/>
      <c r="G1416" t="inlineStr"/>
      <c r="H1416" t="inlineStr"/>
    </row>
    <row r="1417">
      <c r="A1417" t="inlineStr">
        <is>
          <t>ecba04b1-83f2-4fa0-bef5-1014cbcaf645.jpg</t>
        </is>
      </c>
      <c r="B1417">
        <f>HYPERLINK("Объекты недвижимости, не соответствующие градостроительным нормам_00-022_Август/ecba04b1-83f2-4fa0-bef5-1014cbcaf645.jpg","open")</f>
        <v/>
      </c>
      <c r="C1417" t="inlineStr">
        <is>
          <t>cbf95b01-f708-45a3-9ec0-3603469b538e</t>
        </is>
      </c>
      <c r="D1417" t="n">
        <v>54.82396</v>
      </c>
      <c r="E1417" t="n">
        <v>35.2511</v>
      </c>
      <c r="F1417" t="inlineStr"/>
      <c r="G1417" t="inlineStr"/>
      <c r="H1417" t="inlineStr"/>
    </row>
    <row r="1418">
      <c r="A1418" t="inlineStr">
        <is>
          <t>b0497214-a788-47ee-9b86-aeff328a4bde.jpg</t>
        </is>
      </c>
      <c r="B1418">
        <f>HYPERLINK("Объекты недвижимости, не соответствующие градостроительным нормам_00-022_Август/b0497214-a788-47ee-9b86-aeff328a4bde.jpg","open")</f>
        <v/>
      </c>
      <c r="C1418" t="inlineStr">
        <is>
          <t>cbf95b01-f708-45a3-9ec0-3603469b538e</t>
        </is>
      </c>
      <c r="D1418" t="n">
        <v>54.82396</v>
      </c>
      <c r="E1418" t="n">
        <v>35.2511</v>
      </c>
      <c r="F1418" t="inlineStr"/>
      <c r="G1418" t="inlineStr"/>
      <c r="H1418" t="inlineStr"/>
    </row>
    <row r="1419">
      <c r="A1419" t="inlineStr">
        <is>
          <t>3be7183d-2578-40fb-9baf-2e71f6197e85.jpg</t>
        </is>
      </c>
      <c r="B1419">
        <f>HYPERLINK("Объекты недвижимости, не соответствующие градостроительным нормам_00-022_Август/3be7183d-2578-40fb-9baf-2e71f6197e85.jpg","open")</f>
        <v/>
      </c>
      <c r="C1419" t="inlineStr">
        <is>
          <t>cbf95b01-f708-45a3-9ec0-3603469b538e</t>
        </is>
      </c>
      <c r="D1419" t="n">
        <v>54.82396</v>
      </c>
      <c r="E1419" t="n">
        <v>35.2511</v>
      </c>
      <c r="F1419" t="inlineStr"/>
      <c r="G1419" t="inlineStr"/>
      <c r="H1419" t="inlineStr"/>
    </row>
    <row r="1420">
      <c r="A1420" t="inlineStr">
        <is>
          <t>925af2f3-8746-4040-90ab-cb5f5664cf19.jpg</t>
        </is>
      </c>
      <c r="B1420">
        <f>HYPERLINK("Объекты недвижимости, не соответствующие градостроительным нормам_00-022_Август/925af2f3-8746-4040-90ab-cb5f5664cf19.jpg","open")</f>
        <v/>
      </c>
      <c r="C1420" t="inlineStr">
        <is>
          <t>a1a9db89-3f74-42ef-8fad-ad69705102cd</t>
        </is>
      </c>
      <c r="D1420" t="n">
        <v>54.82396</v>
      </c>
      <c r="E1420" t="n">
        <v>35.2511</v>
      </c>
      <c r="F1420" t="inlineStr"/>
      <c r="G1420" t="inlineStr"/>
      <c r="H1420" t="inlineStr"/>
    </row>
    <row r="1421">
      <c r="A1421" t="inlineStr">
        <is>
          <t>a104ded1-7cb0-467a-87bd-e0749e2b5a3c.jpg</t>
        </is>
      </c>
      <c r="B1421">
        <f>HYPERLINK("Объекты недвижимости, не соответствующие градостроительным нормам_00-022_Август/a104ded1-7cb0-467a-87bd-e0749e2b5a3c.jpg","open")</f>
        <v/>
      </c>
      <c r="C1421" t="inlineStr">
        <is>
          <t>cbf95b01-f708-45a3-9ec0-3603469b538e</t>
        </is>
      </c>
      <c r="D1421" t="n">
        <v>54.82396</v>
      </c>
      <c r="E1421" t="n">
        <v>35.2511</v>
      </c>
      <c r="F1421" t="inlineStr"/>
      <c r="G1421" t="inlineStr"/>
      <c r="H1421" t="inlineStr"/>
    </row>
    <row r="1422">
      <c r="A1422" t="inlineStr">
        <is>
          <t>aef39f98-6c79-4782-847d-4e98aa09a36e.jpg</t>
        </is>
      </c>
      <c r="B1422">
        <f>HYPERLINK("Объекты недвижимости, не соответствующие градостроительным нормам_00-022_Август/aef39f98-6c79-4782-847d-4e98aa09a36e.jpg","open")</f>
        <v/>
      </c>
      <c r="C1422" t="inlineStr">
        <is>
          <t>caa4772d-6278-4484-a046-ee25514bf521</t>
        </is>
      </c>
      <c r="D1422" t="n">
        <v>55.97028</v>
      </c>
      <c r="E1422" t="n">
        <v>37.18177</v>
      </c>
      <c r="F1422" t="inlineStr"/>
      <c r="G1422" t="inlineStr"/>
      <c r="H1422" t="inlineStr"/>
    </row>
    <row r="1423">
      <c r="A1423" t="inlineStr">
        <is>
          <t>fd46e8be-f084-4d95-b2a7-4abcbd055bf5.jpg</t>
        </is>
      </c>
      <c r="B1423">
        <f>HYPERLINK("Объекты недвижимости, не соответствующие градостроительным нормам_00-022_Август/fd46e8be-f084-4d95-b2a7-4abcbd055bf5.jpg","open")</f>
        <v/>
      </c>
      <c r="C1423" t="inlineStr">
        <is>
          <t>cbf95b01-f708-45a3-9ec0-3603469b538e</t>
        </is>
      </c>
      <c r="D1423" t="n">
        <v>54.82396</v>
      </c>
      <c r="E1423" t="n">
        <v>35.2511</v>
      </c>
      <c r="F1423" t="inlineStr"/>
      <c r="G1423" t="inlineStr"/>
      <c r="H1423" t="inlineStr"/>
    </row>
    <row r="1424">
      <c r="A1424" t="inlineStr">
        <is>
          <t>0f985856-1f80-4b62-b11b-2558d7c527ca.jpg</t>
        </is>
      </c>
      <c r="B1424">
        <f>HYPERLINK("Объекты недвижимости, не соответствующие градостроительным нормам_00-022_Август/0f985856-1f80-4b62-b11b-2558d7c527ca.jpg","open")</f>
        <v/>
      </c>
      <c r="C1424" t="inlineStr">
        <is>
          <t>a1a9db89-3f74-42ef-8fad-ad69705102cd</t>
        </is>
      </c>
      <c r="D1424" t="n">
        <v>54.82396</v>
      </c>
      <c r="E1424" t="n">
        <v>35.2511</v>
      </c>
      <c r="F1424" t="inlineStr"/>
      <c r="G1424" t="inlineStr"/>
      <c r="H1424" t="inlineStr"/>
    </row>
    <row r="1425">
      <c r="A1425" t="inlineStr">
        <is>
          <t>acc09d2c-e34d-4a62-b6d0-cd5cd0efc7f3.jpg</t>
        </is>
      </c>
      <c r="B1425">
        <f>HYPERLINK("Объекты недвижимости, не соответствующие градостроительным нормам_00-022_Август/acc09d2c-e34d-4a62-b6d0-cd5cd0efc7f3.jpg","open")</f>
        <v/>
      </c>
      <c r="C1425" t="inlineStr">
        <is>
          <t>cbf95b01-f708-45a3-9ec0-3603469b538e</t>
        </is>
      </c>
      <c r="D1425" t="n">
        <v>54.82396</v>
      </c>
      <c r="E1425" t="n">
        <v>35.2511</v>
      </c>
      <c r="F1425" t="inlineStr"/>
      <c r="G1425" t="inlineStr"/>
      <c r="H1425" t="inlineStr"/>
    </row>
    <row r="1426">
      <c r="A1426" t="inlineStr">
        <is>
          <t>4455087e-d3ee-4972-ba95-7cf4fbb71f16.jpg</t>
        </is>
      </c>
      <c r="B1426">
        <f>HYPERLINK("Объекты недвижимости, не соответствующие градостроительным нормам_00-022_Август/4455087e-d3ee-4972-ba95-7cf4fbb71f16.jpg","open")</f>
        <v/>
      </c>
      <c r="C1426" t="inlineStr">
        <is>
          <t>8cde1fd0-eca1-4510-86ab-3c743b65fdfc</t>
        </is>
      </c>
      <c r="D1426" t="n">
        <v>55.59692</v>
      </c>
      <c r="E1426" t="n">
        <v>37.3551</v>
      </c>
      <c r="F1426" t="inlineStr"/>
      <c r="G1426" t="inlineStr"/>
      <c r="H1426" t="inlineStr"/>
    </row>
    <row r="1427">
      <c r="A1427" t="inlineStr">
        <is>
          <t>2c6c892e-ef56-41d7-bf5a-c4cc3064dbc6.jpg</t>
        </is>
      </c>
      <c r="B1427">
        <f>HYPERLINK("Объекты недвижимости, не соответствующие градостроительным нормам_00-022_Август/2c6c892e-ef56-41d7-bf5a-c4cc3064dbc6.jpg","open")</f>
        <v/>
      </c>
      <c r="C1427" t="inlineStr">
        <is>
          <t>cbf95b01-f708-45a3-9ec0-3603469b538e</t>
        </is>
      </c>
      <c r="D1427" t="n">
        <v>54.82396</v>
      </c>
      <c r="E1427" t="n">
        <v>35.2511</v>
      </c>
      <c r="F1427" t="inlineStr"/>
      <c r="G1427" t="inlineStr"/>
      <c r="H1427" t="inlineStr"/>
    </row>
    <row r="1428">
      <c r="A1428" t="inlineStr">
        <is>
          <t>30d24005-bc4b-4f70-b90e-24adca1de569.jpg</t>
        </is>
      </c>
      <c r="B1428">
        <f>HYPERLINK("Объекты недвижимости, не соответствующие градостроительным нормам_00-022_Август/30d24005-bc4b-4f70-b90e-24adca1de569.jpg","open")</f>
        <v/>
      </c>
      <c r="C1428" t="inlineStr">
        <is>
          <t>1c951e11-4940-43c6-a447-394097e5609a</t>
        </is>
      </c>
      <c r="D1428" t="n">
        <v>55.58531</v>
      </c>
      <c r="E1428" t="n">
        <v>37.35705</v>
      </c>
      <c r="F1428" t="inlineStr"/>
      <c r="G1428" t="inlineStr"/>
      <c r="H1428" t="inlineStr"/>
    </row>
    <row r="1429">
      <c r="A1429" t="inlineStr">
        <is>
          <t>f07fc86f-0e0a-48f8-91da-8edab82b64a2.jpg</t>
        </is>
      </c>
      <c r="B1429">
        <f>HYPERLINK("Объекты недвижимости, не соответствующие градостроительным нормам_00-022_Август/f07fc86f-0e0a-48f8-91da-8edab82b64a2.jpg","open")</f>
        <v/>
      </c>
      <c r="C1429" t="inlineStr">
        <is>
          <t>8cde1fd0-eca1-4510-86ab-3c743b65fdfc</t>
        </is>
      </c>
      <c r="D1429" t="n">
        <v>55.5688</v>
      </c>
      <c r="E1429" t="n">
        <v>37.35235</v>
      </c>
      <c r="F1429" t="inlineStr"/>
      <c r="G1429" t="inlineStr"/>
      <c r="H1429" t="inlineStr"/>
    </row>
    <row r="1430">
      <c r="A1430" t="inlineStr">
        <is>
          <t>ccb2e835-eb3b-4838-bdaa-6557b8120c85.jpg</t>
        </is>
      </c>
      <c r="B1430">
        <f>HYPERLINK("Объекты недвижимости, не соответствующие градостроительным нормам_00-022_Август/ccb2e835-eb3b-4838-bdaa-6557b8120c85.jpg","open")</f>
        <v/>
      </c>
      <c r="C1430" t="inlineStr">
        <is>
          <t>8cde1fd0-eca1-4510-86ab-3c743b65fdfc</t>
        </is>
      </c>
      <c r="D1430" t="n">
        <v>55.56811</v>
      </c>
      <c r="E1430" t="n">
        <v>37.35108</v>
      </c>
      <c r="F1430" t="inlineStr"/>
      <c r="G1430" t="inlineStr"/>
      <c r="H1430" t="inlineStr"/>
    </row>
    <row r="1431">
      <c r="A1431" t="inlineStr">
        <is>
          <t>e596febc-b5ba-4398-b4a3-d8bb12478421.jpg</t>
        </is>
      </c>
      <c r="B1431">
        <f>HYPERLINK("Объекты недвижимости, не соответствующие градостроительным нормам_00-022_Август/e596febc-b5ba-4398-b4a3-d8bb12478421.jpg","open")</f>
        <v/>
      </c>
      <c r="C1431" t="inlineStr">
        <is>
          <t>cbf95b01-f708-45a3-9ec0-3603469b538e</t>
        </is>
      </c>
      <c r="D1431" t="n">
        <v>54.82396</v>
      </c>
      <c r="E1431" t="n">
        <v>35.2511</v>
      </c>
      <c r="F1431" t="inlineStr"/>
      <c r="G1431" t="inlineStr"/>
      <c r="H1431" t="inlineStr"/>
    </row>
    <row r="1432">
      <c r="A1432" t="inlineStr">
        <is>
          <t>22544585-dd8e-412c-b3f6-bb913af9a484.jpg</t>
        </is>
      </c>
      <c r="B1432">
        <f>HYPERLINK("Объекты недвижимости, не соответствующие градостроительным нормам_00-022_Август/22544585-dd8e-412c-b3f6-bb913af9a484.jpg","open")</f>
        <v/>
      </c>
      <c r="C1432" t="inlineStr">
        <is>
          <t>cbf95b01-f708-45a3-9ec0-3603469b538e</t>
        </is>
      </c>
      <c r="D1432" t="n">
        <v>54.82396</v>
      </c>
      <c r="E1432" t="n">
        <v>35.2511</v>
      </c>
      <c r="F1432" t="inlineStr"/>
      <c r="G1432" t="inlineStr"/>
      <c r="H1432" t="inlineStr"/>
    </row>
    <row r="1433">
      <c r="A1433" t="inlineStr">
        <is>
          <t>11cae27e-e399-4d89-950d-e2cfa2176d0a.jpg</t>
        </is>
      </c>
      <c r="B1433">
        <f>HYPERLINK("Объекты недвижимости, не соответствующие градостроительным нормам_00-022_Август/11cae27e-e399-4d89-950d-e2cfa2176d0a.jpg","open")</f>
        <v/>
      </c>
      <c r="C1433" t="inlineStr">
        <is>
          <t>cbf95b01-f708-45a3-9ec0-3603469b538e</t>
        </is>
      </c>
      <c r="D1433" t="n">
        <v>54.82396</v>
      </c>
      <c r="E1433" t="n">
        <v>35.2511</v>
      </c>
      <c r="F1433" t="inlineStr"/>
      <c r="G1433" t="inlineStr"/>
      <c r="H1433" t="inlineStr"/>
    </row>
    <row r="1434">
      <c r="A1434" t="inlineStr">
        <is>
          <t>992006a2-120e-468a-ab91-29f089968f41.jpg</t>
        </is>
      </c>
      <c r="B1434">
        <f>HYPERLINK("Объекты недвижимости, не соответствующие градостроительным нормам_00-022_Август/992006a2-120e-468a-ab91-29f089968f41.jpg","open")</f>
        <v/>
      </c>
      <c r="C1434" t="inlineStr">
        <is>
          <t>91248771-2c4d-44f3-b3cf-d536bd4ae73c</t>
        </is>
      </c>
      <c r="D1434" t="n">
        <v>55.80495</v>
      </c>
      <c r="E1434" t="n">
        <v>37.71458</v>
      </c>
      <c r="F1434" t="inlineStr"/>
      <c r="G1434" t="inlineStr"/>
      <c r="H1434" t="inlineStr"/>
    </row>
    <row r="1435">
      <c r="A1435" t="inlineStr">
        <is>
          <t>0d1926be-80b3-43d5-ba18-e96293a2c18f.jpg</t>
        </is>
      </c>
      <c r="B1435">
        <f>HYPERLINK("Объекты недвижимости, не соответствующие градостроительным нормам_00-022_Август/0d1926be-80b3-43d5-ba18-e96293a2c18f.jpg","open")</f>
        <v/>
      </c>
      <c r="C1435" t="inlineStr">
        <is>
          <t>cbf95b01-f708-45a3-9ec0-3603469b538e</t>
        </is>
      </c>
      <c r="D1435" t="n">
        <v>54.82396</v>
      </c>
      <c r="E1435" t="n">
        <v>35.2511</v>
      </c>
      <c r="F1435" t="inlineStr"/>
      <c r="G1435" t="inlineStr"/>
      <c r="H1435" t="inlineStr"/>
    </row>
    <row r="1436">
      <c r="A1436" t="inlineStr">
        <is>
          <t>5e29ad75-8692-4298-8211-0c2cea020fcb.jpg</t>
        </is>
      </c>
      <c r="B1436">
        <f>HYPERLINK("Объекты недвижимости, не соответствующие градостроительным нормам_00-022_Август/5e29ad75-8692-4298-8211-0c2cea020fcb.jpg","open")</f>
        <v/>
      </c>
      <c r="C1436" t="inlineStr">
        <is>
          <t>a1a9db89-3f74-42ef-8fad-ad69705102cd</t>
        </is>
      </c>
      <c r="D1436" t="n">
        <v>54.82396</v>
      </c>
      <c r="E1436" t="n">
        <v>35.2511</v>
      </c>
      <c r="F1436" t="inlineStr"/>
      <c r="G1436" t="inlineStr"/>
      <c r="H1436" t="inlineStr"/>
    </row>
    <row r="1437">
      <c r="A1437" t="inlineStr">
        <is>
          <t>d44cbe60-584b-40e8-98f8-ae6e877c21ef.jpg</t>
        </is>
      </c>
      <c r="B1437">
        <f>HYPERLINK("Объекты недвижимости, не соответствующие градостроительным нормам_00-022_Август/d44cbe60-584b-40e8-98f8-ae6e877c21ef.jpg","open")</f>
        <v/>
      </c>
      <c r="C1437" t="inlineStr">
        <is>
          <t>91248771-2c4d-44f3-b3cf-d536bd4ae73c</t>
        </is>
      </c>
      <c r="D1437" t="n">
        <v>55.80495</v>
      </c>
      <c r="E1437" t="n">
        <v>37.7146</v>
      </c>
      <c r="F1437" t="inlineStr"/>
      <c r="G1437" t="inlineStr"/>
      <c r="H1437" t="inlineStr"/>
    </row>
    <row r="1438">
      <c r="A1438" t="inlineStr">
        <is>
          <t>0884ef0a-30bd-4c82-8496-be0d97fe6708.jpg</t>
        </is>
      </c>
      <c r="B1438">
        <f>HYPERLINK("Объекты недвижимости, не соответствующие градостроительным нормам_00-022_Август/0884ef0a-30bd-4c82-8496-be0d97fe6708.jpg","open")</f>
        <v/>
      </c>
      <c r="C1438" t="inlineStr">
        <is>
          <t>cbf95b01-f708-45a3-9ec0-3603469b538e</t>
        </is>
      </c>
      <c r="D1438" t="n">
        <v>54.82396</v>
      </c>
      <c r="E1438" t="n">
        <v>35.2511</v>
      </c>
      <c r="F1438" t="inlineStr"/>
      <c r="G1438" t="inlineStr"/>
      <c r="H1438" t="inlineStr"/>
    </row>
    <row r="1439">
      <c r="A1439" t="inlineStr">
        <is>
          <t>e055b9c1-c69e-4d32-b8fb-e7bd8461e8d4.jpg</t>
        </is>
      </c>
      <c r="B1439">
        <f>HYPERLINK("Объекты недвижимости, не соответствующие градостроительным нормам_00-022_Август/e055b9c1-c69e-4d32-b8fb-e7bd8461e8d4.jpg","open")</f>
        <v/>
      </c>
      <c r="C1439" t="inlineStr">
        <is>
          <t>cbf95b01-f708-45a3-9ec0-3603469b538e</t>
        </is>
      </c>
      <c r="D1439" t="n">
        <v>54.82396</v>
      </c>
      <c r="E1439" t="n">
        <v>35.2511</v>
      </c>
      <c r="F1439" t="inlineStr"/>
      <c r="G1439" t="inlineStr"/>
      <c r="H1439" t="inlineStr"/>
    </row>
    <row r="1440">
      <c r="A1440" t="inlineStr">
        <is>
          <t>b5059082-feb0-4e78-8286-0a3b2296b455.jpg</t>
        </is>
      </c>
      <c r="B1440">
        <f>HYPERLINK("Объекты недвижимости, не соответствующие градостроительным нормам_00-022_Август/b5059082-feb0-4e78-8286-0a3b2296b455.jpg","open")</f>
        <v/>
      </c>
      <c r="C1440" t="inlineStr">
        <is>
          <t>cbf95b01-f708-45a3-9ec0-3603469b538e</t>
        </is>
      </c>
      <c r="D1440" t="n">
        <v>54.82396</v>
      </c>
      <c r="E1440" t="n">
        <v>35.2511</v>
      </c>
      <c r="F1440" t="inlineStr"/>
      <c r="G1440" t="inlineStr"/>
      <c r="H1440" t="inlineStr"/>
    </row>
    <row r="1441">
      <c r="A1441" t="inlineStr">
        <is>
          <t>e8e14a50-b575-4e61-b76d-13a14e857d2f.jpg</t>
        </is>
      </c>
      <c r="B1441">
        <f>HYPERLINK("Объекты недвижимости, не соответствующие градостроительным нормам_00-022_Август/e8e14a50-b575-4e61-b76d-13a14e857d2f.jpg","open")</f>
        <v/>
      </c>
      <c r="C1441" t="inlineStr">
        <is>
          <t>cbf95b01-f708-45a3-9ec0-3603469b538e</t>
        </is>
      </c>
      <c r="D1441" t="n">
        <v>54.82396</v>
      </c>
      <c r="E1441" t="n">
        <v>35.2511</v>
      </c>
      <c r="F1441" t="inlineStr"/>
      <c r="G1441" t="inlineStr"/>
      <c r="H1441" t="inlineStr"/>
    </row>
    <row r="1442">
      <c r="A1442" t="inlineStr">
        <is>
          <t>e104f706-0975-4b20-a992-dc559ecf3d28.jpg</t>
        </is>
      </c>
      <c r="B1442">
        <f>HYPERLINK("Объекты недвижимости, не соответствующие градостроительным нормам_00-022_Август/e104f706-0975-4b20-a992-dc559ecf3d28.jpg","open")</f>
        <v/>
      </c>
      <c r="C1442" t="inlineStr">
        <is>
          <t>a1a9db89-3f74-42ef-8fad-ad69705102cd</t>
        </is>
      </c>
      <c r="D1442" t="n">
        <v>54.82396</v>
      </c>
      <c r="E1442" t="n">
        <v>35.2511</v>
      </c>
      <c r="F1442" t="inlineStr"/>
      <c r="G1442" t="inlineStr"/>
      <c r="H1442" t="inlineStr"/>
    </row>
    <row r="1443">
      <c r="A1443" t="inlineStr">
        <is>
          <t>7a0eb9f1-b3bc-4de1-9b61-f098e7b35299.jpg</t>
        </is>
      </c>
      <c r="B1443">
        <f>HYPERLINK("Объекты недвижимости, не соответствующие градостроительным нормам_00-022_Август/7a0eb9f1-b3bc-4de1-9b61-f098e7b35299.jpg","open")</f>
        <v/>
      </c>
      <c r="C1443" t="inlineStr">
        <is>
          <t>cbf95b01-f708-45a3-9ec0-3603469b538e</t>
        </is>
      </c>
      <c r="D1443" t="n">
        <v>54.82396</v>
      </c>
      <c r="E1443" t="n">
        <v>35.2511</v>
      </c>
      <c r="F1443" t="inlineStr"/>
      <c r="G1443" t="inlineStr"/>
      <c r="H1443" t="inlineStr"/>
    </row>
    <row r="1444">
      <c r="A1444" t="inlineStr">
        <is>
          <t>1f3134ec-bda2-48d7-bcd8-56e1bc19c589.jpg</t>
        </is>
      </c>
      <c r="B1444">
        <f>HYPERLINK("Объекты недвижимости, не соответствующие градостроительным нормам_00-022_Август/1f3134ec-bda2-48d7-bcd8-56e1bc19c589.jpg","open")</f>
        <v/>
      </c>
      <c r="C1444" t="inlineStr">
        <is>
          <t>a1a9db89-3f74-42ef-8fad-ad69705102cd</t>
        </is>
      </c>
      <c r="D1444" t="n">
        <v>54.82396</v>
      </c>
      <c r="E1444" t="n">
        <v>35.2511</v>
      </c>
      <c r="F1444" t="inlineStr"/>
      <c r="G1444" t="inlineStr"/>
      <c r="H1444" t="inlineStr"/>
    </row>
    <row r="1445">
      <c r="A1445" t="inlineStr">
        <is>
          <t>fe4c2e3b-d851-4493-a2c6-3dc30fc0d9a9.jpg</t>
        </is>
      </c>
      <c r="B1445">
        <f>HYPERLINK("Объекты недвижимости, не соответствующие градостроительным нормам_00-022_Август/fe4c2e3b-d851-4493-a2c6-3dc30fc0d9a9.jpg","open")</f>
        <v/>
      </c>
      <c r="C1445" t="inlineStr">
        <is>
          <t>797901ad-53b1-41b8-99d1-d59d59c863d5</t>
        </is>
      </c>
      <c r="D1445" t="n">
        <v>55.793</v>
      </c>
      <c r="E1445" t="n">
        <v>37.78523</v>
      </c>
      <c r="F1445" t="inlineStr"/>
      <c r="G1445" t="inlineStr"/>
      <c r="H1445" t="inlineStr"/>
    </row>
    <row r="1446">
      <c r="A1446" t="inlineStr">
        <is>
          <t>6919eb59-6029-463d-967c-9e184b118cac.jpg</t>
        </is>
      </c>
      <c r="B1446">
        <f>HYPERLINK("Объекты недвижимости, не соответствующие градостроительным нормам_00-022_Август/6919eb59-6029-463d-967c-9e184b118cac.jpg","open")</f>
        <v/>
      </c>
      <c r="C1446" t="inlineStr">
        <is>
          <t>a1a9db89-3f74-42ef-8fad-ad69705102cd</t>
        </is>
      </c>
      <c r="D1446" t="n">
        <v>54.82396</v>
      </c>
      <c r="E1446" t="n">
        <v>35.2511</v>
      </c>
      <c r="F1446" t="inlineStr"/>
      <c r="G1446" t="inlineStr"/>
      <c r="H1446" t="inlineStr"/>
    </row>
    <row r="1447">
      <c r="A1447" t="inlineStr">
        <is>
          <t>d49dc09f-f077-41a2-8ba2-e2339393d2d6.jpg</t>
        </is>
      </c>
      <c r="B1447">
        <f>HYPERLINK("Объекты недвижимости, не соответствующие градостроительным нормам_00-022_Август/d49dc09f-f077-41a2-8ba2-e2339393d2d6.jpg","open")</f>
        <v/>
      </c>
      <c r="C1447" t="inlineStr">
        <is>
          <t>8cde1fd0-eca1-4510-86ab-3c743b65fdfc</t>
        </is>
      </c>
      <c r="D1447" t="n">
        <v>55.5549</v>
      </c>
      <c r="E1447" t="n">
        <v>37.34249</v>
      </c>
      <c r="F1447" t="inlineStr"/>
      <c r="G1447" t="inlineStr"/>
      <c r="H1447" t="inlineStr"/>
    </row>
    <row r="1448">
      <c r="A1448" t="inlineStr">
        <is>
          <t>4ff4a0fb-1dcd-4a76-9660-961fb2822371.jpg</t>
        </is>
      </c>
      <c r="B1448">
        <f>HYPERLINK("Объекты недвижимости, не соответствующие градостроительным нормам_00-022_Август/4ff4a0fb-1dcd-4a76-9660-961fb2822371.jpg","open")</f>
        <v/>
      </c>
      <c r="C1448" t="inlineStr">
        <is>
          <t>8cde1fd0-eca1-4510-86ab-3c743b65fdfc</t>
        </is>
      </c>
      <c r="D1448" t="n">
        <v>55.5767</v>
      </c>
      <c r="E1448" t="n">
        <v>37.29354</v>
      </c>
      <c r="F1448" t="inlineStr"/>
      <c r="G1448" t="inlineStr"/>
      <c r="H1448" t="inlineStr"/>
    </row>
    <row r="1449">
      <c r="A1449" t="inlineStr">
        <is>
          <t>a40d497e-fb39-40bc-9431-ae09cb7cb89a.jpg</t>
        </is>
      </c>
      <c r="B1449">
        <f>HYPERLINK("Объекты недвижимости, не соответствующие градостроительным нормам_00-022_Август/a40d497e-fb39-40bc-9431-ae09cb7cb89a.jpg","open")</f>
        <v/>
      </c>
      <c r="C1449" t="inlineStr">
        <is>
          <t>caa4772d-6278-4484-a046-ee25514bf521</t>
        </is>
      </c>
      <c r="D1449" t="n">
        <v>55.97797</v>
      </c>
      <c r="E1449" t="n">
        <v>37.17568</v>
      </c>
      <c r="F1449" t="inlineStr"/>
      <c r="G1449" t="inlineStr"/>
      <c r="H1449" t="inlineStr"/>
    </row>
    <row r="1450">
      <c r="A1450" t="inlineStr">
        <is>
          <t>d28c5d10-bf46-433c-9eb9-bc7001b51f32.jpg</t>
        </is>
      </c>
      <c r="B1450">
        <f>HYPERLINK("Объекты недвижимости, не соответствующие градостроительным нормам_00-022_Август/d28c5d10-bf46-433c-9eb9-bc7001b51f32.jpg","open")</f>
        <v/>
      </c>
      <c r="C1450" t="inlineStr">
        <is>
          <t>caa4772d-6278-4484-a046-ee25514bf521</t>
        </is>
      </c>
      <c r="D1450" t="n">
        <v>55.97921</v>
      </c>
      <c r="E1450" t="n">
        <v>37.17285</v>
      </c>
      <c r="F1450" t="inlineStr"/>
      <c r="G1450" t="inlineStr"/>
      <c r="H1450" t="inlineStr"/>
    </row>
    <row r="1451">
      <c r="A1451" t="inlineStr">
        <is>
          <t>01b1dafe-3af5-43a1-ab1f-f34a6cd353e7.jpg</t>
        </is>
      </c>
      <c r="B1451">
        <f>HYPERLINK("Объекты недвижимости, не соответствующие градостроительным нормам_00-022_Август/01b1dafe-3af5-43a1-ab1f-f34a6cd353e7.jpg","open")</f>
        <v/>
      </c>
      <c r="C1451" t="inlineStr">
        <is>
          <t>48b533d5-d106-4175-ac9b-d5ce8d90cccf</t>
        </is>
      </c>
      <c r="D1451" t="n">
        <v>55.75856</v>
      </c>
      <c r="E1451" t="n">
        <v>37.78802</v>
      </c>
      <c r="F1451" t="inlineStr"/>
      <c r="G1451" t="inlineStr"/>
      <c r="H1451" t="inlineStr"/>
    </row>
    <row r="1452">
      <c r="A1452" t="inlineStr">
        <is>
          <t>c47d22b7-7a7c-4cff-9d42-c21ae3cc794f.jpg</t>
        </is>
      </c>
      <c r="B1452">
        <f>HYPERLINK("Объекты недвижимости, не соответствующие градостроительным нормам_00-022_Август/c47d22b7-7a7c-4cff-9d42-c21ae3cc794f.jpg","open")</f>
        <v/>
      </c>
      <c r="C1452" t="inlineStr">
        <is>
          <t>1c951e11-4940-43c6-a447-394097e5609a</t>
        </is>
      </c>
      <c r="D1452" t="n">
        <v>55.53341</v>
      </c>
      <c r="E1452" t="n">
        <v>37.21939</v>
      </c>
      <c r="F1452" t="inlineStr"/>
      <c r="G1452" t="inlineStr"/>
      <c r="H1452" t="inlineStr"/>
    </row>
    <row r="1453">
      <c r="A1453" t="inlineStr">
        <is>
          <t>75b4ccc0-3a43-43ab-a9ea-81b7166194d9.jpg</t>
        </is>
      </c>
      <c r="B1453">
        <f>HYPERLINK("Объекты недвижимости, не соответствующие градостроительным нормам_00-022_Август/75b4ccc0-3a43-43ab-a9ea-81b7166194d9.jpg","open")</f>
        <v/>
      </c>
      <c r="C1453" t="inlineStr">
        <is>
          <t>8996eb30-6497-4318-8a0e-b95314b8172e</t>
        </is>
      </c>
      <c r="D1453" t="n">
        <v>55.75924</v>
      </c>
      <c r="E1453" t="n">
        <v>37.77954</v>
      </c>
      <c r="F1453" t="inlineStr"/>
      <c r="G1453" t="inlineStr"/>
      <c r="H1453" t="inlineStr"/>
    </row>
    <row r="1454">
      <c r="A1454" t="inlineStr">
        <is>
          <t>1ca828ea-64b9-417c-b76b-661b4d0c872a.jpg</t>
        </is>
      </c>
      <c r="B1454">
        <f>HYPERLINK("Объекты недвижимости, не соответствующие градостроительным нормам_00-022_Август/1ca828ea-64b9-417c-b76b-661b4d0c872a.jpg","open")</f>
        <v/>
      </c>
      <c r="C1454" t="inlineStr">
        <is>
          <t>8cde1fd0-eca1-4510-86ab-3c743b65fdfc</t>
        </is>
      </c>
      <c r="D1454" t="n">
        <v>55.5334</v>
      </c>
      <c r="E1454" t="n">
        <v>37.21947</v>
      </c>
      <c r="F1454" t="inlineStr"/>
      <c r="G1454" t="inlineStr"/>
      <c r="H1454" t="inlineStr"/>
    </row>
    <row r="1455">
      <c r="A1455" t="inlineStr">
        <is>
          <t>f8cd3349-2812-4889-a467-443922c0a1fe.jpg</t>
        </is>
      </c>
      <c r="B1455">
        <f>HYPERLINK("Объекты недвижимости, не соответствующие градостроительным нормам_00-022_Август/f8cd3349-2812-4889-a467-443922c0a1fe.jpg","open")</f>
        <v/>
      </c>
      <c r="C1455" t="inlineStr">
        <is>
          <t>48b533d5-d106-4175-ac9b-d5ce8d90cccf</t>
        </is>
      </c>
      <c r="D1455" t="n">
        <v>55.75866</v>
      </c>
      <c r="E1455" t="n">
        <v>37.78006</v>
      </c>
      <c r="F1455" t="inlineStr"/>
      <c r="G1455" t="inlineStr"/>
      <c r="H1455" t="inlineStr"/>
    </row>
    <row r="1456">
      <c r="A1456" t="inlineStr">
        <is>
          <t>07b44a91-37d4-457f-b710-0966ed2d5451.jpg</t>
        </is>
      </c>
      <c r="B1456">
        <f>HYPERLINK("Объекты недвижимости, не соответствующие градостроительным нормам_00-022_Август/07b44a91-37d4-457f-b710-0966ed2d5451.jpg","open")</f>
        <v/>
      </c>
      <c r="C1456" t="inlineStr">
        <is>
          <t>1c951e11-4940-43c6-a447-394097e5609a</t>
        </is>
      </c>
      <c r="D1456" t="n">
        <v>55.52947</v>
      </c>
      <c r="E1456" t="n">
        <v>37.22021</v>
      </c>
      <c r="F1456" t="inlineStr"/>
      <c r="G1456" t="inlineStr"/>
      <c r="H1456" t="inlineStr"/>
    </row>
    <row r="1457">
      <c r="A1457" t="inlineStr">
        <is>
          <t>2963f899-c605-413e-895e-40325f53e385.jpg</t>
        </is>
      </c>
      <c r="B1457">
        <f>HYPERLINK("Объекты недвижимости, не соответствующие градостроительным нормам_00-022_Август/2963f899-c605-413e-895e-40325f53e385.jpg","open")</f>
        <v/>
      </c>
      <c r="C1457" t="inlineStr">
        <is>
          <t>8cde1fd0-eca1-4510-86ab-3c743b65fdfc</t>
        </is>
      </c>
      <c r="D1457" t="n">
        <v>55.52953</v>
      </c>
      <c r="E1457" t="n">
        <v>37.22022</v>
      </c>
      <c r="F1457" t="inlineStr"/>
      <c r="G1457" t="inlineStr"/>
      <c r="H1457" t="inlineStr"/>
    </row>
    <row r="1458">
      <c r="A1458" t="inlineStr">
        <is>
          <t>13e98a23-f70d-4545-9fa9-26326aa03d17.jpg</t>
        </is>
      </c>
      <c r="B1458">
        <f>HYPERLINK("Объекты недвижимости, не соответствующие градостроительным нормам_00-022_Август/13e98a23-f70d-4545-9fa9-26326aa03d17.jpg","open")</f>
        <v/>
      </c>
      <c r="C1458" t="inlineStr">
        <is>
          <t>8996eb30-6497-4318-8a0e-b95314b8172e</t>
        </is>
      </c>
      <c r="D1458" t="n">
        <v>55.75327</v>
      </c>
      <c r="E1458" t="n">
        <v>37.79114</v>
      </c>
      <c r="F1458" t="inlineStr"/>
      <c r="G1458" t="inlineStr"/>
      <c r="H1458" t="inlineStr"/>
    </row>
    <row r="1459">
      <c r="A1459" t="inlineStr">
        <is>
          <t>6f7b5bcc-06bf-4bb7-a478-af426e2ef260.jpg</t>
        </is>
      </c>
      <c r="B1459">
        <f>HYPERLINK("Объекты недвижимости, не соответствующие градостроительным нормам_00-022_Август/6f7b5bcc-06bf-4bb7-a478-af426e2ef260.jpg","open")</f>
        <v/>
      </c>
      <c r="C1459" t="inlineStr">
        <is>
          <t>8cde1fd0-eca1-4510-86ab-3c743b65fdfc</t>
        </is>
      </c>
      <c r="D1459" t="n">
        <v>55.69488</v>
      </c>
      <c r="E1459" t="n">
        <v>37.55705</v>
      </c>
      <c r="F1459" t="inlineStr"/>
      <c r="G1459" t="inlineStr"/>
      <c r="H1459" t="inlineStr"/>
    </row>
    <row r="1460">
      <c r="A1460" t="inlineStr">
        <is>
          <t>02f49f58-d285-48af-9d82-abf4c6006a61.jpg</t>
        </is>
      </c>
      <c r="B1460">
        <f>HYPERLINK("Объекты недвижимости, не соответствующие градостроительным нормам_00-022_Август/02f49f58-d285-48af-9d82-abf4c6006a61.jpg","open")</f>
        <v/>
      </c>
      <c r="C1460" t="inlineStr">
        <is>
          <t>caa4772d-6278-4484-a046-ee25514bf521</t>
        </is>
      </c>
      <c r="D1460" t="n">
        <v>55.77124</v>
      </c>
      <c r="E1460" t="n">
        <v>37.67361</v>
      </c>
      <c r="F1460" t="inlineStr"/>
      <c r="G1460" t="inlineStr"/>
      <c r="H1460" t="inlineStr"/>
    </row>
    <row r="1461">
      <c r="A1461" t="inlineStr">
        <is>
          <t>37dd7ae6-69d5-4cbd-9ec5-82ab0c00f455.jpg</t>
        </is>
      </c>
      <c r="B1461">
        <f>HYPERLINK("Объекты недвижимости, не соответствующие градостроительным нормам_00-022_Август/37dd7ae6-69d5-4cbd-9ec5-82ab0c00f455.jpg","open")</f>
        <v/>
      </c>
      <c r="C1461" t="inlineStr">
        <is>
          <t>1c951e11-4940-43c6-a447-394097e5609a</t>
        </is>
      </c>
      <c r="D1461" t="n">
        <v>55.70326</v>
      </c>
      <c r="E1461" t="n">
        <v>37.57233</v>
      </c>
      <c r="F1461" t="inlineStr"/>
      <c r="G1461" t="inlineStr"/>
      <c r="H1461" t="inlineStr"/>
    </row>
    <row r="1462">
      <c r="A1462" t="inlineStr">
        <is>
          <t>c27b69b0-3664-4f61-b32a-83d83fae8093.jpg</t>
        </is>
      </c>
      <c r="B1462">
        <f>HYPERLINK("Объекты недвижимости, не соответствующие градостроительным нормам_00-022_Август/c27b69b0-3664-4f61-b32a-83d83fae8093.jpg","open")</f>
        <v/>
      </c>
      <c r="C1462" t="inlineStr">
        <is>
          <t>8cde1fd0-eca1-4510-86ab-3c743b65fdfc</t>
        </is>
      </c>
      <c r="D1462" t="n">
        <v>55.70326</v>
      </c>
      <c r="E1462" t="n">
        <v>37.57233</v>
      </c>
      <c r="F1462" t="inlineStr"/>
      <c r="G1462" t="inlineStr"/>
      <c r="H1462" t="inlineStr"/>
    </row>
    <row r="1463">
      <c r="A1463" t="inlineStr">
        <is>
          <t>b65ba448-9c2a-4d7f-9d0e-0c57742c20ad.jpg</t>
        </is>
      </c>
      <c r="B1463">
        <f>HYPERLINK("Объекты недвижимости, не соответствующие градостроительным нормам_00-022_Август/b65ba448-9c2a-4d7f-9d0e-0c57742c20ad.jpg","open")</f>
        <v/>
      </c>
      <c r="C1463" t="inlineStr">
        <is>
          <t>1c951e11-4940-43c6-a447-394097e5609a</t>
        </is>
      </c>
      <c r="D1463" t="n">
        <v>55.70326</v>
      </c>
      <c r="E1463" t="n">
        <v>37.57233</v>
      </c>
      <c r="F1463" t="inlineStr"/>
      <c r="G1463" t="inlineStr"/>
      <c r="H1463" t="inlineStr"/>
    </row>
    <row r="1464">
      <c r="A1464" t="inlineStr">
        <is>
          <t>c03e6957-c9dc-4b64-9311-347b691fe79a.jpg</t>
        </is>
      </c>
      <c r="B1464">
        <f>HYPERLINK("Объекты недвижимости, не соответствующие градостроительным нормам_00-022_Август/c03e6957-c9dc-4b64-9311-347b691fe79a.jpg","open")</f>
        <v/>
      </c>
      <c r="C1464" t="inlineStr">
        <is>
          <t>8cde1fd0-eca1-4510-86ab-3c743b65fdfc</t>
        </is>
      </c>
      <c r="D1464" t="n">
        <v>55.70326</v>
      </c>
      <c r="E1464" t="n">
        <v>37.57233</v>
      </c>
      <c r="F1464" t="inlineStr"/>
      <c r="G1464" t="inlineStr"/>
      <c r="H1464" t="inlineStr"/>
    </row>
    <row r="1465">
      <c r="A1465" t="inlineStr">
        <is>
          <t>4b02450b-f7c6-40a1-8a98-64f717a0b0fa.jpg</t>
        </is>
      </c>
      <c r="B1465">
        <f>HYPERLINK("Объекты недвижимости, не соответствующие градостроительным нормам_00-022_Август/4b02450b-f7c6-40a1-8a98-64f717a0b0fa.jpg","open")</f>
        <v/>
      </c>
      <c r="C1465" t="inlineStr">
        <is>
          <t>8cde1fd0-eca1-4510-86ab-3c743b65fdfc</t>
        </is>
      </c>
      <c r="D1465" t="n">
        <v>55.70326</v>
      </c>
      <c r="E1465" t="n">
        <v>37.57233</v>
      </c>
      <c r="F1465" t="inlineStr"/>
      <c r="G1465" t="inlineStr"/>
      <c r="H1465" t="inlineStr"/>
    </row>
    <row r="1466">
      <c r="A1466" t="inlineStr">
        <is>
          <t>06c0dc3c-ba7e-4fe8-9f23-2e0fe7b42a01.jpg</t>
        </is>
      </c>
      <c r="B1466">
        <f>HYPERLINK("Объекты недвижимости, не соответствующие градостроительным нормам_00-022_Август/06c0dc3c-ba7e-4fe8-9f23-2e0fe7b42a01.jpg","open")</f>
        <v/>
      </c>
      <c r="C1466" t="inlineStr">
        <is>
          <t>ab4e767f-65c0-455b-af20-a5527124fd21</t>
        </is>
      </c>
      <c r="D1466" t="n">
        <v>55.83869</v>
      </c>
      <c r="E1466" t="n">
        <v>37.43854</v>
      </c>
      <c r="F1466" t="inlineStr"/>
      <c r="G1466" t="inlineStr"/>
      <c r="H1466" t="inlineStr"/>
    </row>
    <row r="1467">
      <c r="A1467" t="inlineStr">
        <is>
          <t>7d81dc65-8f73-4c98-b2d6-9172a545a44c.jpg</t>
        </is>
      </c>
      <c r="B1467">
        <f>HYPERLINK("Объекты недвижимости, не соответствующие градостроительным нормам_00-022_Август/7d81dc65-8f73-4c98-b2d6-9172a545a44c.jpg","open")</f>
        <v/>
      </c>
      <c r="C1467" t="inlineStr">
        <is>
          <t>cb4060b2-34d3-44a4-9f60-115fb1e9278e</t>
        </is>
      </c>
      <c r="D1467" t="n">
        <v>55.75316</v>
      </c>
      <c r="E1467" t="n">
        <v>37.5911</v>
      </c>
      <c r="F1467" t="inlineStr"/>
      <c r="G1467" t="inlineStr"/>
      <c r="H1467" t="inlineStr"/>
    </row>
    <row r="1468">
      <c r="A1468" t="inlineStr">
        <is>
          <t>9b0d5760-6ec8-4ae0-b929-2978b4067a33.jpg</t>
        </is>
      </c>
      <c r="B1468">
        <f>HYPERLINK("Объекты недвижимости, не соответствующие градостроительным нормам_00-022_Август/9b0d5760-6ec8-4ae0-b929-2978b4067a33.jpg","open")</f>
        <v/>
      </c>
      <c r="C1468" t="inlineStr">
        <is>
          <t>6e2567a0-1fb9-40d5-a0e7-0adb480d2965</t>
        </is>
      </c>
      <c r="D1468" t="n">
        <v>55.75316</v>
      </c>
      <c r="E1468" t="n">
        <v>37.5911</v>
      </c>
      <c r="F1468" t="inlineStr"/>
      <c r="G1468" t="inlineStr"/>
      <c r="H1468" t="inlineStr"/>
    </row>
    <row r="1469">
      <c r="A1469" t="inlineStr">
        <is>
          <t>ec57523a-84d0-4e73-80d1-6bec47bb510b.jpg</t>
        </is>
      </c>
      <c r="B1469">
        <f>HYPERLINK("Объекты недвижимости, не соответствующие градостроительным нормам_00-022_Август/ec57523a-84d0-4e73-80d1-6bec47bb510b.jpg","open")</f>
        <v/>
      </c>
      <c r="C1469" t="inlineStr">
        <is>
          <t>6e2567a0-1fb9-40d5-a0e7-0adb480d2965</t>
        </is>
      </c>
      <c r="D1469" t="n">
        <v>55.75316</v>
      </c>
      <c r="E1469" t="n">
        <v>37.5911</v>
      </c>
      <c r="F1469" t="inlineStr"/>
      <c r="G1469" t="inlineStr"/>
      <c r="H1469" t="inlineStr"/>
    </row>
    <row r="1470">
      <c r="A1470" t="inlineStr">
        <is>
          <t>1f5cffef-62a7-48a7-b332-0a552ea52a7c.jpg</t>
        </is>
      </c>
      <c r="B1470">
        <f>HYPERLINK("Объекты недвижимости, не соответствующие градостроительным нормам_00-022_Август/1f5cffef-62a7-48a7-b332-0a552ea52a7c.jpg","open")</f>
        <v/>
      </c>
      <c r="C1470" t="inlineStr">
        <is>
          <t>6e2567a0-1fb9-40d5-a0e7-0adb480d2965</t>
        </is>
      </c>
      <c r="D1470" t="n">
        <v>55.75316</v>
      </c>
      <c r="E1470" t="n">
        <v>37.5911</v>
      </c>
      <c r="F1470" t="inlineStr"/>
      <c r="G1470" t="inlineStr"/>
      <c r="H1470" t="inlineStr"/>
    </row>
    <row r="1471">
      <c r="A1471" t="inlineStr">
        <is>
          <t>3f808186-4a52-490d-b280-5355df3a2e84.jpg</t>
        </is>
      </c>
      <c r="B1471">
        <f>HYPERLINK("Объекты недвижимости, не соответствующие градостроительным нормам_00-022_Август/3f808186-4a52-490d-b280-5355df3a2e84.jpg","open")</f>
        <v/>
      </c>
      <c r="C1471" t="inlineStr">
        <is>
          <t>6e2567a0-1fb9-40d5-a0e7-0adb480d2965</t>
        </is>
      </c>
      <c r="D1471" t="n">
        <v>55.75316</v>
      </c>
      <c r="E1471" t="n">
        <v>37.5911</v>
      </c>
      <c r="F1471" t="inlineStr"/>
      <c r="G1471" t="inlineStr"/>
      <c r="H1471" t="inlineStr"/>
    </row>
    <row r="1472">
      <c r="A1472" t="inlineStr">
        <is>
          <t>ed2cf2b2-2001-4376-8e50-4820e13c8ea1.jpg</t>
        </is>
      </c>
      <c r="B1472">
        <f>HYPERLINK("Объекты недвижимости, не соответствующие градостроительным нормам_00-022_Август/ed2cf2b2-2001-4376-8e50-4820e13c8ea1.jpg","open")</f>
        <v/>
      </c>
      <c r="C1472" t="inlineStr">
        <is>
          <t>ab4e767f-65c0-455b-af20-a5527124fd21</t>
        </is>
      </c>
      <c r="D1472" t="n">
        <v>55.77049</v>
      </c>
      <c r="E1472" t="n">
        <v>37.6085</v>
      </c>
      <c r="F1472" t="inlineStr"/>
      <c r="G1472" t="inlineStr"/>
      <c r="H1472" t="inlineStr"/>
    </row>
    <row r="1473">
      <c r="A1473" t="inlineStr">
        <is>
          <t>7e56861c-6975-4f3a-8260-ad1a6534c551.jpg</t>
        </is>
      </c>
      <c r="B1473">
        <f>HYPERLINK("Объекты недвижимости, не соответствующие градостроительным нормам_00-022_Август/7e56861c-6975-4f3a-8260-ad1a6534c551.jpg","open")</f>
        <v/>
      </c>
      <c r="C1473" t="inlineStr">
        <is>
          <t>ab4e767f-65c0-455b-af20-a5527124fd21</t>
        </is>
      </c>
      <c r="D1473" t="n">
        <v>55.77211</v>
      </c>
      <c r="E1473" t="n">
        <v>37.60956</v>
      </c>
      <c r="F1473" t="inlineStr"/>
      <c r="G1473" t="inlineStr"/>
      <c r="H1473" t="inlineStr"/>
    </row>
    <row r="1474">
      <c r="A1474" t="inlineStr">
        <is>
          <t>3a24d89d-5e92-439e-b2cc-d9149a2e310a.jpg</t>
        </is>
      </c>
      <c r="B1474">
        <f>HYPERLINK("Объекты недвижимости, не соответствующие градостроительным нормам_00-022_Август/3a24d89d-5e92-439e-b2cc-d9149a2e310a.jpg","open")</f>
        <v/>
      </c>
      <c r="C1474" t="inlineStr">
        <is>
          <t>ab4e767f-65c0-455b-af20-a5527124fd21</t>
        </is>
      </c>
      <c r="D1474" t="n">
        <v>55.77211</v>
      </c>
      <c r="E1474" t="n">
        <v>37.60956</v>
      </c>
      <c r="F1474" t="inlineStr"/>
      <c r="G1474" t="inlineStr"/>
      <c r="H1474" t="inlineStr"/>
    </row>
    <row r="1475">
      <c r="A1475" t="inlineStr">
        <is>
          <t>8ad28c52-b23f-423b-8872-9e534e56dd9f.jpg</t>
        </is>
      </c>
      <c r="B1475">
        <f>HYPERLINK("Объекты недвижимости, не соответствующие градостроительным нормам_00-022_Август/8ad28c52-b23f-423b-8872-9e534e56dd9f.jpg","open")</f>
        <v/>
      </c>
      <c r="C1475" t="inlineStr">
        <is>
          <t>db8b536c-32f2-4d9a-ae08-679d227e61f1</t>
        </is>
      </c>
      <c r="D1475" t="n">
        <v>55.69909</v>
      </c>
      <c r="E1475" t="n">
        <v>37.57864</v>
      </c>
      <c r="F1475" t="inlineStr"/>
      <c r="G1475" t="inlineStr"/>
      <c r="H1475" t="inlineStr"/>
    </row>
    <row r="1476">
      <c r="A1476" t="inlineStr">
        <is>
          <t>7c94cf10-1cf8-433f-977b-425fa02fbb82.jpg</t>
        </is>
      </c>
      <c r="B1476">
        <f>HYPERLINK("Объекты недвижимости, не соответствующие градостроительным нормам_00-022_Август/7c94cf10-1cf8-433f-977b-425fa02fbb82.jpg","open")</f>
        <v/>
      </c>
      <c r="C1476" t="inlineStr">
        <is>
          <t>ab4e767f-65c0-455b-af20-a5527124fd21</t>
        </is>
      </c>
      <c r="D1476" t="n">
        <v>55.71016</v>
      </c>
      <c r="E1476" t="n">
        <v>37.66476</v>
      </c>
      <c r="F1476" t="inlineStr"/>
      <c r="G1476" t="inlineStr"/>
      <c r="H1476" t="inlineStr"/>
    </row>
    <row r="1477">
      <c r="A1477" t="inlineStr">
        <is>
          <t>d58a4de7-09d0-4d83-9368-1df8c20b44b5.jpg</t>
        </is>
      </c>
      <c r="B1477">
        <f>HYPERLINK("Объекты недвижимости, не соответствующие градостроительным нормам_00-022_Август/d58a4de7-09d0-4d83-9368-1df8c20b44b5.jpg","open")</f>
        <v/>
      </c>
      <c r="C1477" t="inlineStr">
        <is>
          <t>2ba4f567-3981-4fd7-ac4a-45e8b3d68429</t>
        </is>
      </c>
      <c r="D1477" t="n">
        <v>55.98989</v>
      </c>
      <c r="E1477" t="n">
        <v>37.84122</v>
      </c>
      <c r="F1477" t="inlineStr"/>
      <c r="G1477" t="inlineStr"/>
      <c r="H1477" t="inlineStr"/>
    </row>
    <row r="1478">
      <c r="A1478" t="inlineStr">
        <is>
          <t>60bb9c96-1929-47c0-b484-d969c48be946.jpg</t>
        </is>
      </c>
      <c r="B1478">
        <f>HYPERLINK("Объекты недвижимости, не соответствующие градостроительным нормам_00-022_Август/60bb9c96-1929-47c0-b484-d969c48be946.jpg","open")</f>
        <v/>
      </c>
      <c r="C1478" t="inlineStr">
        <is>
          <t>2ba4f567-3981-4fd7-ac4a-45e8b3d68429</t>
        </is>
      </c>
      <c r="D1478" t="n">
        <v>55.74229</v>
      </c>
      <c r="E1478" t="n">
        <v>37.67069</v>
      </c>
      <c r="F1478" t="inlineStr"/>
      <c r="G1478" t="inlineStr"/>
      <c r="H1478" t="inlineStr"/>
    </row>
    <row r="1479">
      <c r="A1479" t="inlineStr">
        <is>
          <t>71edf876-c4d7-4791-a9f8-0088d5c6df5e.jpg</t>
        </is>
      </c>
      <c r="B1479">
        <f>HYPERLINK("Объекты недвижимости, не соответствующие градостроительным нормам_00-022_Август/71edf876-c4d7-4791-a9f8-0088d5c6df5e.jpg","open")</f>
        <v/>
      </c>
      <c r="C1479" t="inlineStr">
        <is>
          <t>2181e48f-fa47-41a0-9111-650d196fe00d</t>
        </is>
      </c>
      <c r="D1479" t="n">
        <v>55.74064</v>
      </c>
      <c r="E1479" t="n">
        <v>37.64958</v>
      </c>
      <c r="F1479" t="inlineStr"/>
      <c r="G1479" t="inlineStr"/>
      <c r="H1479" t="inlineStr"/>
    </row>
    <row r="1480">
      <c r="A1480" t="inlineStr">
        <is>
          <t>821f26ba-ac35-463b-85f3-78df5ca44efb.jpg</t>
        </is>
      </c>
      <c r="B1480">
        <f>HYPERLINK("Объекты недвижимости, не соответствующие градостроительным нормам_00-022_Август/821f26ba-ac35-463b-85f3-78df5ca44efb.jpg","open")</f>
        <v/>
      </c>
      <c r="C1480" t="inlineStr">
        <is>
          <t>2ba4f567-3981-4fd7-ac4a-45e8b3d68429</t>
        </is>
      </c>
      <c r="D1480" t="n">
        <v>55.98927</v>
      </c>
      <c r="E1480" t="n">
        <v>37.83594</v>
      </c>
      <c r="F1480" t="inlineStr"/>
      <c r="G1480" t="inlineStr"/>
      <c r="H1480" t="inlineStr"/>
    </row>
    <row r="1481">
      <c r="A1481" t="inlineStr">
        <is>
          <t>76149b46-0e21-4038-8c95-c30614b5a3dd.jpg</t>
        </is>
      </c>
      <c r="B1481">
        <f>HYPERLINK("Объекты недвижимости, не соответствующие градостроительным нормам_00-022_Август/76149b46-0e21-4038-8c95-c30614b5a3dd.jpg","open")</f>
        <v/>
      </c>
      <c r="C1481" t="inlineStr">
        <is>
          <t>2181e48f-fa47-41a0-9111-650d196fe00d</t>
        </is>
      </c>
      <c r="D1481" t="n">
        <v>55.73825</v>
      </c>
      <c r="E1481" t="n">
        <v>37.58998</v>
      </c>
      <c r="F1481" t="inlineStr"/>
      <c r="G1481" t="inlineStr"/>
      <c r="H1481" t="inlineStr"/>
    </row>
    <row r="1482">
      <c r="A1482" t="inlineStr">
        <is>
          <t>4845db48-184a-44ca-9999-03c8eeedae29.jpg</t>
        </is>
      </c>
      <c r="B1482">
        <f>HYPERLINK("Объекты недвижимости, не соответствующие градостроительным нормам_00-022_Август/4845db48-184a-44ca-9999-03c8eeedae29.jpg","open")</f>
        <v/>
      </c>
      <c r="C1482" t="inlineStr">
        <is>
          <t>cbf95b01-f708-45a3-9ec0-3603469b538e</t>
        </is>
      </c>
      <c r="D1482" t="n">
        <v>54.82396</v>
      </c>
      <c r="E1482" t="n">
        <v>35.2511</v>
      </c>
      <c r="F1482" t="inlineStr"/>
      <c r="G1482" t="inlineStr"/>
      <c r="H1482" t="inlineStr"/>
    </row>
    <row r="1483">
      <c r="A1483" t="inlineStr">
        <is>
          <t>1c082043-9b89-4908-b3c5-8af1849cca98.jpg</t>
        </is>
      </c>
      <c r="B1483">
        <f>HYPERLINK("Объекты недвижимости, не соответствующие градостроительным нормам_00-022_Август/1c082043-9b89-4908-b3c5-8af1849cca98.jpg","open")</f>
        <v/>
      </c>
      <c r="C1483" t="inlineStr">
        <is>
          <t>cbf95b01-f708-45a3-9ec0-3603469b538e</t>
        </is>
      </c>
      <c r="D1483" t="n">
        <v>54.82396</v>
      </c>
      <c r="E1483" t="n">
        <v>35.2511</v>
      </c>
      <c r="F1483" t="inlineStr"/>
      <c r="G1483" t="inlineStr"/>
      <c r="H1483" t="inlineStr"/>
    </row>
    <row r="1484">
      <c r="A1484" t="inlineStr">
        <is>
          <t>9ad1dba4-4e50-4d1f-8b94-6ba45948295a.jpg</t>
        </is>
      </c>
      <c r="B1484">
        <f>HYPERLINK("Объекты недвижимости, не соответствующие градостроительным нормам_00-022_Август/9ad1dba4-4e50-4d1f-8b94-6ba45948295a.jpg","open")</f>
        <v/>
      </c>
      <c r="C1484" t="inlineStr">
        <is>
          <t>cbf95b01-f708-45a3-9ec0-3603469b538e</t>
        </is>
      </c>
      <c r="D1484" t="n">
        <v>54.82396</v>
      </c>
      <c r="E1484" t="n">
        <v>35.2511</v>
      </c>
      <c r="F1484" t="inlineStr"/>
      <c r="G1484" t="inlineStr"/>
      <c r="H1484" t="inlineStr"/>
    </row>
    <row r="1485">
      <c r="A1485" t="inlineStr">
        <is>
          <t>94a96906-54e5-4aed-942a-1a68b9058f02.jpg</t>
        </is>
      </c>
      <c r="B1485">
        <f>HYPERLINK("Объекты недвижимости, не соответствующие градостроительным нормам_00-022_Август/94a96906-54e5-4aed-942a-1a68b9058f02.jpg","open")</f>
        <v/>
      </c>
      <c r="C1485" t="inlineStr">
        <is>
          <t>1c951e11-4940-43c6-a447-394097e5609a</t>
        </is>
      </c>
      <c r="D1485" t="n">
        <v>55.70326</v>
      </c>
      <c r="E1485" t="n">
        <v>37.57233</v>
      </c>
      <c r="F1485" t="inlineStr"/>
      <c r="G1485" t="inlineStr"/>
      <c r="H1485" t="inlineStr"/>
    </row>
    <row r="1486">
      <c r="A1486" t="inlineStr">
        <is>
          <t>7aae4fb0-190e-4496-9afa-0e2e2ee20618.jpg</t>
        </is>
      </c>
      <c r="B1486">
        <f>HYPERLINK("Объекты недвижимости, не соответствующие градостроительным нормам_00-022_Август/7aae4fb0-190e-4496-9afa-0e2e2ee20618.jpg","open")</f>
        <v/>
      </c>
      <c r="C1486" t="inlineStr">
        <is>
          <t>8cde1fd0-eca1-4510-86ab-3c743b65fdfc</t>
        </is>
      </c>
      <c r="D1486" t="n">
        <v>55.70326</v>
      </c>
      <c r="E1486" t="n">
        <v>37.57233</v>
      </c>
      <c r="F1486" t="inlineStr"/>
      <c r="G1486" t="inlineStr"/>
      <c r="H1486" t="inlineStr"/>
    </row>
    <row r="1487">
      <c r="A1487" t="inlineStr">
        <is>
          <t>3f6cc8a2-484a-458f-9c59-e3c2ffb33f2e.jpg</t>
        </is>
      </c>
      <c r="B1487">
        <f>HYPERLINK("Объекты недвижимости, не соответствующие градостроительным нормам_00-022_Август/3f6cc8a2-484a-458f-9c59-e3c2ffb33f2e.jpg","open")</f>
        <v/>
      </c>
      <c r="C1487" t="inlineStr">
        <is>
          <t>cbf95b01-f708-45a3-9ec0-3603469b538e</t>
        </is>
      </c>
      <c r="D1487" t="n">
        <v>54.82396</v>
      </c>
      <c r="E1487" t="n">
        <v>35.2511</v>
      </c>
      <c r="F1487" t="inlineStr"/>
      <c r="G1487" t="inlineStr"/>
      <c r="H1487" t="inlineStr"/>
    </row>
    <row r="1488">
      <c r="A1488" t="inlineStr">
        <is>
          <t>275ae64f-bb16-4728-8683-cda6be74e92e.jpg</t>
        </is>
      </c>
      <c r="B1488">
        <f>HYPERLINK("Объекты недвижимости, не соответствующие градостроительным нормам_00-022_Август/275ae64f-bb16-4728-8683-cda6be74e92e.jpg","open")</f>
        <v/>
      </c>
      <c r="C1488" t="inlineStr">
        <is>
          <t>cbf95b01-f708-45a3-9ec0-3603469b538e</t>
        </is>
      </c>
      <c r="D1488" t="n">
        <v>54.82396</v>
      </c>
      <c r="E1488" t="n">
        <v>35.2511</v>
      </c>
      <c r="F1488" t="inlineStr"/>
      <c r="G1488" t="inlineStr"/>
      <c r="H1488" t="inlineStr"/>
    </row>
    <row r="1489">
      <c r="A1489" t="inlineStr">
        <is>
          <t>238b6dfe-c099-4a92-abcf-826067ad1be4.jpg</t>
        </is>
      </c>
      <c r="B1489">
        <f>HYPERLINK("Объекты недвижимости, не соответствующие градостроительным нормам_00-022_Август/238b6dfe-c099-4a92-abcf-826067ad1be4.jpg","open")</f>
        <v/>
      </c>
      <c r="C1489" t="inlineStr">
        <is>
          <t>a1a9db89-3f74-42ef-8fad-ad69705102cd</t>
        </is>
      </c>
      <c r="D1489" t="n">
        <v>54.82396</v>
      </c>
      <c r="E1489" t="n">
        <v>35.2511</v>
      </c>
      <c r="F1489" t="inlineStr"/>
      <c r="G1489" t="inlineStr"/>
      <c r="H1489" t="inlineStr"/>
    </row>
    <row r="1490">
      <c r="A1490" t="inlineStr">
        <is>
          <t>73638530-dcb0-4d4c-a607-660515ddba5b.jpg</t>
        </is>
      </c>
      <c r="B1490">
        <f>HYPERLINK("Объекты недвижимости, не соответствующие градостроительным нормам_00-022_Август/73638530-dcb0-4d4c-a607-660515ddba5b.jpg","open")</f>
        <v/>
      </c>
      <c r="C1490" t="inlineStr">
        <is>
          <t>cbf95b01-f708-45a3-9ec0-3603469b538e</t>
        </is>
      </c>
      <c r="D1490" t="n">
        <v>54.82396</v>
      </c>
      <c r="E1490" t="n">
        <v>35.2511</v>
      </c>
      <c r="F1490" t="inlineStr"/>
      <c r="G1490" t="inlineStr"/>
      <c r="H1490" t="inlineStr"/>
    </row>
    <row r="1491">
      <c r="A1491" t="inlineStr">
        <is>
          <t>ee5422f9-a7ac-4e26-84f2-248183c917bc.jpg</t>
        </is>
      </c>
      <c r="B1491">
        <f>HYPERLINK("Объекты недвижимости, не соответствующие градостроительным нормам_00-022_Август/ee5422f9-a7ac-4e26-84f2-248183c917bc.jpg","open")</f>
        <v/>
      </c>
      <c r="C1491" t="inlineStr">
        <is>
          <t>cbf95b01-f708-45a3-9ec0-3603469b538e</t>
        </is>
      </c>
      <c r="D1491" t="n">
        <v>54.82396</v>
      </c>
      <c r="E1491" t="n">
        <v>35.2511</v>
      </c>
      <c r="F1491" t="inlineStr"/>
      <c r="G1491" t="inlineStr"/>
      <c r="H1491" t="inlineStr"/>
    </row>
    <row r="1492">
      <c r="A1492" t="inlineStr">
        <is>
          <t>65151162-31c7-49bf-aa2b-5c4ad50bcc87.jpg</t>
        </is>
      </c>
      <c r="B1492">
        <f>HYPERLINK("Объекты недвижимости, не соответствующие градостроительным нормам_00-022_Август/65151162-31c7-49bf-aa2b-5c4ad50bcc87.jpg","open")</f>
        <v/>
      </c>
      <c r="C1492" t="inlineStr">
        <is>
          <t>cbf95b01-f708-45a3-9ec0-3603469b538e</t>
        </is>
      </c>
      <c r="D1492" t="n">
        <v>54.82396</v>
      </c>
      <c r="E1492" t="n">
        <v>35.2511</v>
      </c>
      <c r="F1492" t="inlineStr"/>
      <c r="G1492" t="inlineStr"/>
      <c r="H1492" t="inlineStr"/>
    </row>
    <row r="1493">
      <c r="A1493" t="inlineStr">
        <is>
          <t>615cb630-f83e-41c8-ac42-e3a28b83b20f.jpg</t>
        </is>
      </c>
      <c r="B1493">
        <f>HYPERLINK("Объекты недвижимости, не соответствующие градостроительным нормам_00-022_Август/615cb630-f83e-41c8-ac42-e3a28b83b20f.jpg","open")</f>
        <v/>
      </c>
      <c r="C1493" t="inlineStr">
        <is>
          <t>cbf95b01-f708-45a3-9ec0-3603469b538e</t>
        </is>
      </c>
      <c r="D1493" t="n">
        <v>54.82396</v>
      </c>
      <c r="E1493" t="n">
        <v>35.2511</v>
      </c>
      <c r="F1493" t="inlineStr"/>
      <c r="G1493" t="inlineStr"/>
      <c r="H1493" t="inlineStr"/>
    </row>
    <row r="1494">
      <c r="A1494" t="inlineStr">
        <is>
          <t>dd6627e3-9894-41d8-96e5-a6f2b28cb33c.jpg</t>
        </is>
      </c>
      <c r="B1494">
        <f>HYPERLINK("Объекты недвижимости, не соответствующие градостроительным нормам_00-022_Август/dd6627e3-9894-41d8-96e5-a6f2b28cb33c.jpg","open")</f>
        <v/>
      </c>
      <c r="C1494" t="inlineStr">
        <is>
          <t>8cde1fd0-eca1-4510-86ab-3c743b65fdfc</t>
        </is>
      </c>
      <c r="D1494" t="n">
        <v>55.70326</v>
      </c>
      <c r="E1494" t="n">
        <v>37.57233</v>
      </c>
      <c r="F1494" t="inlineStr"/>
      <c r="G1494" t="inlineStr"/>
      <c r="H1494" t="inlineStr"/>
    </row>
    <row r="1495">
      <c r="A1495" t="inlineStr">
        <is>
          <t>ea1cbb1d-cb86-4fc2-8019-22c1c4c1f847.jpg</t>
        </is>
      </c>
      <c r="B1495">
        <f>HYPERLINK("Объекты недвижимости, не соответствующие градостроительным нормам_00-022_Август/ea1cbb1d-cb86-4fc2-8019-22c1c4c1f847.jpg","open")</f>
        <v/>
      </c>
      <c r="C1495" t="inlineStr">
        <is>
          <t>8cde1fd0-eca1-4510-86ab-3c743b65fdfc</t>
        </is>
      </c>
      <c r="D1495" t="n">
        <v>55.70326</v>
      </c>
      <c r="E1495" t="n">
        <v>37.57233</v>
      </c>
      <c r="F1495" t="inlineStr"/>
      <c r="G1495" t="inlineStr"/>
      <c r="H1495" t="inlineStr"/>
    </row>
    <row r="1496">
      <c r="A1496" t="inlineStr">
        <is>
          <t>e72b9301-d05d-4208-88e4-8b6bc3823482.jpg</t>
        </is>
      </c>
      <c r="B1496">
        <f>HYPERLINK("Объекты недвижимости, не соответствующие градостроительным нормам_00-022_Август/e72b9301-d05d-4208-88e4-8b6bc3823482.jpg","open")</f>
        <v/>
      </c>
      <c r="C1496" t="inlineStr">
        <is>
          <t>1c951e11-4940-43c6-a447-394097e5609a</t>
        </is>
      </c>
      <c r="D1496" t="n">
        <v>55.70326</v>
      </c>
      <c r="E1496" t="n">
        <v>37.57233</v>
      </c>
      <c r="F1496" t="inlineStr"/>
      <c r="G1496" t="inlineStr"/>
      <c r="H1496" t="inlineStr"/>
    </row>
    <row r="1497">
      <c r="A1497" t="inlineStr">
        <is>
          <t>3fdd2e1d-f12f-4255-ab02-12be06200eae.jpg</t>
        </is>
      </c>
      <c r="B1497">
        <f>HYPERLINK("Объекты недвижимости, не соответствующие градостроительным нормам_00-022_Август/3fdd2e1d-f12f-4255-ab02-12be06200eae.jpg","open")</f>
        <v/>
      </c>
      <c r="C1497" t="inlineStr">
        <is>
          <t>1c951e11-4940-43c6-a447-394097e5609a</t>
        </is>
      </c>
      <c r="D1497" t="n">
        <v>55.70326</v>
      </c>
      <c r="E1497" t="n">
        <v>37.57233</v>
      </c>
      <c r="F1497" t="inlineStr"/>
      <c r="G1497" t="inlineStr"/>
      <c r="H1497" t="inlineStr"/>
    </row>
    <row r="1498">
      <c r="A1498" t="inlineStr">
        <is>
          <t>fe3a3af7-e012-4805-8503-0524144da7ef.jpg</t>
        </is>
      </c>
      <c r="B1498">
        <f>HYPERLINK("Объекты недвижимости, не соответствующие градостроительным нормам_00-022_Август/fe3a3af7-e012-4805-8503-0524144da7ef.jpg","open")</f>
        <v/>
      </c>
      <c r="C1498" t="inlineStr">
        <is>
          <t>1c951e11-4940-43c6-a447-394097e5609a</t>
        </is>
      </c>
      <c r="D1498" t="n">
        <v>55.70326</v>
      </c>
      <c r="E1498" t="n">
        <v>37.57233</v>
      </c>
      <c r="F1498" t="inlineStr"/>
      <c r="G1498" t="inlineStr"/>
      <c r="H1498" t="inlineStr"/>
    </row>
    <row r="1499">
      <c r="A1499" t="inlineStr">
        <is>
          <t>e24bdc09-9411-4d85-a943-13928ff8a064.jpg</t>
        </is>
      </c>
      <c r="B1499">
        <f>HYPERLINK("Объекты недвижимости, не соответствующие градостроительным нормам_00-022_Август/e24bdc09-9411-4d85-a943-13928ff8a064.jpg","open")</f>
        <v/>
      </c>
      <c r="C1499" t="inlineStr">
        <is>
          <t>cbf95b01-f708-45a3-9ec0-3603469b538e</t>
        </is>
      </c>
      <c r="D1499" t="n">
        <v>54.82396</v>
      </c>
      <c r="E1499" t="n">
        <v>35.2511</v>
      </c>
      <c r="F1499" t="inlineStr"/>
      <c r="G1499" t="inlineStr"/>
      <c r="H1499" t="inlineStr"/>
    </row>
    <row r="1500">
      <c r="A1500" t="inlineStr">
        <is>
          <t>88dd0e5d-257b-49ba-a656-052097d342c0.jpg</t>
        </is>
      </c>
      <c r="B1500">
        <f>HYPERLINK("Объекты недвижимости, не соответствующие градостроительным нормам_00-022_Август/88dd0e5d-257b-49ba-a656-052097d342c0.jpg","open")</f>
        <v/>
      </c>
      <c r="C1500" t="inlineStr">
        <is>
          <t>1c951e11-4940-43c6-a447-394097e5609a</t>
        </is>
      </c>
      <c r="D1500" t="n">
        <v>55.70326</v>
      </c>
      <c r="E1500" t="n">
        <v>37.57233</v>
      </c>
      <c r="F1500" t="inlineStr"/>
      <c r="G1500" t="inlineStr"/>
      <c r="H1500" t="inlineStr"/>
    </row>
    <row r="1501">
      <c r="A1501" t="inlineStr">
        <is>
          <t>cdb250c2-23f5-4cbf-87df-806c16b1d678.jpg</t>
        </is>
      </c>
      <c r="B1501">
        <f>HYPERLINK("Объекты недвижимости, не соответствующие градостроительным нормам_00-022_Август/cdb250c2-23f5-4cbf-87df-806c16b1d678.jpg","open")</f>
        <v/>
      </c>
      <c r="C1501" t="inlineStr">
        <is>
          <t>1c951e11-4940-43c6-a447-394097e5609a</t>
        </is>
      </c>
      <c r="D1501" t="n">
        <v>55.70326</v>
      </c>
      <c r="E1501" t="n">
        <v>37.57233</v>
      </c>
      <c r="F1501" t="inlineStr"/>
      <c r="G1501" t="inlineStr"/>
      <c r="H1501" t="inlineStr"/>
    </row>
    <row r="1502">
      <c r="A1502" t="inlineStr">
        <is>
          <t>727b3ee0-b393-44c1-9bd2-afee90e3f5ff.jpg</t>
        </is>
      </c>
      <c r="B1502">
        <f>HYPERLINK("Объекты недвижимости, не соответствующие градостроительным нормам_00-022_Август/727b3ee0-b393-44c1-9bd2-afee90e3f5ff.jpg","open")</f>
        <v/>
      </c>
      <c r="C1502" t="inlineStr">
        <is>
          <t>8cde1fd0-eca1-4510-86ab-3c743b65fdfc</t>
        </is>
      </c>
      <c r="D1502" t="n">
        <v>55.70326</v>
      </c>
      <c r="E1502" t="n">
        <v>37.57233</v>
      </c>
      <c r="F1502" t="inlineStr"/>
      <c r="G1502" t="inlineStr"/>
      <c r="H1502" t="inlineStr"/>
    </row>
    <row r="1503">
      <c r="A1503" t="inlineStr">
        <is>
          <t>4a4b977a-9ff9-4e60-aec9-5c6396e0dbeb.jpg</t>
        </is>
      </c>
      <c r="B1503">
        <f>HYPERLINK("Объекты недвижимости, не соответствующие градостроительным нормам_00-022_Август/4a4b977a-9ff9-4e60-aec9-5c6396e0dbeb.jpg","open")</f>
        <v/>
      </c>
      <c r="C1503" t="inlineStr">
        <is>
          <t>1c951e11-4940-43c6-a447-394097e5609a</t>
        </is>
      </c>
      <c r="D1503" t="n">
        <v>55.70326</v>
      </c>
      <c r="E1503" t="n">
        <v>37.57233</v>
      </c>
      <c r="F1503" t="inlineStr"/>
      <c r="G1503" t="inlineStr"/>
      <c r="H1503" t="inlineStr"/>
    </row>
    <row r="1504">
      <c r="A1504" t="inlineStr">
        <is>
          <t>2dd148a5-1eeb-4589-bbb3-797d861d9044.jpg</t>
        </is>
      </c>
      <c r="B1504">
        <f>HYPERLINK("Объекты недвижимости, не соответствующие градостроительным нормам_00-022_Август/2dd148a5-1eeb-4589-bbb3-797d861d9044.jpg","open")</f>
        <v/>
      </c>
      <c r="C1504" t="inlineStr">
        <is>
          <t>caa4772d-6278-4484-a046-ee25514bf521</t>
        </is>
      </c>
      <c r="D1504" t="n">
        <v>56.17868</v>
      </c>
      <c r="E1504" t="n">
        <v>37.43189</v>
      </c>
      <c r="F1504" t="inlineStr"/>
      <c r="G1504" t="inlineStr"/>
      <c r="H1504" t="inlineStr"/>
    </row>
    <row r="1505">
      <c r="A1505" t="inlineStr">
        <is>
          <t>e1693d8e-7780-4914-8a34-081205684e11.jpg</t>
        </is>
      </c>
      <c r="B1505">
        <f>HYPERLINK("Объекты недвижимости, не соответствующие градостроительным нормам_00-022_Август/e1693d8e-7780-4914-8a34-081205684e11.jpg","open")</f>
        <v/>
      </c>
      <c r="C1505" t="inlineStr">
        <is>
          <t>93848fc8-17e7-4748-9ebc-c7e379e11d2f</t>
        </is>
      </c>
      <c r="D1505" t="n">
        <v>55.7718</v>
      </c>
      <c r="E1505" t="n">
        <v>37.62978</v>
      </c>
      <c r="F1505" t="inlineStr"/>
      <c r="G1505" t="inlineStr"/>
      <c r="H1505" t="inlineStr"/>
    </row>
    <row r="1506">
      <c r="A1506" t="inlineStr">
        <is>
          <t>a1f2ca29-551a-470e-9052-888b7b940a93.jpg</t>
        </is>
      </c>
      <c r="B1506">
        <f>HYPERLINK("Объекты недвижимости, не соответствующие градостроительным нормам_00-022_Август/a1f2ca29-551a-470e-9052-888b7b940a93.jpg","open")</f>
        <v/>
      </c>
      <c r="C1506" t="inlineStr">
        <is>
          <t>8cde1fd0-eca1-4510-86ab-3c743b65fdfc</t>
        </is>
      </c>
      <c r="D1506" t="n">
        <v>55.70326</v>
      </c>
      <c r="E1506" t="n">
        <v>37.57233</v>
      </c>
      <c r="F1506" t="inlineStr"/>
      <c r="G1506" t="inlineStr"/>
      <c r="H1506" t="inlineStr"/>
    </row>
    <row r="1507">
      <c r="A1507" t="inlineStr">
        <is>
          <t>4c59dadc-001c-4d75-9a22-8e22d58df091.jpg</t>
        </is>
      </c>
      <c r="B1507">
        <f>HYPERLINK("Объекты недвижимости, не соответствующие градостроительным нормам_00-022_Август/4c59dadc-001c-4d75-9a22-8e22d58df091.jpg","open")</f>
        <v/>
      </c>
      <c r="C1507" t="inlineStr">
        <is>
          <t>8cde1fd0-eca1-4510-86ab-3c743b65fdfc</t>
        </is>
      </c>
      <c r="D1507" t="n">
        <v>55.70326</v>
      </c>
      <c r="E1507" t="n">
        <v>37.57233</v>
      </c>
      <c r="F1507" t="inlineStr"/>
      <c r="G1507" t="inlineStr"/>
      <c r="H1507" t="inlineStr"/>
    </row>
    <row r="1508">
      <c r="A1508" t="inlineStr">
        <is>
          <t>992a9ad8-9778-4530-8d67-931996043921.jpg</t>
        </is>
      </c>
      <c r="B1508">
        <f>HYPERLINK("Объекты недвижимости, не соответствующие градостроительным нормам_00-022_Август/992a9ad8-9778-4530-8d67-931996043921.jpg","open")</f>
        <v/>
      </c>
      <c r="C1508" t="inlineStr">
        <is>
          <t>8cde1fd0-eca1-4510-86ab-3c743b65fdfc</t>
        </is>
      </c>
      <c r="D1508" t="n">
        <v>55.70326</v>
      </c>
      <c r="E1508" t="n">
        <v>37.57233</v>
      </c>
      <c r="F1508" t="inlineStr"/>
      <c r="G1508" t="inlineStr"/>
      <c r="H1508" t="inlineStr"/>
    </row>
    <row r="1509">
      <c r="A1509" t="inlineStr">
        <is>
          <t>4fef2e70-38d7-41a1-9427-804186a901ac.jpg</t>
        </is>
      </c>
      <c r="B1509">
        <f>HYPERLINK("Объекты недвижимости, не соответствующие градостроительным нормам_00-022_Август/4fef2e70-38d7-41a1-9427-804186a901ac.jpg","open")</f>
        <v/>
      </c>
      <c r="C1509" t="inlineStr">
        <is>
          <t>1c951e11-4940-43c6-a447-394097e5609a</t>
        </is>
      </c>
      <c r="D1509" t="n">
        <v>55.70326</v>
      </c>
      <c r="E1509" t="n">
        <v>37.57233</v>
      </c>
      <c r="F1509" t="inlineStr"/>
      <c r="G1509" t="inlineStr"/>
      <c r="H1509" t="inlineStr"/>
    </row>
    <row r="1510">
      <c r="A1510" t="inlineStr">
        <is>
          <t>bd26df00-ae9a-4547-827c-dcc914a0c132.jpg</t>
        </is>
      </c>
      <c r="B1510">
        <f>HYPERLINK("Объекты недвижимости, не соответствующие градостроительным нормам_00-022_Август/bd26df00-ae9a-4547-827c-dcc914a0c132.jpg","open")</f>
        <v/>
      </c>
      <c r="C1510" t="inlineStr">
        <is>
          <t>8cde1fd0-eca1-4510-86ab-3c743b65fdfc</t>
        </is>
      </c>
      <c r="D1510" t="n">
        <v>55.70326</v>
      </c>
      <c r="E1510" t="n">
        <v>37.57233</v>
      </c>
      <c r="F1510" t="inlineStr"/>
      <c r="G1510" t="inlineStr"/>
      <c r="H1510" t="inlineStr"/>
    </row>
    <row r="1511">
      <c r="A1511" t="inlineStr">
        <is>
          <t>ae949ea9-ec86-4879-9c22-f9cd9b39529a.jpg</t>
        </is>
      </c>
      <c r="B1511">
        <f>HYPERLINK("Объекты недвижимости, не соответствующие градостроительным нормам_00-022_Август/ae949ea9-ec86-4879-9c22-f9cd9b39529a.jpg","open")</f>
        <v/>
      </c>
      <c r="C1511" t="inlineStr">
        <is>
          <t>8cde1fd0-eca1-4510-86ab-3c743b65fdfc</t>
        </is>
      </c>
      <c r="D1511" t="n">
        <v>55.70326</v>
      </c>
      <c r="E1511" t="n">
        <v>37.57233</v>
      </c>
      <c r="F1511" t="inlineStr"/>
      <c r="G1511" t="inlineStr"/>
      <c r="H1511" t="inlineStr"/>
    </row>
    <row r="1512">
      <c r="A1512" t="inlineStr">
        <is>
          <t>1283b31d-cce6-41a7-bd9e-51b50f75c9b3.jpg</t>
        </is>
      </c>
      <c r="B1512">
        <f>HYPERLINK("Объекты недвижимости, не соответствующие градостроительным нормам_00-022_Август/1283b31d-cce6-41a7-bd9e-51b50f75c9b3.jpg","open")</f>
        <v/>
      </c>
      <c r="C1512" t="inlineStr">
        <is>
          <t>8cde1fd0-eca1-4510-86ab-3c743b65fdfc</t>
        </is>
      </c>
      <c r="D1512" t="n">
        <v>55.70326</v>
      </c>
      <c r="E1512" t="n">
        <v>37.57233</v>
      </c>
      <c r="F1512" t="inlineStr"/>
      <c r="G1512" t="inlineStr"/>
      <c r="H1512" t="inlineStr"/>
    </row>
    <row r="1513">
      <c r="A1513" t="inlineStr">
        <is>
          <t>5a427567-1215-437e-a029-0725474dabd4.jpg</t>
        </is>
      </c>
      <c r="B1513">
        <f>HYPERLINK("Объекты недвижимости, не соответствующие градостроительным нормам_00-022_Август/5a427567-1215-437e-a029-0725474dabd4.jpg","open")</f>
        <v/>
      </c>
      <c r="C1513" t="inlineStr">
        <is>
          <t>ed2bf0f1-3a66-4913-896e-4420a9796c0b</t>
        </is>
      </c>
      <c r="D1513" t="n">
        <v>55.79409</v>
      </c>
      <c r="E1513" t="n">
        <v>37.57386</v>
      </c>
      <c r="F1513" t="inlineStr"/>
      <c r="G1513" t="inlineStr"/>
      <c r="H1513" t="inlineStr"/>
    </row>
    <row r="1514">
      <c r="A1514" t="inlineStr">
        <is>
          <t>49b0adaa-7e57-4841-a7b2-1ab565e96952.jpg</t>
        </is>
      </c>
      <c r="B1514">
        <f>HYPERLINK("Объекты недвижимости, не соответствующие градостроительным нормам_00-022_Август/49b0adaa-7e57-4841-a7b2-1ab565e96952.jpg","open")</f>
        <v/>
      </c>
      <c r="C1514" t="inlineStr">
        <is>
          <t>1c951e11-4940-43c6-a447-394097e5609a</t>
        </is>
      </c>
      <c r="D1514" t="n">
        <v>56.179</v>
      </c>
      <c r="E1514" t="n">
        <v>37.42705</v>
      </c>
      <c r="F1514" t="inlineStr"/>
      <c r="G1514" t="inlineStr"/>
      <c r="H1514" t="inlineStr"/>
    </row>
    <row r="1515">
      <c r="A1515" t="inlineStr">
        <is>
          <t>8b11f708-d844-45ad-9763-60b353291784.jpg</t>
        </is>
      </c>
      <c r="B1515">
        <f>HYPERLINK("Объекты недвижимости, не соответствующие градостроительным нормам_00-022_Август/8b11f708-d844-45ad-9763-60b353291784.jpg","open")</f>
        <v/>
      </c>
      <c r="C1515" t="inlineStr">
        <is>
          <t>8cde1fd0-eca1-4510-86ab-3c743b65fdfc</t>
        </is>
      </c>
      <c r="D1515" t="n">
        <v>56.179</v>
      </c>
      <c r="E1515" t="n">
        <v>37.42705</v>
      </c>
      <c r="F1515" t="inlineStr"/>
      <c r="G1515" t="inlineStr"/>
      <c r="H1515" t="inlineStr"/>
    </row>
    <row r="1516">
      <c r="A1516" t="inlineStr">
        <is>
          <t>3b37c8fc-44e8-4599-a9ea-7a6612c29fa5.jpg</t>
        </is>
      </c>
      <c r="B1516">
        <f>HYPERLINK("Объекты недвижимости, не соответствующие градостроительным нормам_00-022_Август/3b37c8fc-44e8-4599-a9ea-7a6612c29fa5.jpg","open")</f>
        <v/>
      </c>
      <c r="C1516" t="inlineStr">
        <is>
          <t>ed2bf0f1-3a66-4913-896e-4420a9796c0b</t>
        </is>
      </c>
      <c r="D1516" t="n">
        <v>55.79186</v>
      </c>
      <c r="E1516" t="n">
        <v>37.57305</v>
      </c>
      <c r="F1516" t="inlineStr"/>
      <c r="G1516" t="inlineStr"/>
      <c r="H1516" t="inlineStr"/>
    </row>
    <row r="1517">
      <c r="A1517" t="inlineStr">
        <is>
          <t>0e691540-9c12-4ed4-a7a9-48e80cfdc7ba.jpg</t>
        </is>
      </c>
      <c r="B1517">
        <f>HYPERLINK("Объекты недвижимости, не соответствующие градостроительным нормам_00-022_Август/0e691540-9c12-4ed4-a7a9-48e80cfdc7ba.jpg","open")</f>
        <v/>
      </c>
      <c r="C1517" t="inlineStr">
        <is>
          <t>93848fc8-17e7-4748-9ebc-c7e379e11d2f</t>
        </is>
      </c>
      <c r="D1517" t="n">
        <v>55.64072</v>
      </c>
      <c r="E1517" t="n">
        <v>37.6283</v>
      </c>
      <c r="F1517" t="inlineStr"/>
      <c r="G1517" t="inlineStr"/>
      <c r="H1517" t="inlineStr"/>
    </row>
    <row r="1518">
      <c r="A1518" t="inlineStr">
        <is>
          <t>6ea7b860-af78-40f4-a869-66568f655afa.jpg</t>
        </is>
      </c>
      <c r="B1518">
        <f>HYPERLINK("Объекты недвижимости, не соответствующие градостроительным нормам_00-022_Август/6ea7b860-af78-40f4-a869-66568f655afa.jpg","open")</f>
        <v/>
      </c>
      <c r="C1518" t="inlineStr">
        <is>
          <t>8cde1fd0-eca1-4510-86ab-3c743b65fdfc</t>
        </is>
      </c>
      <c r="D1518" t="n">
        <v>55.75081</v>
      </c>
      <c r="E1518" t="n">
        <v>37.64203</v>
      </c>
      <c r="F1518" t="inlineStr"/>
      <c r="G1518" t="inlineStr"/>
      <c r="H1518" t="inlineStr"/>
    </row>
    <row r="1519">
      <c r="A1519" t="inlineStr">
        <is>
          <t>96026382-8e1e-4f7e-b5a9-fce0188161cd.jpg</t>
        </is>
      </c>
      <c r="B1519">
        <f>HYPERLINK("Объекты недвижимости, не соответствующие градостроительным нормам_00-022_Август/96026382-8e1e-4f7e-b5a9-fce0188161cd.jpg","open")</f>
        <v/>
      </c>
      <c r="C1519" t="inlineStr">
        <is>
          <t>8cde1fd0-eca1-4510-86ab-3c743b65fdfc</t>
        </is>
      </c>
      <c r="D1519" t="n">
        <v>55.75097</v>
      </c>
      <c r="E1519" t="n">
        <v>37.64201</v>
      </c>
      <c r="F1519" t="inlineStr"/>
      <c r="G1519" t="inlineStr"/>
      <c r="H1519" t="inlineStr"/>
    </row>
    <row r="1520">
      <c r="A1520" t="inlineStr">
        <is>
          <t>3be6a5c8-d8b7-46b2-9e6f-6cdb81ae636f.jpg</t>
        </is>
      </c>
      <c r="B1520">
        <f>HYPERLINK("Объекты недвижимости, не соответствующие градостроительным нормам_00-022_Август/3be6a5c8-d8b7-46b2-9e6f-6cdb81ae636f.jpg","open")</f>
        <v/>
      </c>
      <c r="C1520" t="inlineStr">
        <is>
          <t>ed2bf0f1-3a66-4913-896e-4420a9796c0b</t>
        </is>
      </c>
      <c r="D1520" t="n">
        <v>55.7958</v>
      </c>
      <c r="E1520" t="n">
        <v>37.572</v>
      </c>
      <c r="F1520" t="inlineStr"/>
      <c r="G1520" t="inlineStr"/>
      <c r="H1520" t="inlineStr"/>
    </row>
    <row r="1521">
      <c r="A1521" t="inlineStr">
        <is>
          <t>aece622d-b91e-4586-a7fa-7505d95a1932.jpg</t>
        </is>
      </c>
      <c r="B1521">
        <f>HYPERLINK("Объекты недвижимости, не соответствующие градостроительным нормам_00-022_Август/aece622d-b91e-4586-a7fa-7505d95a1932.jpg","open")</f>
        <v/>
      </c>
      <c r="C1521" t="inlineStr">
        <is>
          <t>8cde1fd0-eca1-4510-86ab-3c743b65fdfc</t>
        </is>
      </c>
      <c r="D1521" t="n">
        <v>55.74919</v>
      </c>
      <c r="E1521" t="n">
        <v>37.64186</v>
      </c>
      <c r="F1521" t="inlineStr"/>
      <c r="G1521" t="inlineStr"/>
      <c r="H1521" t="inlineStr"/>
    </row>
    <row r="1522">
      <c r="A1522" t="inlineStr">
        <is>
          <t>7486547b-f72f-403e-9798-8b4bb30f3553.jpg</t>
        </is>
      </c>
      <c r="B1522">
        <f>HYPERLINK("Объекты недвижимости, не соответствующие градостроительным нормам_00-022_Август/7486547b-f72f-403e-9798-8b4bb30f3553.jpg","open")</f>
        <v/>
      </c>
      <c r="C1522" t="inlineStr">
        <is>
          <t>8cde1fd0-eca1-4510-86ab-3c743b65fdfc</t>
        </is>
      </c>
      <c r="D1522" t="n">
        <v>55.74919</v>
      </c>
      <c r="E1522" t="n">
        <v>37.64186</v>
      </c>
      <c r="F1522" t="inlineStr"/>
      <c r="G1522" t="inlineStr"/>
      <c r="H1522" t="inlineStr"/>
    </row>
    <row r="1523">
      <c r="A1523" t="inlineStr">
        <is>
          <t>ead16be4-059f-4f49-ae6c-b90a3d24e1aa.jpg</t>
        </is>
      </c>
      <c r="B1523">
        <f>HYPERLINK("Объекты недвижимости, не соответствующие градостроительным нормам_00-022_Август/ead16be4-059f-4f49-ae6c-b90a3d24e1aa.jpg","open")</f>
        <v/>
      </c>
      <c r="C1523" t="inlineStr">
        <is>
          <t>8cde1fd0-eca1-4510-86ab-3c743b65fdfc</t>
        </is>
      </c>
      <c r="D1523" t="n">
        <v>55.74919</v>
      </c>
      <c r="E1523" t="n">
        <v>37.64186</v>
      </c>
      <c r="F1523" t="inlineStr"/>
      <c r="G1523" t="inlineStr"/>
      <c r="H1523" t="inlineStr"/>
    </row>
    <row r="1524">
      <c r="A1524" t="inlineStr">
        <is>
          <t>8fb787ee-7ee1-484b-ac05-ee88a5ae779a.jpg</t>
        </is>
      </c>
      <c r="B1524">
        <f>HYPERLINK("Объекты недвижимости, не соответствующие градостроительным нормам_00-022_Август/8fb787ee-7ee1-484b-ac05-ee88a5ae779a.jpg","open")</f>
        <v/>
      </c>
      <c r="C1524" t="inlineStr">
        <is>
          <t>caa4772d-6278-4484-a046-ee25514bf521</t>
        </is>
      </c>
      <c r="D1524" t="n">
        <v>55.86016</v>
      </c>
      <c r="E1524" t="n">
        <v>37.69486</v>
      </c>
      <c r="F1524" t="inlineStr"/>
      <c r="G1524" t="inlineStr"/>
      <c r="H1524" t="inlineStr"/>
    </row>
    <row r="1525">
      <c r="A1525" t="inlineStr">
        <is>
          <t>58a68782-9bdf-4a5f-81cf-c4f6c39850c4.jpg</t>
        </is>
      </c>
      <c r="B1525">
        <f>HYPERLINK("Объекты недвижимости, не соответствующие градостроительным нормам_00-022_Август/58a68782-9bdf-4a5f-81cf-c4f6c39850c4.jpg","open")</f>
        <v/>
      </c>
      <c r="C1525" t="inlineStr">
        <is>
          <t>caa4772d-6278-4484-a046-ee25514bf521</t>
        </is>
      </c>
      <c r="D1525" t="n">
        <v>55.86082</v>
      </c>
      <c r="E1525" t="n">
        <v>37.69621</v>
      </c>
      <c r="F1525" t="inlineStr"/>
      <c r="G1525" t="inlineStr"/>
      <c r="H1525" t="inlineStr"/>
    </row>
    <row r="1526">
      <c r="A1526" t="inlineStr">
        <is>
          <t>725b5275-78ce-4ea6-8af2-b47eefecaee2.jpg</t>
        </is>
      </c>
      <c r="B1526">
        <f>HYPERLINK("Объекты недвижимости, не соответствующие градостроительным нормам_00-022_Август/725b5275-78ce-4ea6-8af2-b47eefecaee2.jpg","open")</f>
        <v/>
      </c>
      <c r="C1526" t="inlineStr">
        <is>
          <t>ed2bf0f1-3a66-4913-896e-4420a9796c0b</t>
        </is>
      </c>
      <c r="D1526" t="n">
        <v>55.79429</v>
      </c>
      <c r="E1526" t="n">
        <v>37.57244</v>
      </c>
      <c r="F1526" t="inlineStr"/>
      <c r="G1526" t="inlineStr"/>
      <c r="H1526" t="inlineStr"/>
    </row>
    <row r="1527">
      <c r="A1527" t="inlineStr">
        <is>
          <t>abeaad76-0aa2-4367-ace4-6f28890a364d.jpg</t>
        </is>
      </c>
      <c r="B1527">
        <f>HYPERLINK("Объекты недвижимости, не соответствующие градостроительным нормам_00-022_Август/abeaad76-0aa2-4367-ace4-6f28890a364d.jpg","open")</f>
        <v/>
      </c>
      <c r="C1527" t="inlineStr">
        <is>
          <t>8cde1fd0-eca1-4510-86ab-3c743b65fdfc</t>
        </is>
      </c>
      <c r="D1527" t="n">
        <v>55.99089</v>
      </c>
      <c r="E1527" t="n">
        <v>37.83547</v>
      </c>
      <c r="F1527" t="inlineStr"/>
      <c r="G1527" t="inlineStr"/>
      <c r="H1527" t="inlineStr"/>
    </row>
    <row r="1528">
      <c r="A1528" t="inlineStr">
        <is>
          <t>ebdf79ee-1ec2-4cd3-b1ce-2cd46e90f591.jpg</t>
        </is>
      </c>
      <c r="B1528">
        <f>HYPERLINK("Объекты недвижимости, не соответствующие градостроительным нормам_00-022_Август/ebdf79ee-1ec2-4cd3-b1ce-2cd46e90f591.jpg","open")</f>
        <v/>
      </c>
      <c r="C1528" t="inlineStr">
        <is>
          <t>8cde1fd0-eca1-4510-86ab-3c743b65fdfc</t>
        </is>
      </c>
      <c r="D1528" t="n">
        <v>55.99078</v>
      </c>
      <c r="E1528" t="n">
        <v>37.83345</v>
      </c>
      <c r="F1528" t="inlineStr"/>
      <c r="G1528" t="inlineStr"/>
      <c r="H1528" t="inlineStr"/>
    </row>
    <row r="1529">
      <c r="A1529" t="inlineStr">
        <is>
          <t>77107cd9-1d03-404f-a156-39be63f9e65c.jpg</t>
        </is>
      </c>
      <c r="B1529">
        <f>HYPERLINK("Объекты недвижимости, не соответствующие градостроительным нормам_00-022_Август/77107cd9-1d03-404f-a156-39be63f9e65c.jpg","open")</f>
        <v/>
      </c>
      <c r="C1529" t="inlineStr">
        <is>
          <t>db8b536c-32f2-4d9a-ae08-679d227e61f1</t>
        </is>
      </c>
      <c r="D1529" t="n">
        <v>55.59025</v>
      </c>
      <c r="E1529" t="n">
        <v>37.54743</v>
      </c>
      <c r="F1529" t="inlineStr"/>
      <c r="G1529" t="inlineStr"/>
      <c r="H1529" t="inlineStr"/>
    </row>
    <row r="1530">
      <c r="A1530" t="inlineStr">
        <is>
          <t>ebfad1c4-ffb1-4ae8-b664-a093b5981ee5.jpg</t>
        </is>
      </c>
      <c r="B1530">
        <f>HYPERLINK("Объекты недвижимости, не соответствующие градостроительным нормам_00-022_Август/ebfad1c4-ffb1-4ae8-b664-a093b5981ee5.jpg","open")</f>
        <v/>
      </c>
      <c r="C1530" t="inlineStr">
        <is>
          <t>8cde1fd0-eca1-4510-86ab-3c743b65fdfc</t>
        </is>
      </c>
      <c r="D1530" t="n">
        <v>55.99078</v>
      </c>
      <c r="E1530" t="n">
        <v>37.83248</v>
      </c>
      <c r="F1530" t="inlineStr"/>
      <c r="G1530" t="inlineStr"/>
      <c r="H1530" t="inlineStr"/>
    </row>
    <row r="1531">
      <c r="A1531" t="inlineStr">
        <is>
          <t>5af0c7ee-24e6-4c1c-98d8-d2f390d47e11.jpg</t>
        </is>
      </c>
      <c r="B1531">
        <f>HYPERLINK("Объекты недвижимости, не соответствующие градостроительным нормам_00-022_Август/5af0c7ee-24e6-4c1c-98d8-d2f390d47e11.jpg","open")</f>
        <v/>
      </c>
      <c r="C1531" t="inlineStr">
        <is>
          <t>8cde1fd0-eca1-4510-86ab-3c743b65fdfc</t>
        </is>
      </c>
      <c r="D1531" t="n">
        <v>55.99065</v>
      </c>
      <c r="E1531" t="n">
        <v>37.8321</v>
      </c>
      <c r="F1531" t="inlineStr"/>
      <c r="G1531" t="inlineStr"/>
      <c r="H1531" t="inlineStr"/>
    </row>
    <row r="1532">
      <c r="A1532" t="inlineStr">
        <is>
          <t>463b89ed-486b-41e1-bc5d-5b3c2ebd0dd9.jpg</t>
        </is>
      </c>
      <c r="B1532">
        <f>HYPERLINK("Объекты недвижимости, не соответствующие градостроительным нормам_00-022_Август/463b89ed-486b-41e1-bc5d-5b3c2ebd0dd9.jpg","open")</f>
        <v/>
      </c>
      <c r="C1532" t="inlineStr">
        <is>
          <t>8cde1fd0-eca1-4510-86ab-3c743b65fdfc</t>
        </is>
      </c>
      <c r="D1532" t="n">
        <v>55.99058</v>
      </c>
      <c r="E1532" t="n">
        <v>37.83185</v>
      </c>
      <c r="F1532" t="inlineStr"/>
      <c r="G1532" t="inlineStr"/>
      <c r="H1532" t="inlineStr"/>
    </row>
    <row r="1533">
      <c r="A1533" t="inlineStr">
        <is>
          <t>a4c91bcf-65e9-4c5c-bb2d-30a2cdcfaeee.jpg</t>
        </is>
      </c>
      <c r="B1533">
        <f>HYPERLINK("Объекты недвижимости, не соответствующие градостроительным нормам_00-022_Август/a4c91bcf-65e9-4c5c-bb2d-30a2cdcfaeee.jpg","open")</f>
        <v/>
      </c>
      <c r="C1533" t="inlineStr">
        <is>
          <t>8cde1fd0-eca1-4510-86ab-3c743b65fdfc</t>
        </is>
      </c>
      <c r="D1533" t="n">
        <v>55.98931</v>
      </c>
      <c r="E1533" t="n">
        <v>37.8366</v>
      </c>
      <c r="F1533" t="inlineStr"/>
      <c r="G1533" t="inlineStr"/>
      <c r="H1533" t="inlineStr"/>
    </row>
    <row r="1534">
      <c r="A1534" t="inlineStr">
        <is>
          <t>e1737391-ffb5-4c62-9333-2ea76c07bf79.jpg</t>
        </is>
      </c>
      <c r="B1534">
        <f>HYPERLINK("Объекты недвижимости, не соответствующие градостроительным нормам_00-022_Август/e1737391-ffb5-4c62-9333-2ea76c07bf79.jpg","open")</f>
        <v/>
      </c>
      <c r="C1534" t="inlineStr">
        <is>
          <t>f6f80c84-5569-48fd-b627-6f41ce4c61c4</t>
        </is>
      </c>
      <c r="D1534" t="n">
        <v>55.86338</v>
      </c>
      <c r="E1534" t="n">
        <v>37.69994</v>
      </c>
      <c r="F1534" t="inlineStr"/>
      <c r="G1534" t="inlineStr"/>
      <c r="H1534" t="inlineStr"/>
    </row>
    <row r="1535">
      <c r="A1535" t="inlineStr">
        <is>
          <t>e6891d3d-5820-4eb9-aebf-8b117712fd7c.jpg</t>
        </is>
      </c>
      <c r="B1535">
        <f>HYPERLINK("Объекты недвижимости, не соответствующие градостроительным нормам_00-022_Август/e6891d3d-5820-4eb9-aebf-8b117712fd7c.jpg","open")</f>
        <v/>
      </c>
      <c r="C1535" t="inlineStr">
        <is>
          <t>caa4772d-6278-4484-a046-ee25514bf521</t>
        </is>
      </c>
      <c r="D1535" t="n">
        <v>55.86327</v>
      </c>
      <c r="E1535" t="n">
        <v>37.69972</v>
      </c>
      <c r="F1535" t="inlineStr"/>
      <c r="G1535" t="inlineStr"/>
      <c r="H1535" t="inlineStr"/>
    </row>
    <row r="1536">
      <c r="A1536" t="inlineStr">
        <is>
          <t>528cd550-bb15-4b69-ba20-268dfd1e2980.jpg</t>
        </is>
      </c>
      <c r="B1536">
        <f>HYPERLINK("Объекты недвижимости, не соответствующие градостроительным нормам_00-022_Август/528cd550-bb15-4b69-ba20-268dfd1e2980.jpg","open")</f>
        <v/>
      </c>
      <c r="C1536" t="inlineStr">
        <is>
          <t>8cde1fd0-eca1-4510-86ab-3c743b65fdfc</t>
        </is>
      </c>
      <c r="D1536" t="n">
        <v>55.9893</v>
      </c>
      <c r="E1536" t="n">
        <v>37.8361</v>
      </c>
      <c r="F1536" t="inlineStr"/>
      <c r="G1536" t="inlineStr"/>
      <c r="H1536" t="inlineStr"/>
    </row>
    <row r="1537">
      <c r="A1537" t="inlineStr">
        <is>
          <t>23290c9e-05aa-4449-8978-d00cb92cd110.jpg</t>
        </is>
      </c>
      <c r="B1537">
        <f>HYPERLINK("Объекты недвижимости, не соответствующие градостроительным нормам_00-022_Август/23290c9e-05aa-4449-8978-d00cb92cd110.jpg","open")</f>
        <v/>
      </c>
      <c r="C1537" t="inlineStr">
        <is>
          <t>0dd30d74-4dbc-46a8-b638-91e1431bb398</t>
        </is>
      </c>
      <c r="D1537" t="n">
        <v>55.64386</v>
      </c>
      <c r="E1537" t="n">
        <v>37.66546</v>
      </c>
      <c r="F1537" t="inlineStr"/>
      <c r="G1537" t="inlineStr"/>
      <c r="H1537" t="inlineStr"/>
    </row>
    <row r="1538">
      <c r="A1538" t="inlineStr">
        <is>
          <t>69c3a8a0-18be-474a-b1b0-0c07eac47e9e.jpg</t>
        </is>
      </c>
      <c r="B1538">
        <f>HYPERLINK("Объекты недвижимости, не соответствующие градостроительным нормам_00-022_Август/69c3a8a0-18be-474a-b1b0-0c07eac47e9e.jpg","open")</f>
        <v/>
      </c>
      <c r="C1538" t="inlineStr">
        <is>
          <t>ed2bf0f1-3a66-4913-896e-4420a9796c0b</t>
        </is>
      </c>
      <c r="D1538" t="n">
        <v>55.79926</v>
      </c>
      <c r="E1538" t="n">
        <v>37.56096</v>
      </c>
      <c r="F1538" t="inlineStr"/>
      <c r="G1538" t="inlineStr"/>
      <c r="H1538" t="inlineStr"/>
    </row>
    <row r="1539">
      <c r="A1539" t="inlineStr">
        <is>
          <t>42500b19-6140-4ceb-a9cf-1a9eb7006358.jpg</t>
        </is>
      </c>
      <c r="B1539">
        <f>HYPERLINK("Объекты недвижимости, не соответствующие градостроительным нормам_00-022_Август/42500b19-6140-4ceb-a9cf-1a9eb7006358.jpg","open")</f>
        <v/>
      </c>
      <c r="C1539" t="inlineStr">
        <is>
          <t>ed2bf0f1-3a66-4913-896e-4420a9796c0b</t>
        </is>
      </c>
      <c r="D1539" t="n">
        <v>55.80339</v>
      </c>
      <c r="E1539" t="n">
        <v>37.55798</v>
      </c>
      <c r="F1539" t="inlineStr"/>
      <c r="G1539" t="inlineStr"/>
      <c r="H1539" t="inlineStr"/>
    </row>
    <row r="1540">
      <c r="A1540" t="inlineStr">
        <is>
          <t>b7a24250-5c48-4d19-8421-514d25f99f79.jpg</t>
        </is>
      </c>
      <c r="B1540">
        <f>HYPERLINK("Объекты недвижимости, не соответствующие градостроительным нормам_00-022_Август/b7a24250-5c48-4d19-8421-514d25f99f79.jpg","open")</f>
        <v/>
      </c>
      <c r="C1540" t="inlineStr">
        <is>
          <t>1c951e11-4940-43c6-a447-394097e5609a</t>
        </is>
      </c>
      <c r="D1540" t="n">
        <v>55.98952</v>
      </c>
      <c r="E1540" t="n">
        <v>37.83542</v>
      </c>
      <c r="F1540" t="inlineStr"/>
      <c r="G1540" t="inlineStr"/>
      <c r="H1540" t="inlineStr"/>
    </row>
    <row r="1541">
      <c r="A1541" t="inlineStr">
        <is>
          <t>01ac6e74-01ac-499d-85de-83b1ddbb578f.jpg</t>
        </is>
      </c>
      <c r="B1541">
        <f>HYPERLINK("Объекты недвижимости, не соответствующие градостроительным нормам_00-022_Август/01ac6e74-01ac-499d-85de-83b1ddbb578f.jpg","open")</f>
        <v/>
      </c>
      <c r="C1541" t="inlineStr">
        <is>
          <t>8cde1fd0-eca1-4510-86ab-3c743b65fdfc</t>
        </is>
      </c>
      <c r="D1541" t="n">
        <v>55.98952</v>
      </c>
      <c r="E1541" t="n">
        <v>37.83542</v>
      </c>
      <c r="F1541" t="inlineStr"/>
      <c r="G1541" t="inlineStr"/>
      <c r="H1541" t="inlineStr"/>
    </row>
    <row r="1542">
      <c r="A1542" t="inlineStr">
        <is>
          <t>b31bc30c-bf5f-4deb-b4c8-a89bde23a787.jpg</t>
        </is>
      </c>
      <c r="B1542">
        <f>HYPERLINK("Объекты недвижимости, не соответствующие градостроительным нормам_00-022_Август/b31bc30c-bf5f-4deb-b4c8-a89bde23a787.jpg","open")</f>
        <v/>
      </c>
      <c r="C1542" t="inlineStr">
        <is>
          <t>8beacb4f-617e-4b34-8030-60c4dff5f8d1</t>
        </is>
      </c>
      <c r="D1542" t="n">
        <v>55.8569</v>
      </c>
      <c r="E1542" t="n">
        <v>37.49083</v>
      </c>
      <c r="F1542" t="inlineStr"/>
      <c r="G1542" t="inlineStr"/>
      <c r="H1542" t="inlineStr"/>
    </row>
    <row r="1543">
      <c r="A1543" t="inlineStr">
        <is>
          <t>c553fb86-79d2-46fd-b90e-a05d6737d3c4.jpg</t>
        </is>
      </c>
      <c r="B1543">
        <f>HYPERLINK("Объекты недвижимости, не соответствующие градостроительным нормам_00-022_Август/c553fb86-79d2-46fd-b90e-a05d6737d3c4.jpg","open")</f>
        <v/>
      </c>
      <c r="C1543" t="inlineStr">
        <is>
          <t>cbf95b01-f708-45a3-9ec0-3603469b538e</t>
        </is>
      </c>
      <c r="D1543" t="n">
        <v>55.6908</v>
      </c>
      <c r="E1543" t="n">
        <v>37.44348</v>
      </c>
      <c r="F1543" t="inlineStr"/>
      <c r="G1543" t="inlineStr"/>
      <c r="H1543" t="inlineStr"/>
    </row>
    <row r="1544">
      <c r="A1544" t="inlineStr">
        <is>
          <t>174256db-ff02-4269-8ab2-61eb7660e984.jpg</t>
        </is>
      </c>
      <c r="B1544">
        <f>HYPERLINK("Объекты недвижимости, не соответствующие градостроительным нормам_00-022_Август/174256db-ff02-4269-8ab2-61eb7660e984.jpg","open")</f>
        <v/>
      </c>
      <c r="C1544" t="inlineStr">
        <is>
          <t>8cde1fd0-eca1-4510-86ab-3c743b65fdfc</t>
        </is>
      </c>
      <c r="D1544" t="n">
        <v>55.98952</v>
      </c>
      <c r="E1544" t="n">
        <v>37.83542</v>
      </c>
      <c r="F1544" t="inlineStr"/>
      <c r="G1544" t="inlineStr"/>
      <c r="H1544" t="inlineStr"/>
    </row>
    <row r="1545">
      <c r="A1545" t="inlineStr">
        <is>
          <t>ffd47685-2179-462f-893b-72c9161d9373.jpg</t>
        </is>
      </c>
      <c r="B1545">
        <f>HYPERLINK("Объекты недвижимости, не соответствующие градостроительным нормам_00-022_Август/ffd47685-2179-462f-893b-72c9161d9373.jpg","open")</f>
        <v/>
      </c>
      <c r="C1545" t="inlineStr">
        <is>
          <t>cbf95b01-f708-45a3-9ec0-3603469b538e</t>
        </is>
      </c>
      <c r="D1545" t="n">
        <v>55.68849</v>
      </c>
      <c r="E1545" t="n">
        <v>37.4377</v>
      </c>
      <c r="F1545" t="inlineStr"/>
      <c r="G1545" t="inlineStr"/>
      <c r="H1545" t="inlineStr"/>
    </row>
    <row r="1546">
      <c r="A1546" t="inlineStr">
        <is>
          <t>cfe4b235-1f49-48db-80ea-00263d7893f5.jpg</t>
        </is>
      </c>
      <c r="B1546">
        <f>HYPERLINK("Объекты недвижимости, не соответствующие градостроительным нормам_00-022_Август/cfe4b235-1f49-48db-80ea-00263d7893f5.jpg","open")</f>
        <v/>
      </c>
      <c r="C1546" t="inlineStr">
        <is>
          <t>a1a9db89-3f74-42ef-8fad-ad69705102cd</t>
        </is>
      </c>
      <c r="D1546" t="n">
        <v>55.68377</v>
      </c>
      <c r="E1546" t="n">
        <v>37.41574</v>
      </c>
      <c r="F1546" t="inlineStr"/>
      <c r="G1546" t="inlineStr"/>
      <c r="H1546" t="inlineStr"/>
    </row>
    <row r="1547">
      <c r="A1547" t="inlineStr">
        <is>
          <t>78b79f34-0975-4269-8115-4f843cd61045.jpg</t>
        </is>
      </c>
      <c r="B1547">
        <f>HYPERLINK("Объекты недвижимости, не соответствующие градостроительным нормам_00-022_Август/78b79f34-0975-4269-8115-4f843cd61045.jpg","open")</f>
        <v/>
      </c>
      <c r="C1547" t="inlineStr">
        <is>
          <t>8cde1fd0-eca1-4510-86ab-3c743b65fdfc</t>
        </is>
      </c>
      <c r="D1547" t="n">
        <v>55.98952</v>
      </c>
      <c r="E1547" t="n">
        <v>37.83542</v>
      </c>
      <c r="F1547" t="inlineStr"/>
      <c r="G1547" t="inlineStr"/>
      <c r="H1547" t="inlineStr"/>
    </row>
    <row r="1548">
      <c r="A1548" t="inlineStr">
        <is>
          <t>322f6a3f-91e5-41a6-99bf-81a8487c3e43.jpg</t>
        </is>
      </c>
      <c r="B1548">
        <f>HYPERLINK("Объекты недвижимости, не соответствующие градостроительным нормам_00-022_Август/322f6a3f-91e5-41a6-99bf-81a8487c3e43.jpg","open")</f>
        <v/>
      </c>
      <c r="C1548" t="inlineStr">
        <is>
          <t>fce890a6-27da-4062-a046-08262a160ee6</t>
        </is>
      </c>
      <c r="D1548" t="n">
        <v>55.97651</v>
      </c>
      <c r="E1548" t="n">
        <v>37.39914</v>
      </c>
      <c r="F1548" t="inlineStr"/>
      <c r="G1548" t="inlineStr"/>
      <c r="H1548" t="inlineStr"/>
    </row>
    <row r="1549">
      <c r="A1549" t="inlineStr">
        <is>
          <t>2df1339b-e439-4c5c-947c-dad04e5f821c.jpg</t>
        </is>
      </c>
      <c r="B1549">
        <f>HYPERLINK("Объекты недвижимости, не соответствующие градостроительным нормам_00-022_Август/2df1339b-e439-4c5c-947c-dad04e5f821c.jpg","open")</f>
        <v/>
      </c>
      <c r="C1549" t="inlineStr">
        <is>
          <t>8beacb4f-617e-4b34-8030-60c4dff5f8d1</t>
        </is>
      </c>
      <c r="D1549" t="n">
        <v>55.8569</v>
      </c>
      <c r="E1549" t="n">
        <v>37.49083</v>
      </c>
      <c r="F1549" t="inlineStr"/>
      <c r="G1549" t="inlineStr"/>
      <c r="H1549" t="inlineStr"/>
    </row>
    <row r="1550">
      <c r="A1550" t="inlineStr">
        <is>
          <t>a9c58992-761a-404e-91e1-7df4422795cb.jpg</t>
        </is>
      </c>
      <c r="B1550">
        <f>HYPERLINK("Объекты недвижимости, не соответствующие градостроительным нормам_00-022_Август/a9c58992-761a-404e-91e1-7df4422795cb.jpg","open")</f>
        <v/>
      </c>
      <c r="C1550" t="inlineStr">
        <is>
          <t>cbf95b01-f708-45a3-9ec0-3603469b538e</t>
        </is>
      </c>
      <c r="D1550" t="n">
        <v>55.59042</v>
      </c>
      <c r="E1550" t="n">
        <v>37.54652</v>
      </c>
      <c r="F1550" t="inlineStr"/>
      <c r="G1550" t="inlineStr"/>
      <c r="H1550" t="inlineStr"/>
    </row>
    <row r="1551">
      <c r="A1551" t="inlineStr">
        <is>
          <t>01c83f29-088c-4b88-9842-093fbddd0e44.jpg</t>
        </is>
      </c>
      <c r="B1551">
        <f>HYPERLINK("Объекты недвижимости, не соответствующие градостроительным нормам_00-022_Август/01c83f29-088c-4b88-9842-093fbddd0e44.jpg","open")</f>
        <v/>
      </c>
      <c r="C1551" t="inlineStr">
        <is>
          <t>8cde1fd0-eca1-4510-86ab-3c743b65fdfc</t>
        </is>
      </c>
      <c r="D1551" t="n">
        <v>55.9893</v>
      </c>
      <c r="E1551" t="n">
        <v>37.83612</v>
      </c>
      <c r="F1551" t="inlineStr"/>
      <c r="G1551" t="inlineStr"/>
      <c r="H1551" t="inlineStr"/>
    </row>
    <row r="1552">
      <c r="A1552" t="inlineStr">
        <is>
          <t>86c13562-efb5-4a72-bc40-4162c72806ee.jpg</t>
        </is>
      </c>
      <c r="B1552">
        <f>HYPERLINK("Объекты недвижимости, не соответствующие градостроительным нормам_00-022_Август/86c13562-efb5-4a72-bc40-4162c72806ee.jpg","open")</f>
        <v/>
      </c>
      <c r="C1552" t="inlineStr">
        <is>
          <t>ed2bf0f1-3a66-4913-896e-4420a9796c0b</t>
        </is>
      </c>
      <c r="D1552" t="n">
        <v>55.80049</v>
      </c>
      <c r="E1552" t="n">
        <v>37.57161</v>
      </c>
      <c r="F1552" t="inlineStr"/>
      <c r="G1552" t="inlineStr"/>
      <c r="H1552" t="inlineStr"/>
    </row>
    <row r="1553">
      <c r="A1553" t="inlineStr">
        <is>
          <t>4adcc45d-dee4-47e7-adf2-d2e1f607c249.jpg</t>
        </is>
      </c>
      <c r="B1553">
        <f>HYPERLINK("Объекты недвижимости, не соответствующие градостроительным нормам_00-022_Август/4adcc45d-dee4-47e7-adf2-d2e1f607c249.jpg","open")</f>
        <v/>
      </c>
      <c r="C1553" t="inlineStr">
        <is>
          <t>caa4772d-6278-4484-a046-ee25514bf521</t>
        </is>
      </c>
      <c r="D1553" t="n">
        <v>55.87916</v>
      </c>
      <c r="E1553" t="n">
        <v>37.71519</v>
      </c>
      <c r="F1553" t="inlineStr"/>
      <c r="G1553" t="inlineStr"/>
      <c r="H1553" t="inlineStr"/>
    </row>
    <row r="1554">
      <c r="A1554" t="inlineStr">
        <is>
          <t>3785def2-d7e0-4041-94dc-9388e9b37dac.jpg</t>
        </is>
      </c>
      <c r="B1554">
        <f>HYPERLINK("Объекты недвижимости, не соответствующие градостроительным нормам_00-022_Август/3785def2-d7e0-4041-94dc-9388e9b37dac.jpg","open")</f>
        <v/>
      </c>
      <c r="C1554" t="inlineStr">
        <is>
          <t>db8b536c-32f2-4d9a-ae08-679d227e61f1</t>
        </is>
      </c>
      <c r="D1554" t="n">
        <v>55.64641</v>
      </c>
      <c r="E1554" t="n">
        <v>37.56168</v>
      </c>
      <c r="F1554" t="inlineStr"/>
      <c r="G1554" t="inlineStr"/>
      <c r="H1554" t="inlineStr"/>
    </row>
    <row r="1555">
      <c r="A1555" t="inlineStr">
        <is>
          <t>911d54aa-7036-42cc-892d-7a3f5f852928.jpg</t>
        </is>
      </c>
      <c r="B1555">
        <f>HYPERLINK("Объекты недвижимости, не соответствующие градостроительным нормам_00-022_Август/911d54aa-7036-42cc-892d-7a3f5f852928.jpg","open")</f>
        <v/>
      </c>
      <c r="C1555" t="inlineStr">
        <is>
          <t>8996eb30-6497-4318-8a0e-b95314b8172e</t>
        </is>
      </c>
      <c r="D1555" t="n">
        <v>55.66465</v>
      </c>
      <c r="E1555" t="n">
        <v>37.52676</v>
      </c>
      <c r="F1555" t="inlineStr"/>
      <c r="G1555" t="inlineStr"/>
      <c r="H1555" t="inlineStr"/>
    </row>
    <row r="1556">
      <c r="A1556" t="inlineStr">
        <is>
          <t>eaeb903d-ddba-45f0-a0d1-043d41b9f9ea.jpg</t>
        </is>
      </c>
      <c r="B1556">
        <f>HYPERLINK("Объекты недвижимости, не соответствующие градостроительным нормам_00-022_Август/eaeb903d-ddba-45f0-a0d1-043d41b9f9ea.jpg","open")</f>
        <v/>
      </c>
      <c r="C1556" t="inlineStr">
        <is>
          <t>caa4772d-6278-4484-a046-ee25514bf521</t>
        </is>
      </c>
      <c r="D1556" t="n">
        <v>55.87913</v>
      </c>
      <c r="E1556" t="n">
        <v>37.71478</v>
      </c>
      <c r="F1556" t="inlineStr"/>
      <c r="G1556" t="inlineStr"/>
      <c r="H1556" t="inlineStr"/>
    </row>
    <row r="1557">
      <c r="A1557" t="inlineStr">
        <is>
          <t>514445bf-d663-4063-a0f3-72721e848f64.jpg</t>
        </is>
      </c>
      <c r="B1557">
        <f>HYPERLINK("Объекты недвижимости, не соответствующие градостроительным нормам_00-022_Август/514445bf-d663-4063-a0f3-72721e848f64.jpg","open")</f>
        <v/>
      </c>
      <c r="C1557" t="inlineStr">
        <is>
          <t>8beacb4f-617e-4b34-8030-60c4dff5f8d1</t>
        </is>
      </c>
      <c r="D1557" t="n">
        <v>55.75932</v>
      </c>
      <c r="E1557" t="n">
        <v>37.53448</v>
      </c>
      <c r="F1557" t="inlineStr"/>
      <c r="G1557" t="inlineStr"/>
      <c r="H1557" t="inlineStr"/>
    </row>
    <row r="1558">
      <c r="A1558" t="inlineStr">
        <is>
          <t>9df57cba-c95b-47ed-ba2f-7ba597ae2ec3.jpg</t>
        </is>
      </c>
      <c r="B1558">
        <f>HYPERLINK("Объекты недвижимости, не соответствующие градостроительным нормам_00-022_Август/9df57cba-c95b-47ed-ba2f-7ba597ae2ec3.jpg","open")</f>
        <v/>
      </c>
      <c r="C1558" t="inlineStr">
        <is>
          <t>8cde1fd0-eca1-4510-86ab-3c743b65fdfc</t>
        </is>
      </c>
      <c r="D1558" t="n">
        <v>55.77222</v>
      </c>
      <c r="E1558" t="n">
        <v>37.68755</v>
      </c>
      <c r="F1558" t="inlineStr"/>
      <c r="G1558" t="inlineStr"/>
      <c r="H1558" t="inlineStr"/>
    </row>
    <row r="1559">
      <c r="A1559" t="inlineStr">
        <is>
          <t>ea765802-78a3-4d0b-be60-da791ad6c594.jpg</t>
        </is>
      </c>
      <c r="B1559">
        <f>HYPERLINK("Объекты недвижимости, не соответствующие градостроительным нормам_00-022_Август/ea765802-78a3-4d0b-be60-da791ad6c594.jpg","open")</f>
        <v/>
      </c>
      <c r="C1559" t="inlineStr">
        <is>
          <t>ed2bf0f1-3a66-4913-896e-4420a9796c0b</t>
        </is>
      </c>
      <c r="D1559" t="n">
        <v>55.79792</v>
      </c>
      <c r="E1559" t="n">
        <v>37.58213</v>
      </c>
      <c r="F1559" t="inlineStr"/>
      <c r="G1559" t="inlineStr"/>
      <c r="H1559" t="inlineStr"/>
    </row>
    <row r="1560">
      <c r="A1560" t="inlineStr">
        <is>
          <t>e3dad967-faaa-430a-b792-2d163750a315.jpg</t>
        </is>
      </c>
      <c r="B1560">
        <f>HYPERLINK("Объекты недвижимости, не соответствующие градостроительным нормам_00-022_Август/e3dad967-faaa-430a-b792-2d163750a315.jpg","open")</f>
        <v/>
      </c>
      <c r="C1560" t="inlineStr">
        <is>
          <t>cbf95b01-f708-45a3-9ec0-3603469b538e</t>
        </is>
      </c>
      <c r="D1560" t="n">
        <v>55.62735</v>
      </c>
      <c r="E1560" t="n">
        <v>37.54109</v>
      </c>
      <c r="F1560" t="inlineStr"/>
      <c r="G1560" t="inlineStr"/>
      <c r="H1560" t="inlineStr"/>
    </row>
    <row r="1561">
      <c r="A1561" t="inlineStr">
        <is>
          <t>d2de4128-87f0-4605-b1f5-b4cd946e2402.jpg</t>
        </is>
      </c>
      <c r="B1561">
        <f>HYPERLINK("Объекты недвижимости, не соответствующие градостроительным нормам_00-022_Август/d2de4128-87f0-4605-b1f5-b4cd946e2402.jpg","open")</f>
        <v/>
      </c>
      <c r="C1561" t="inlineStr">
        <is>
          <t>cbf95b01-f708-45a3-9ec0-3603469b538e</t>
        </is>
      </c>
      <c r="D1561" t="n">
        <v>55.64685</v>
      </c>
      <c r="E1561" t="n">
        <v>37.56197</v>
      </c>
      <c r="F1561" t="inlineStr"/>
      <c r="G1561" t="inlineStr"/>
      <c r="H1561" t="inlineStr"/>
    </row>
    <row r="1562">
      <c r="A1562" t="inlineStr">
        <is>
          <t>f0e7eada-07fa-4932-a776-fb2a57b769b1.jpg</t>
        </is>
      </c>
      <c r="B1562">
        <f>HYPERLINK("Объекты недвижимости, не соответствующие градостроительным нормам_00-022_Август/f0e7eada-07fa-4932-a776-fb2a57b769b1.jpg","open")</f>
        <v/>
      </c>
      <c r="C1562" t="inlineStr">
        <is>
          <t>8cde1fd0-eca1-4510-86ab-3c743b65fdfc</t>
        </is>
      </c>
      <c r="D1562" t="n">
        <v>55.76297</v>
      </c>
      <c r="E1562" t="n">
        <v>37.70814</v>
      </c>
      <c r="F1562" t="inlineStr"/>
      <c r="G1562" t="inlineStr"/>
      <c r="H1562" t="inlineStr"/>
    </row>
    <row r="1563">
      <c r="A1563" t="inlineStr">
        <is>
          <t>0bbdff27-f4d7-48ad-85cf-5a3e87bb78a9.jpg</t>
        </is>
      </c>
      <c r="B1563">
        <f>HYPERLINK("Объекты недвижимости, не соответствующие градостроительным нормам_00-022_Август/0bbdff27-f4d7-48ad-85cf-5a3e87bb78a9.jpg","open")</f>
        <v/>
      </c>
      <c r="C1563" t="inlineStr">
        <is>
          <t>9f88688f-4c81-42a8-b76a-3c3e7edf869e</t>
        </is>
      </c>
      <c r="D1563" t="n">
        <v>55.83873</v>
      </c>
      <c r="E1563" t="n">
        <v>37.53276</v>
      </c>
      <c r="F1563" t="inlineStr"/>
      <c r="G1563" t="inlineStr"/>
      <c r="H1563" t="inlineStr"/>
    </row>
    <row r="1564">
      <c r="A1564" t="inlineStr">
        <is>
          <t>603f67dc-d0d8-4b89-b4cf-41d59c3a8b7c.jpg</t>
        </is>
      </c>
      <c r="B1564">
        <f>HYPERLINK("Объекты недвижимости, не соответствующие градостроительным нормам_00-022_Август/603f67dc-d0d8-4b89-b4cf-41d59c3a8b7c.jpg","open")</f>
        <v/>
      </c>
      <c r="C1564" t="inlineStr">
        <is>
          <t>fce890a6-27da-4062-a046-08262a160ee6</t>
        </is>
      </c>
      <c r="D1564" t="n">
        <v>55.83868</v>
      </c>
      <c r="E1564" t="n">
        <v>37.53271</v>
      </c>
      <c r="F1564" t="inlineStr"/>
      <c r="G1564" t="inlineStr"/>
      <c r="H1564" t="inlineStr"/>
    </row>
    <row r="1565">
      <c r="A1565" t="inlineStr">
        <is>
          <t>1fb4e446-e8a1-4353-82e7-2e9ca79ed45f.jpg</t>
        </is>
      </c>
      <c r="B1565">
        <f>HYPERLINK("Объекты недвижимости, не соответствующие градостроительным нормам_00-022_Август/1fb4e446-e8a1-4353-82e7-2e9ca79ed45f.jpg","open")</f>
        <v/>
      </c>
      <c r="C1565" t="inlineStr">
        <is>
          <t>ed2bf0f1-3a66-4913-896e-4420a9796c0b</t>
        </is>
      </c>
      <c r="D1565" t="n">
        <v>55.8138</v>
      </c>
      <c r="E1565" t="n">
        <v>37.57188</v>
      </c>
      <c r="F1565" t="inlineStr"/>
      <c r="G1565" t="inlineStr"/>
      <c r="H1565" t="inlineStr"/>
    </row>
    <row r="1566">
      <c r="A1566" t="inlineStr">
        <is>
          <t>ca9be875-0b60-4b53-9b37-d7e2b77a81ef.jpg</t>
        </is>
      </c>
      <c r="B1566">
        <f>HYPERLINK("Объекты недвижимости, не соответствующие градостроительным нормам_00-022_Август/ca9be875-0b60-4b53-9b37-d7e2b77a81ef.jpg","open")</f>
        <v/>
      </c>
      <c r="C1566" t="inlineStr">
        <is>
          <t>cbf95b01-f708-45a3-9ec0-3603469b538e</t>
        </is>
      </c>
      <c r="D1566" t="n">
        <v>55.70795</v>
      </c>
      <c r="E1566" t="n">
        <v>37.61834</v>
      </c>
      <c r="F1566" t="inlineStr"/>
      <c r="G1566" t="inlineStr"/>
      <c r="H1566" t="inlineStr"/>
    </row>
    <row r="1567">
      <c r="A1567" t="inlineStr">
        <is>
          <t>18eb840d-457c-44e2-969c-473eeca40089.jpg</t>
        </is>
      </c>
      <c r="B1567">
        <f>HYPERLINK("Объекты недвижимости, не соответствующие градостроительным нормам_00-022_Август/18eb840d-457c-44e2-969c-473eeca40089.jpg","open")</f>
        <v/>
      </c>
      <c r="C1567" t="inlineStr">
        <is>
          <t>cbf95b01-f708-45a3-9ec0-3603469b538e</t>
        </is>
      </c>
      <c r="D1567" t="n">
        <v>55.71012</v>
      </c>
      <c r="E1567" t="n">
        <v>37.61954</v>
      </c>
      <c r="F1567" t="inlineStr"/>
      <c r="G1567" t="inlineStr"/>
      <c r="H1567" t="inlineStr"/>
    </row>
    <row r="1568">
      <c r="A1568" t="inlineStr">
        <is>
          <t>ce70645b-273c-495c-b42d-f38cdafc6379.jpg</t>
        </is>
      </c>
      <c r="B1568">
        <f>HYPERLINK("Объекты недвижимости, не соответствующие градостроительным нормам_00-022_Август/ce70645b-273c-495c-b42d-f38cdafc6379.jpg","open")</f>
        <v/>
      </c>
      <c r="C1568" t="inlineStr">
        <is>
          <t>1a55986c-2c3f-40c0-b3d1-014dce77832e</t>
        </is>
      </c>
      <c r="D1568" t="n">
        <v>55.81333</v>
      </c>
      <c r="E1568" t="n">
        <v>37.57509</v>
      </c>
      <c r="F1568" t="inlineStr"/>
      <c r="G1568" t="inlineStr"/>
      <c r="H1568" t="inlineStr"/>
    </row>
    <row r="1569">
      <c r="A1569" t="inlineStr">
        <is>
          <t>a780951b-9c39-42ba-8aba-04ed8941ab3f.jpg</t>
        </is>
      </c>
      <c r="B1569">
        <f>HYPERLINK("Объекты недвижимости, не соответствующие градостроительным нормам_00-022_Август/a780951b-9c39-42ba-8aba-04ed8941ab3f.jpg","open")</f>
        <v/>
      </c>
      <c r="C1569" t="inlineStr">
        <is>
          <t>ed2bf0f1-3a66-4913-896e-4420a9796c0b</t>
        </is>
      </c>
      <c r="D1569" t="n">
        <v>55.81335</v>
      </c>
      <c r="E1569" t="n">
        <v>37.57513</v>
      </c>
      <c r="F1569" t="inlineStr"/>
      <c r="G1569" t="inlineStr"/>
      <c r="H1569" t="inlineStr"/>
    </row>
    <row r="1570">
      <c r="A1570" t="inlineStr">
        <is>
          <t>b7867296-9970-4478-95f9-0409cf036cbd.jpg</t>
        </is>
      </c>
      <c r="B1570">
        <f>HYPERLINK("Объекты недвижимости, не соответствующие градостроительным нормам_00-022_Август/b7867296-9970-4478-95f9-0409cf036cbd.jpg","open")</f>
        <v/>
      </c>
      <c r="C1570" t="inlineStr">
        <is>
          <t>1a55986c-2c3f-40c0-b3d1-014dce77832e</t>
        </is>
      </c>
      <c r="D1570" t="n">
        <v>55.81342</v>
      </c>
      <c r="E1570" t="n">
        <v>37.57304</v>
      </c>
      <c r="F1570" t="inlineStr"/>
      <c r="G1570" t="inlineStr"/>
      <c r="H1570" t="inlineStr"/>
    </row>
    <row r="1571">
      <c r="A1571" t="inlineStr">
        <is>
          <t>ec3ced4e-a641-49ee-921d-792c87f4e02f.jpg</t>
        </is>
      </c>
      <c r="B1571">
        <f>HYPERLINK("Объекты недвижимости, не соответствующие градостроительным нормам_00-022_Август/ec3ced4e-a641-49ee-921d-792c87f4e02f.jpg","open")</f>
        <v/>
      </c>
      <c r="C1571" t="inlineStr">
        <is>
          <t>ed2bf0f1-3a66-4913-896e-4420a9796c0b</t>
        </is>
      </c>
      <c r="D1571" t="n">
        <v>55.81569</v>
      </c>
      <c r="E1571" t="n">
        <v>37.57304</v>
      </c>
      <c r="F1571" t="inlineStr"/>
      <c r="G1571" t="inlineStr"/>
      <c r="H1571" t="inlineStr"/>
    </row>
    <row r="1572">
      <c r="A1572" t="inlineStr">
        <is>
          <t>85d46fee-009c-4ce2-9e49-43142ce31aa1.jpg</t>
        </is>
      </c>
      <c r="B1572">
        <f>HYPERLINK("Объекты недвижимости, не соответствующие градостроительным нормам_00-022_Август/85d46fee-009c-4ce2-9e49-43142ce31aa1.jpg","open")</f>
        <v/>
      </c>
      <c r="C1572" t="inlineStr">
        <is>
          <t>1a55986c-2c3f-40c0-b3d1-014dce77832e</t>
        </is>
      </c>
      <c r="D1572" t="n">
        <v>55.81603</v>
      </c>
      <c r="E1572" t="n">
        <v>37.57281</v>
      </c>
      <c r="F1572" t="inlineStr"/>
      <c r="G1572" t="inlineStr"/>
      <c r="H1572" t="inlineStr"/>
    </row>
    <row r="1573">
      <c r="A1573" t="inlineStr">
        <is>
          <t>ed153850-43df-4e38-b373-7e3b82a75b4b.jpg</t>
        </is>
      </c>
      <c r="B1573">
        <f>HYPERLINK("Объекты недвижимости, не соответствующие градостроительным нормам_00-022_Август/ed153850-43df-4e38-b373-7e3b82a75b4b.jpg","open")</f>
        <v/>
      </c>
      <c r="C1573" t="inlineStr">
        <is>
          <t>ed2bf0f1-3a66-4913-896e-4420a9796c0b</t>
        </is>
      </c>
      <c r="D1573" t="n">
        <v>55.81581</v>
      </c>
      <c r="E1573" t="n">
        <v>37.57278</v>
      </c>
      <c r="F1573" t="inlineStr"/>
      <c r="G1573" t="inlineStr"/>
      <c r="H1573" t="inlineStr"/>
    </row>
    <row r="1574">
      <c r="A1574" t="inlineStr">
        <is>
          <t>6a06cf63-9600-402c-91f4-8f0d955a845c.jpg</t>
        </is>
      </c>
      <c r="B1574">
        <f>HYPERLINK("Объекты недвижимости, не соответствующие градостроительным нормам_00-022_Август/6a06cf63-9600-402c-91f4-8f0d955a845c.jpg","open")</f>
        <v/>
      </c>
      <c r="C1574" t="inlineStr">
        <is>
          <t>ed2bf0f1-3a66-4913-896e-4420a9796c0b</t>
        </is>
      </c>
      <c r="D1574" t="n">
        <v>55.81552</v>
      </c>
      <c r="E1574" t="n">
        <v>37.57256</v>
      </c>
      <c r="F1574" t="inlineStr"/>
      <c r="G1574" t="inlineStr"/>
      <c r="H1574" t="inlineStr"/>
    </row>
    <row r="1575">
      <c r="A1575" t="inlineStr">
        <is>
          <t>f5a56526-f08c-4a0b-bb7a-d2c9615439a6.jpg</t>
        </is>
      </c>
      <c r="B1575">
        <f>HYPERLINK("Объекты недвижимости, не соответствующие градостроительным нормам_00-022_Август/f5a56526-f08c-4a0b-bb7a-d2c9615439a6.jpg","open")</f>
        <v/>
      </c>
      <c r="C1575" t="inlineStr">
        <is>
          <t>1a55986c-2c3f-40c0-b3d1-014dce77832e</t>
        </is>
      </c>
      <c r="D1575" t="n">
        <v>55.81519</v>
      </c>
      <c r="E1575" t="n">
        <v>37.57125</v>
      </c>
      <c r="F1575" t="inlineStr"/>
      <c r="G1575" t="inlineStr"/>
      <c r="H1575" t="inlineStr"/>
    </row>
    <row r="1576">
      <c r="A1576" t="inlineStr">
        <is>
          <t>318664a2-98b6-4240-8f6e-618ca2d0b848.jpg</t>
        </is>
      </c>
      <c r="B1576">
        <f>HYPERLINK("Объекты недвижимости, не соответствующие градостроительным нормам_00-022_Август/318664a2-98b6-4240-8f6e-618ca2d0b848.jpg","open")</f>
        <v/>
      </c>
      <c r="C1576" t="inlineStr">
        <is>
          <t>cbf95b01-f708-45a3-9ec0-3603469b538e</t>
        </is>
      </c>
      <c r="D1576" t="n">
        <v>55.7288</v>
      </c>
      <c r="E1576" t="n">
        <v>37.62587</v>
      </c>
      <c r="F1576" t="inlineStr"/>
      <c r="G1576" t="inlineStr"/>
      <c r="H1576" t="inlineStr"/>
    </row>
    <row r="1577">
      <c r="A1577" t="inlineStr">
        <is>
          <t>a5a3a33f-9895-4f2f-bf4b-44c92926b1bc.jpg</t>
        </is>
      </c>
      <c r="B1577">
        <f>HYPERLINK("Объекты недвижимости, не соответствующие градостроительным нормам_00-022_Август/a5a3a33f-9895-4f2f-bf4b-44c92926b1bc.jpg","open")</f>
        <v/>
      </c>
      <c r="C1577" t="inlineStr">
        <is>
          <t>cbf95b01-f708-45a3-9ec0-3603469b538e</t>
        </is>
      </c>
      <c r="D1577" t="n">
        <v>55.7288</v>
      </c>
      <c r="E1577" t="n">
        <v>37.62587</v>
      </c>
      <c r="F1577" t="inlineStr"/>
      <c r="G1577" t="inlineStr"/>
      <c r="H1577" t="inlineStr"/>
    </row>
    <row r="1578">
      <c r="A1578" t="inlineStr">
        <is>
          <t>0bc4cb03-4f74-4af7-b887-42f6aff7026b.jpg</t>
        </is>
      </c>
      <c r="B1578">
        <f>HYPERLINK("Объекты недвижимости, не соответствующие градостроительным нормам_00-022_Август/0bc4cb03-4f74-4af7-b887-42f6aff7026b.jpg","open")</f>
        <v/>
      </c>
      <c r="C1578" t="inlineStr">
        <is>
          <t>cbf95b01-f708-45a3-9ec0-3603469b538e</t>
        </is>
      </c>
      <c r="D1578" t="n">
        <v>55.7288</v>
      </c>
      <c r="E1578" t="n">
        <v>37.62587</v>
      </c>
      <c r="F1578" t="inlineStr"/>
      <c r="G1578" t="inlineStr"/>
      <c r="H1578" t="inlineStr"/>
    </row>
    <row r="1579">
      <c r="A1579" t="inlineStr">
        <is>
          <t>d0b51df9-22b0-4f7c-8384-098f38d0517c.jpg</t>
        </is>
      </c>
      <c r="B1579">
        <f>HYPERLINK("Объекты недвижимости, не соответствующие градостроительным нормам_00-022_Август/d0b51df9-22b0-4f7c-8384-098f38d0517c.jpg","open")</f>
        <v/>
      </c>
      <c r="C1579" t="inlineStr">
        <is>
          <t>cbf95b01-f708-45a3-9ec0-3603469b538e</t>
        </is>
      </c>
      <c r="D1579" t="n">
        <v>55.7288</v>
      </c>
      <c r="E1579" t="n">
        <v>37.62587</v>
      </c>
      <c r="F1579" t="inlineStr"/>
      <c r="G1579" t="inlineStr"/>
      <c r="H1579" t="inlineStr"/>
    </row>
    <row r="1580">
      <c r="A1580" t="inlineStr">
        <is>
          <t>5a2985c7-d3e5-4a4c-b93e-d76fc2698362.jpg</t>
        </is>
      </c>
      <c r="B1580">
        <f>HYPERLINK("Объекты недвижимости, не соответствующие градостроительным нормам_00-022_Август/5a2985c7-d3e5-4a4c-b93e-d76fc2698362.jpg","open")</f>
        <v/>
      </c>
      <c r="C1580" t="inlineStr">
        <is>
          <t>cbf95b01-f708-45a3-9ec0-3603469b538e</t>
        </is>
      </c>
      <c r="D1580" t="n">
        <v>55.7288</v>
      </c>
      <c r="E1580" t="n">
        <v>37.62587</v>
      </c>
      <c r="F1580" t="inlineStr"/>
      <c r="G1580" t="inlineStr"/>
      <c r="H1580" t="inlineStr"/>
    </row>
    <row r="1581">
      <c r="A1581" t="inlineStr">
        <is>
          <t>a30c1fcb-d798-4af8-bbb2-3e08987626b8.jpg</t>
        </is>
      </c>
      <c r="B1581">
        <f>HYPERLINK("Объекты недвижимости, не соответствующие градостроительным нормам_00-022_Август/a30c1fcb-d798-4af8-bbb2-3e08987626b8.jpg","open")</f>
        <v/>
      </c>
      <c r="C1581" t="inlineStr">
        <is>
          <t>cbf95b01-f708-45a3-9ec0-3603469b538e</t>
        </is>
      </c>
      <c r="D1581" t="n">
        <v>55.7288</v>
      </c>
      <c r="E1581" t="n">
        <v>37.62587</v>
      </c>
      <c r="F1581" t="inlineStr"/>
      <c r="G1581" t="inlineStr"/>
      <c r="H1581" t="inlineStr"/>
    </row>
    <row r="1582">
      <c r="A1582" t="inlineStr">
        <is>
          <t>0d7c7def-aa58-4d46-b18e-81569713f978.jpg</t>
        </is>
      </c>
      <c r="B1582">
        <f>HYPERLINK("Объекты недвижимости, не соответствующие градостроительным нормам_00-022_Август/0d7c7def-aa58-4d46-b18e-81569713f978.jpg","open")</f>
        <v/>
      </c>
      <c r="C1582" t="inlineStr">
        <is>
          <t>ed2bf0f1-3a66-4913-896e-4420a9796c0b</t>
        </is>
      </c>
      <c r="D1582" t="n">
        <v>55.811</v>
      </c>
      <c r="E1582" t="n">
        <v>37.57317</v>
      </c>
      <c r="F1582" t="inlineStr"/>
      <c r="G1582" t="inlineStr"/>
      <c r="H1582" t="inlineStr"/>
    </row>
    <row r="1583">
      <c r="A1583" t="inlineStr">
        <is>
          <t>c068e52c-41d8-4798-a7cc-fc8d0e3e2a49.jpg</t>
        </is>
      </c>
      <c r="B1583">
        <f>HYPERLINK("Объекты недвижимости, не соответствующие градостроительным нормам_00-022_Август/c068e52c-41d8-4798-a7cc-fc8d0e3e2a49.jpg","open")</f>
        <v/>
      </c>
      <c r="C1583" t="inlineStr">
        <is>
          <t>ed2bf0f1-3a66-4913-896e-4420a9796c0b</t>
        </is>
      </c>
      <c r="D1583" t="n">
        <v>55.8086</v>
      </c>
      <c r="E1583" t="n">
        <v>37.57194</v>
      </c>
      <c r="F1583" t="inlineStr"/>
      <c r="G1583" t="inlineStr"/>
      <c r="H1583" t="inlineStr"/>
    </row>
    <row r="1584">
      <c r="A1584" t="inlineStr">
        <is>
          <t>4ccc8649-90c3-4874-bf39-6cbafc1fcd2d.jpg</t>
        </is>
      </c>
      <c r="B1584">
        <f>HYPERLINK("Объекты недвижимости, не соответствующие градостроительным нормам_00-022_Август/4ccc8649-90c3-4874-bf39-6cbafc1fcd2d.jpg","open")</f>
        <v/>
      </c>
      <c r="C1584" t="inlineStr">
        <is>
          <t>1a55986c-2c3f-40c0-b3d1-014dce77832e</t>
        </is>
      </c>
      <c r="D1584" t="n">
        <v>55.80866</v>
      </c>
      <c r="E1584" t="n">
        <v>37.57236</v>
      </c>
      <c r="F1584" t="inlineStr"/>
      <c r="G1584" t="inlineStr"/>
      <c r="H1584" t="inlineStr"/>
    </row>
    <row r="1585">
      <c r="A1585" t="inlineStr">
        <is>
          <t>e409ce4d-2d79-43ba-b19f-5f3f3fe78ed3.jpg</t>
        </is>
      </c>
      <c r="B1585">
        <f>HYPERLINK("Объекты недвижимости, не соответствующие градостроительным нормам_00-022_Август/e409ce4d-2d79-43ba-b19f-5f3f3fe78ed3.jpg","open")</f>
        <v/>
      </c>
      <c r="C1585" t="inlineStr">
        <is>
          <t>ed2bf0f1-3a66-4913-896e-4420a9796c0b</t>
        </is>
      </c>
      <c r="D1585" t="n">
        <v>55.80855</v>
      </c>
      <c r="E1585" t="n">
        <v>37.57167</v>
      </c>
      <c r="F1585" t="inlineStr"/>
      <c r="G1585" t="inlineStr"/>
      <c r="H1585" t="inlineStr"/>
    </row>
    <row r="1586">
      <c r="A1586" t="inlineStr">
        <is>
          <t>56956b57-e97b-45de-b403-d5cf3ed9b35a.jpg</t>
        </is>
      </c>
      <c r="B1586">
        <f>HYPERLINK("Объекты недвижимости, не соответствующие градостроительным нормам_00-022_Август/56956b57-e97b-45de-b403-d5cf3ed9b35a.jpg","open")</f>
        <v/>
      </c>
      <c r="C1586" t="inlineStr">
        <is>
          <t>ed2bf0f1-3a66-4913-896e-4420a9796c0b</t>
        </is>
      </c>
      <c r="D1586" t="n">
        <v>55.80844</v>
      </c>
      <c r="E1586" t="n">
        <v>37.5709</v>
      </c>
      <c r="F1586" t="inlineStr"/>
      <c r="G1586" t="inlineStr"/>
      <c r="H1586" t="inlineStr"/>
    </row>
    <row r="1587">
      <c r="A1587" t="inlineStr">
        <is>
          <t>796f8771-7525-4e70-bfda-96776622ce75.jpg</t>
        </is>
      </c>
      <c r="B1587">
        <f>HYPERLINK("Объекты недвижимости, не соответствующие градостроительным нормам_00-022_Август/796f8771-7525-4e70-bfda-96776622ce75.jpg","open")</f>
        <v/>
      </c>
      <c r="C1587" t="inlineStr">
        <is>
          <t>8cde1fd0-eca1-4510-86ab-3c743b65fdfc</t>
        </is>
      </c>
      <c r="D1587" t="n">
        <v>55.7416</v>
      </c>
      <c r="E1587" t="n">
        <v>37.71917</v>
      </c>
      <c r="F1587" t="inlineStr"/>
      <c r="G1587" t="inlineStr"/>
      <c r="H1587" t="inlineStr"/>
    </row>
    <row r="1588">
      <c r="A1588" t="inlineStr">
        <is>
          <t>6d9e90b8-3e35-47fa-8ba6-43edf1391685.jpg</t>
        </is>
      </c>
      <c r="B1588">
        <f>HYPERLINK("Объекты недвижимости, не соответствующие градостроительным нормам_00-022_Август/6d9e90b8-3e35-47fa-8ba6-43edf1391685.jpg","open")</f>
        <v/>
      </c>
      <c r="C1588" t="inlineStr">
        <is>
          <t>caa4772d-6278-4484-a046-ee25514bf521</t>
        </is>
      </c>
      <c r="D1588" t="n">
        <v>55.86309</v>
      </c>
      <c r="E1588" t="n">
        <v>37.68817</v>
      </c>
      <c r="F1588" t="inlineStr"/>
      <c r="G1588" t="inlineStr"/>
      <c r="H1588" t="inlineStr"/>
    </row>
    <row r="1589">
      <c r="A1589" t="inlineStr">
        <is>
          <t>3b23b00b-2bd2-416b-a079-c2003facf846.jpg</t>
        </is>
      </c>
      <c r="B1589">
        <f>HYPERLINK("Объекты недвижимости, не соответствующие градостроительным нормам_00-022_Август/3b23b00b-2bd2-416b-a079-c2003facf846.jpg","open")</f>
        <v/>
      </c>
      <c r="C1589" t="inlineStr">
        <is>
          <t>1c951e11-4940-43c6-a447-394097e5609a</t>
        </is>
      </c>
      <c r="D1589" t="n">
        <v>55.74154</v>
      </c>
      <c r="E1589" t="n">
        <v>37.71661</v>
      </c>
      <c r="F1589" t="inlineStr"/>
      <c r="G1589" t="inlineStr"/>
      <c r="H1589" t="inlineStr"/>
    </row>
    <row r="1590">
      <c r="A1590" t="inlineStr">
        <is>
          <t>4f7aec72-0c1a-4693-9bb0-f67799fb7aa9.jpg</t>
        </is>
      </c>
      <c r="B1590">
        <f>HYPERLINK("Объекты недвижимости, не соответствующие градостроительным нормам_00-022_Август/4f7aec72-0c1a-4693-9bb0-f67799fb7aa9.jpg","open")</f>
        <v/>
      </c>
      <c r="C1590" t="inlineStr">
        <is>
          <t>8cde1fd0-eca1-4510-86ab-3c743b65fdfc</t>
        </is>
      </c>
      <c r="D1590" t="n">
        <v>55.74153</v>
      </c>
      <c r="E1590" t="n">
        <v>37.71664</v>
      </c>
      <c r="F1590" t="inlineStr"/>
      <c r="G1590" t="inlineStr"/>
      <c r="H1590" t="inlineStr"/>
    </row>
    <row r="1591">
      <c r="A1591" t="inlineStr">
        <is>
          <t>5836faa5-2e37-46e4-9efa-deae95715ba6.jpg</t>
        </is>
      </c>
      <c r="B1591">
        <f>HYPERLINK("Объекты недвижимости, не соответствующие градостроительным нормам_00-022_Август/5836faa5-2e37-46e4-9efa-deae95715ba6.jpg","open")</f>
        <v/>
      </c>
      <c r="C1591" t="inlineStr">
        <is>
          <t>1c951e11-4940-43c6-a447-394097e5609a</t>
        </is>
      </c>
      <c r="D1591" t="n">
        <v>55.73851</v>
      </c>
      <c r="E1591" t="n">
        <v>37.71543</v>
      </c>
      <c r="F1591" t="inlineStr"/>
      <c r="G1591" t="inlineStr"/>
      <c r="H1591" t="inlineStr"/>
    </row>
    <row r="1592">
      <c r="A1592" t="inlineStr">
        <is>
          <t>e46fe792-1eca-4696-bd13-acd775552823.jpg</t>
        </is>
      </c>
      <c r="B1592">
        <f>HYPERLINK("Объекты недвижимости, не соответствующие градостроительным нормам_00-022_Август/e46fe792-1eca-4696-bd13-acd775552823.jpg","open")</f>
        <v/>
      </c>
      <c r="C1592" t="inlineStr">
        <is>
          <t>1c951e11-4940-43c6-a447-394097e5609a</t>
        </is>
      </c>
      <c r="D1592" t="n">
        <v>55.73849</v>
      </c>
      <c r="E1592" t="n">
        <v>37.71535</v>
      </c>
      <c r="F1592" t="inlineStr"/>
      <c r="G1592" t="inlineStr"/>
      <c r="H1592" t="inlineStr"/>
    </row>
    <row r="1593">
      <c r="A1593" t="inlineStr">
        <is>
          <t>48c421c3-a7ab-4ac2-8265-8790fd0d6caf.jpg</t>
        </is>
      </c>
      <c r="B1593">
        <f>HYPERLINK("Объекты недвижимости, не соответствующие градостроительным нормам_00-022_Август/48c421c3-a7ab-4ac2-8265-8790fd0d6caf.jpg","open")</f>
        <v/>
      </c>
      <c r="C1593" t="inlineStr">
        <is>
          <t>8cde1fd0-eca1-4510-86ab-3c743b65fdfc</t>
        </is>
      </c>
      <c r="D1593" t="n">
        <v>55.73847</v>
      </c>
      <c r="E1593" t="n">
        <v>37.71532</v>
      </c>
      <c r="F1593" t="inlineStr"/>
      <c r="G1593" t="inlineStr"/>
      <c r="H1593" t="inlineStr"/>
    </row>
    <row r="1594">
      <c r="A1594" t="inlineStr">
        <is>
          <t>e9f9b813-3b3b-4b13-b4e1-fafd277c0bb0.jpg</t>
        </is>
      </c>
      <c r="B1594">
        <f>HYPERLINK("Объекты недвижимости, не соответствующие градостроительным нормам_00-022_Август/e9f9b813-3b3b-4b13-b4e1-fafd277c0bb0.jpg","open")</f>
        <v/>
      </c>
      <c r="C1594" t="inlineStr">
        <is>
          <t>1c951e11-4940-43c6-a447-394097e5609a</t>
        </is>
      </c>
      <c r="D1594" t="n">
        <v>55.73679</v>
      </c>
      <c r="E1594" t="n">
        <v>37.71666</v>
      </c>
      <c r="F1594" t="inlineStr"/>
      <c r="G1594" t="inlineStr"/>
      <c r="H1594" t="inlineStr"/>
    </row>
    <row r="1595">
      <c r="A1595" t="inlineStr">
        <is>
          <t>93078cb4-481f-40e3-a5c2-bf35cc1024ce.jpg</t>
        </is>
      </c>
      <c r="B1595">
        <f>HYPERLINK("Объекты недвижимости, не соответствующие градостроительным нормам_00-022_Август/93078cb4-481f-40e3-a5c2-bf35cc1024ce.jpg","open")</f>
        <v/>
      </c>
      <c r="C1595" t="inlineStr">
        <is>
          <t>8cde1fd0-eca1-4510-86ab-3c743b65fdfc</t>
        </is>
      </c>
      <c r="D1595" t="n">
        <v>55.73688</v>
      </c>
      <c r="E1595" t="n">
        <v>37.7165</v>
      </c>
      <c r="F1595" t="inlineStr"/>
      <c r="G1595" t="inlineStr"/>
      <c r="H1595" t="inlineStr"/>
    </row>
    <row r="1596">
      <c r="A1596" t="inlineStr">
        <is>
          <t>ce5517bf-f871-4c68-817c-61a73d5091b9.jpg</t>
        </is>
      </c>
      <c r="B1596">
        <f>HYPERLINK("Объекты недвижимости, не соответствующие градостроительным нормам_00-022_Август/ce5517bf-f871-4c68-817c-61a73d5091b9.jpg","open")</f>
        <v/>
      </c>
      <c r="C1596" t="inlineStr">
        <is>
          <t>1c951e11-4940-43c6-a447-394097e5609a</t>
        </is>
      </c>
      <c r="D1596" t="n">
        <v>55.73688</v>
      </c>
      <c r="E1596" t="n">
        <v>37.7165</v>
      </c>
      <c r="F1596" t="inlineStr"/>
      <c r="G1596" t="inlineStr"/>
      <c r="H1596" t="inlineStr"/>
    </row>
    <row r="1597">
      <c r="A1597" t="inlineStr">
        <is>
          <t>1419d10c-91d7-48df-946e-bf2a0e6975e3.jpg</t>
        </is>
      </c>
      <c r="B1597">
        <f>HYPERLINK("Объекты недвижимости, не соответствующие градостроительным нормам_00-022_Август/1419d10c-91d7-48df-946e-bf2a0e6975e3.jpg","open")</f>
        <v/>
      </c>
      <c r="C1597" t="inlineStr">
        <is>
          <t>ed2bf0f1-3a66-4913-896e-4420a9796c0b</t>
        </is>
      </c>
      <c r="D1597" t="n">
        <v>55.8081</v>
      </c>
      <c r="E1597" t="n">
        <v>37.5673</v>
      </c>
      <c r="F1597" t="inlineStr"/>
      <c r="G1597" t="inlineStr"/>
      <c r="H1597" t="inlineStr"/>
    </row>
    <row r="1598">
      <c r="A1598" t="inlineStr">
        <is>
          <t>53ac7d16-e6a5-4e38-aede-cb9362131748.jpg</t>
        </is>
      </c>
      <c r="B1598">
        <f>HYPERLINK("Объекты недвижимости, не соответствующие градостроительным нормам_00-022_Август/53ac7d16-e6a5-4e38-aede-cb9362131748.jpg","open")</f>
        <v/>
      </c>
      <c r="C1598" t="inlineStr">
        <is>
          <t>ed2bf0f1-3a66-4913-896e-4420a9796c0b</t>
        </is>
      </c>
      <c r="D1598" t="n">
        <v>55.80837</v>
      </c>
      <c r="E1598" t="n">
        <v>37.57069</v>
      </c>
      <c r="F1598" t="inlineStr"/>
      <c r="G1598" t="inlineStr"/>
      <c r="H1598" t="inlineStr"/>
    </row>
    <row r="1599">
      <c r="A1599" t="inlineStr">
        <is>
          <t>55bc187c-26e0-4ae2-89c3-13374d49577c.jpg</t>
        </is>
      </c>
      <c r="B1599">
        <f>HYPERLINK("Объекты недвижимости, не соответствующие градостроительным нормам_00-022_Август/55bc187c-26e0-4ae2-89c3-13374d49577c.jpg","open")</f>
        <v/>
      </c>
      <c r="C1599" t="inlineStr">
        <is>
          <t>ed2bf0f1-3a66-4913-896e-4420a9796c0b</t>
        </is>
      </c>
      <c r="D1599" t="n">
        <v>55.80846</v>
      </c>
      <c r="E1599" t="n">
        <v>37.57063</v>
      </c>
      <c r="F1599" t="inlineStr"/>
      <c r="G1599" t="inlineStr"/>
      <c r="H1599" t="inlineStr"/>
    </row>
    <row r="1600">
      <c r="A1600" t="inlineStr">
        <is>
          <t>77f4b754-6a66-4670-ae74-d6357203e4ad.jpg</t>
        </is>
      </c>
      <c r="B1600">
        <f>HYPERLINK("Объекты недвижимости, не соответствующие градостроительным нормам_00-022_Август/77f4b754-6a66-4670-ae74-d6357203e4ad.jpg","open")</f>
        <v/>
      </c>
      <c r="C1600" t="inlineStr">
        <is>
          <t>1c951e11-4940-43c6-a447-394097e5609a</t>
        </is>
      </c>
      <c r="D1600" t="n">
        <v>55.73565</v>
      </c>
      <c r="E1600" t="n">
        <v>37.72009</v>
      </c>
      <c r="F1600" t="inlineStr"/>
      <c r="G1600" t="inlineStr"/>
      <c r="H1600" t="inlineStr"/>
    </row>
    <row r="1601">
      <c r="A1601" t="inlineStr">
        <is>
          <t>27120211-4912-427c-be59-e06149fb3308.jpg</t>
        </is>
      </c>
      <c r="B1601">
        <f>HYPERLINK("Объекты недвижимости, не соответствующие градостроительным нормам_00-022_Август/27120211-4912-427c-be59-e06149fb3308.jpg","open")</f>
        <v/>
      </c>
      <c r="C1601" t="inlineStr">
        <is>
          <t>8cde1fd0-eca1-4510-86ab-3c743b65fdfc</t>
        </is>
      </c>
      <c r="D1601" t="n">
        <v>55.73554</v>
      </c>
      <c r="E1601" t="n">
        <v>37.72041</v>
      </c>
      <c r="F1601" t="inlineStr"/>
      <c r="G1601" t="inlineStr"/>
      <c r="H1601" t="inlineStr"/>
    </row>
    <row r="1602">
      <c r="A1602" t="inlineStr">
        <is>
          <t>738b9efe-f7e8-45f5-9876-4eb82e4829fc.jpg</t>
        </is>
      </c>
      <c r="B1602">
        <f>HYPERLINK("Объекты недвижимости, не соответствующие градостроительным нормам_00-022_Август/738b9efe-f7e8-45f5-9876-4eb82e4829fc.jpg","open")</f>
        <v/>
      </c>
      <c r="C1602" t="inlineStr">
        <is>
          <t>8cde1fd0-eca1-4510-86ab-3c743b65fdfc</t>
        </is>
      </c>
      <c r="D1602" t="n">
        <v>55.73547</v>
      </c>
      <c r="E1602" t="n">
        <v>37.7211</v>
      </c>
      <c r="F1602" t="inlineStr"/>
      <c r="G1602" t="inlineStr"/>
      <c r="H1602" t="inlineStr"/>
    </row>
    <row r="1603">
      <c r="A1603" t="inlineStr">
        <is>
          <t>8917c872-f0d9-4f9f-b2dd-c525e42fa9bb.jpg</t>
        </is>
      </c>
      <c r="B1603">
        <f>HYPERLINK("Объекты недвижимости, не соответствующие градостроительным нормам_00-022_Август/8917c872-f0d9-4f9f-b2dd-c525e42fa9bb.jpg","open")</f>
        <v/>
      </c>
      <c r="C1603" t="inlineStr">
        <is>
          <t>8cde1fd0-eca1-4510-86ab-3c743b65fdfc</t>
        </is>
      </c>
      <c r="D1603" t="n">
        <v>55.73801</v>
      </c>
      <c r="E1603" t="n">
        <v>37.72073</v>
      </c>
      <c r="F1603" t="inlineStr"/>
      <c r="G1603" t="inlineStr"/>
      <c r="H1603" t="inlineStr"/>
    </row>
    <row r="1604">
      <c r="A1604" t="inlineStr">
        <is>
          <t>1d59e79a-44ed-42a0-9fab-f45e3d58019e.jpg</t>
        </is>
      </c>
      <c r="B1604">
        <f>HYPERLINK("Объекты недвижимости, не соответствующие градостроительным нормам_00-022_Август/1d59e79a-44ed-42a0-9fab-f45e3d58019e.jpg","open")</f>
        <v/>
      </c>
      <c r="C1604" t="inlineStr">
        <is>
          <t>1c951e11-4940-43c6-a447-394097e5609a</t>
        </is>
      </c>
      <c r="D1604" t="n">
        <v>55.73801</v>
      </c>
      <c r="E1604" t="n">
        <v>37.72073</v>
      </c>
      <c r="F1604" t="inlineStr"/>
      <c r="G1604" t="inlineStr"/>
      <c r="H1604" t="inlineStr"/>
    </row>
    <row r="1605">
      <c r="A1605" t="inlineStr">
        <is>
          <t>5405e11f-058e-4fcf-b83c-39e790710faf.jpg</t>
        </is>
      </c>
      <c r="B1605">
        <f>HYPERLINK("Объекты недвижимости, не соответствующие градостроительным нормам_00-022_Август/5405e11f-058e-4fcf-b83c-39e790710faf.jpg","open")</f>
        <v/>
      </c>
      <c r="C1605" t="inlineStr">
        <is>
          <t>8cde1fd0-eca1-4510-86ab-3c743b65fdfc</t>
        </is>
      </c>
      <c r="D1605" t="n">
        <v>55.73825</v>
      </c>
      <c r="E1605" t="n">
        <v>37.7276</v>
      </c>
      <c r="F1605" t="inlineStr"/>
      <c r="G1605" t="inlineStr"/>
      <c r="H1605" t="inlineStr"/>
    </row>
    <row r="1606">
      <c r="A1606" t="inlineStr">
        <is>
          <t>5da5ce38-7b3a-4cc2-8b6c-11db4f266522.jpg</t>
        </is>
      </c>
      <c r="B1606">
        <f>HYPERLINK("Объекты недвижимости, не соответствующие градостроительным нормам_00-022_Август/5da5ce38-7b3a-4cc2-8b6c-11db4f266522.jpg","open")</f>
        <v/>
      </c>
      <c r="C1606" t="inlineStr">
        <is>
          <t>8cde1fd0-eca1-4510-86ab-3c743b65fdfc</t>
        </is>
      </c>
      <c r="D1606" t="n">
        <v>55.73871</v>
      </c>
      <c r="E1606" t="n">
        <v>37.72765</v>
      </c>
      <c r="F1606" t="inlineStr"/>
      <c r="G1606" t="inlineStr"/>
      <c r="H1606" t="inlineStr"/>
    </row>
    <row r="1607">
      <c r="A1607" t="inlineStr">
        <is>
          <t>4ccc12a1-e81d-4626-86d3-882c5b01c7c0.jpg</t>
        </is>
      </c>
      <c r="B1607">
        <f>HYPERLINK("Объекты недвижимости, не соответствующие градостроительным нормам_00-022_Август/4ccc12a1-e81d-4626-86d3-882c5b01c7c0.jpg","open")</f>
        <v/>
      </c>
      <c r="C1607" t="inlineStr">
        <is>
          <t>8cde1fd0-eca1-4510-86ab-3c743b65fdfc</t>
        </is>
      </c>
      <c r="D1607" t="n">
        <v>55.73886</v>
      </c>
      <c r="E1607" t="n">
        <v>37.72766</v>
      </c>
      <c r="F1607" t="inlineStr"/>
      <c r="G1607" t="inlineStr"/>
      <c r="H1607" t="inlineStr"/>
    </row>
    <row r="1608">
      <c r="A1608" t="inlineStr">
        <is>
          <t>f333d286-4fb3-4ac7-ba08-2ca5fc272975.jpg</t>
        </is>
      </c>
      <c r="B1608">
        <f>HYPERLINK("Объекты недвижимости, не соответствующие градостроительным нормам_00-022_Август/f333d286-4fb3-4ac7-ba08-2ca5fc272975.jpg","open")</f>
        <v/>
      </c>
      <c r="C1608" t="inlineStr">
        <is>
          <t>8cde1fd0-eca1-4510-86ab-3c743b65fdfc</t>
        </is>
      </c>
      <c r="D1608" t="n">
        <v>55.73927</v>
      </c>
      <c r="E1608" t="n">
        <v>37.72767</v>
      </c>
      <c r="F1608" t="inlineStr"/>
      <c r="G1608" t="inlineStr"/>
      <c r="H1608" t="inlineStr"/>
    </row>
    <row r="1609">
      <c r="A1609" t="inlineStr">
        <is>
          <t>2eb84e14-afc4-4e7a-b1c1-eefbe6cdc358.jpg</t>
        </is>
      </c>
      <c r="B1609">
        <f>HYPERLINK("Объекты недвижимости, не соответствующие градостроительным нормам_00-022_Август/2eb84e14-afc4-4e7a-b1c1-eefbe6cdc358.jpg","open")</f>
        <v/>
      </c>
      <c r="C1609" t="inlineStr">
        <is>
          <t>8cde1fd0-eca1-4510-86ab-3c743b65fdfc</t>
        </is>
      </c>
      <c r="D1609" t="n">
        <v>55.73953</v>
      </c>
      <c r="E1609" t="n">
        <v>37.72763</v>
      </c>
      <c r="F1609" t="inlineStr"/>
      <c r="G1609" t="inlineStr"/>
      <c r="H1609" t="inlineStr"/>
    </row>
    <row r="1610">
      <c r="A1610" t="inlineStr">
        <is>
          <t>92626df8-782a-444c-9617-9fbbd7c093a9.jpg</t>
        </is>
      </c>
      <c r="B1610">
        <f>HYPERLINK("Объекты недвижимости, не соответствующие градостроительным нормам_00-022_Август/92626df8-782a-444c-9617-9fbbd7c093a9.jpg","open")</f>
        <v/>
      </c>
      <c r="C1610" t="inlineStr">
        <is>
          <t>1c951e11-4940-43c6-a447-394097e5609a</t>
        </is>
      </c>
      <c r="D1610" t="n">
        <v>55.73993</v>
      </c>
      <c r="E1610" t="n">
        <v>37.7276</v>
      </c>
      <c r="F1610" t="inlineStr"/>
      <c r="G1610" t="inlineStr"/>
      <c r="H1610" t="inlineStr"/>
    </row>
    <row r="1611">
      <c r="A1611" t="inlineStr">
        <is>
          <t>6056d143-f37f-4d16-ab7d-8a0bfa85c165.jpg</t>
        </is>
      </c>
      <c r="B1611">
        <f>HYPERLINK("Объекты недвижимости, не соответствующие градостроительным нормам_00-022_Август/6056d143-f37f-4d16-ab7d-8a0bfa85c165.jpg","open")</f>
        <v/>
      </c>
      <c r="C1611" t="inlineStr">
        <is>
          <t>8cde1fd0-eca1-4510-86ab-3c743b65fdfc</t>
        </is>
      </c>
      <c r="D1611" t="n">
        <v>55.73997</v>
      </c>
      <c r="E1611" t="n">
        <v>37.72758</v>
      </c>
      <c r="F1611" t="inlineStr"/>
      <c r="G1611" t="inlineStr"/>
      <c r="H1611" t="inlineStr"/>
    </row>
    <row r="1612">
      <c r="A1612" t="inlineStr">
        <is>
          <t>fb24ebd4-ae4c-4400-b2ae-912af469dd0b.jpg</t>
        </is>
      </c>
      <c r="B1612">
        <f>HYPERLINK("Объекты недвижимости, не соответствующие градостроительным нормам_00-022_Август/fb24ebd4-ae4c-4400-b2ae-912af469dd0b.jpg","open")</f>
        <v/>
      </c>
      <c r="C1612" t="inlineStr">
        <is>
          <t>1c951e11-4940-43c6-a447-394097e5609a</t>
        </is>
      </c>
      <c r="D1612" t="n">
        <v>55.73997</v>
      </c>
      <c r="E1612" t="n">
        <v>37.72758</v>
      </c>
      <c r="F1612" t="inlineStr"/>
      <c r="G1612" t="inlineStr"/>
      <c r="H1612" t="inlineStr"/>
    </row>
    <row r="1613">
      <c r="A1613" t="inlineStr">
        <is>
          <t>93533106-0629-4834-92de-da3ef64ed7cf.jpg</t>
        </is>
      </c>
      <c r="B1613">
        <f>HYPERLINK("Объекты недвижимости, не соответствующие градостроительным нормам_00-022_Август/93533106-0629-4834-92de-da3ef64ed7cf.jpg","open")</f>
        <v/>
      </c>
      <c r="C1613" t="inlineStr">
        <is>
          <t>8cde1fd0-eca1-4510-86ab-3c743b65fdfc</t>
        </is>
      </c>
      <c r="D1613" t="n">
        <v>55.73998</v>
      </c>
      <c r="E1613" t="n">
        <v>37.72754</v>
      </c>
      <c r="F1613" t="inlineStr"/>
      <c r="G1613" t="inlineStr"/>
      <c r="H1613" t="inlineStr"/>
    </row>
    <row r="1614">
      <c r="A1614" t="inlineStr">
        <is>
          <t>32549e32-8960-4055-bf90-c198baab5c5f.jpg</t>
        </is>
      </c>
      <c r="B1614">
        <f>HYPERLINK("Объекты недвижимости, не соответствующие градостроительным нормам_00-022_Август/32549e32-8960-4055-bf90-c198baab5c5f.jpg","open")</f>
        <v/>
      </c>
      <c r="C1614" t="inlineStr">
        <is>
          <t>8cde1fd0-eca1-4510-86ab-3c743b65fdfc</t>
        </is>
      </c>
      <c r="D1614" t="n">
        <v>55.73997</v>
      </c>
      <c r="E1614" t="n">
        <v>37.72756</v>
      </c>
      <c r="F1614" t="inlineStr"/>
      <c r="G1614" t="inlineStr"/>
      <c r="H1614" t="inlineStr"/>
    </row>
    <row r="1615">
      <c r="A1615" t="inlineStr">
        <is>
          <t>cb6a3e8f-859d-4aa7-adf7-c43abb02562b.jpg</t>
        </is>
      </c>
      <c r="B1615">
        <f>HYPERLINK("Объекты недвижимости, не соответствующие градостроительным нормам_00-022_Август/cb6a3e8f-859d-4aa7-adf7-c43abb02562b.jpg","open")</f>
        <v/>
      </c>
      <c r="C1615" t="inlineStr">
        <is>
          <t>caa4772d-6278-4484-a046-ee25514bf521</t>
        </is>
      </c>
      <c r="D1615" t="n">
        <v>55.84037</v>
      </c>
      <c r="E1615" t="n">
        <v>37.67039</v>
      </c>
      <c r="F1615" t="inlineStr"/>
      <c r="G1615" t="inlineStr"/>
      <c r="H1615" t="inlineStr"/>
    </row>
    <row r="1616">
      <c r="A1616" t="inlineStr">
        <is>
          <t>693fdf12-314d-409b-8f5a-a736f36c8ece.jpg</t>
        </is>
      </c>
      <c r="B1616">
        <f>HYPERLINK("Объекты недвижимости, не соответствующие градостроительным нормам_00-022_Август/693fdf12-314d-409b-8f5a-a736f36c8ece.jpg","open")</f>
        <v/>
      </c>
      <c r="C1616" t="inlineStr">
        <is>
          <t>caa4772d-6278-4484-a046-ee25514bf521</t>
        </is>
      </c>
      <c r="D1616" t="n">
        <v>55.84336</v>
      </c>
      <c r="E1616" t="n">
        <v>37.67097</v>
      </c>
      <c r="F1616" t="inlineStr"/>
      <c r="G1616" t="inlineStr"/>
      <c r="H1616" t="inlineStr"/>
    </row>
    <row r="1617">
      <c r="A1617" t="inlineStr">
        <is>
          <t>01a35e84-5111-470e-b2e6-daf59a5193a7.jpg</t>
        </is>
      </c>
      <c r="B1617">
        <f>HYPERLINK("Объекты недвижимости, не соответствующие градостроительным нормам_00-022_Август/01a35e84-5111-470e-b2e6-daf59a5193a7.jpg","open")</f>
        <v/>
      </c>
      <c r="C1617" t="inlineStr">
        <is>
          <t>93848fc8-17e7-4748-9ebc-c7e379e11d2f</t>
        </is>
      </c>
      <c r="D1617" t="n">
        <v>55.64076</v>
      </c>
      <c r="E1617" t="n">
        <v>37.62555</v>
      </c>
      <c r="F1617" t="inlineStr"/>
      <c r="G1617" t="inlineStr"/>
      <c r="H1617" t="inlineStr"/>
    </row>
    <row r="1618">
      <c r="A1618" t="inlineStr">
        <is>
          <t>e80e5638-c144-48e7-9c53-2c3fa3cacbe0.jpg</t>
        </is>
      </c>
      <c r="B1618">
        <f>HYPERLINK("Объекты недвижимости, не соответствующие градостроительным нормам_00-022_Август/e80e5638-c144-48e7-9c53-2c3fa3cacbe0.jpg","open")</f>
        <v/>
      </c>
      <c r="C1618" t="inlineStr">
        <is>
          <t>caa4772d-6278-4484-a046-ee25514bf521</t>
        </is>
      </c>
      <c r="D1618" t="n">
        <v>55.84679</v>
      </c>
      <c r="E1618" t="n">
        <v>37.67326</v>
      </c>
      <c r="F1618" t="inlineStr"/>
      <c r="G1618" t="inlineStr"/>
      <c r="H1618" t="inlineStr"/>
    </row>
    <row r="1619">
      <c r="A1619" t="inlineStr">
        <is>
          <t>27b98b01-efd5-4e0a-bc0d-99292215395d.jpg</t>
        </is>
      </c>
      <c r="B1619">
        <f>HYPERLINK("Объекты недвижимости, не соответствующие градостроительным нормам_00-022_Август/27b98b01-efd5-4e0a-bc0d-99292215395d.jpg","open")</f>
        <v/>
      </c>
      <c r="C1619" t="inlineStr">
        <is>
          <t>8cde1fd0-eca1-4510-86ab-3c743b65fdfc</t>
        </is>
      </c>
      <c r="D1619" t="n">
        <v>55.74329</v>
      </c>
      <c r="E1619" t="n">
        <v>37.71909</v>
      </c>
      <c r="F1619" t="inlineStr"/>
      <c r="G1619" t="inlineStr"/>
      <c r="H1619" t="inlineStr"/>
    </row>
    <row r="1620">
      <c r="A1620" t="inlineStr">
        <is>
          <t>87113214-53a7-4a53-a9a7-77bcc952774e.jpg</t>
        </is>
      </c>
      <c r="B1620">
        <f>HYPERLINK("Объекты недвижимости, не соответствующие градостроительным нормам_00-022_Август/87113214-53a7-4a53-a9a7-77bcc952774e.jpg","open")</f>
        <v/>
      </c>
      <c r="C1620" t="inlineStr">
        <is>
          <t>8cde1fd0-eca1-4510-86ab-3c743b65fdfc</t>
        </is>
      </c>
      <c r="D1620" t="n">
        <v>55.74347</v>
      </c>
      <c r="E1620" t="n">
        <v>37.7182</v>
      </c>
      <c r="F1620" t="inlineStr"/>
      <c r="G1620" t="inlineStr"/>
      <c r="H1620" t="inlineStr"/>
    </row>
    <row r="1621">
      <c r="A1621" t="inlineStr">
        <is>
          <t>05f957e7-b45b-417c-a83c-7021d524f0ea.jpg</t>
        </is>
      </c>
      <c r="B1621">
        <f>HYPERLINK("Объекты недвижимости, не соответствующие градостроительным нормам_00-022_Август/05f957e7-b45b-417c-a83c-7021d524f0ea.jpg","open")</f>
        <v/>
      </c>
      <c r="C1621" t="inlineStr">
        <is>
          <t>8cde1fd0-eca1-4510-86ab-3c743b65fdfc</t>
        </is>
      </c>
      <c r="D1621" t="n">
        <v>55.74397</v>
      </c>
      <c r="E1621" t="n">
        <v>37.71755</v>
      </c>
      <c r="F1621" t="inlineStr"/>
      <c r="G1621" t="inlineStr"/>
      <c r="H1621" t="inlineStr"/>
    </row>
    <row r="1622">
      <c r="A1622" t="inlineStr">
        <is>
          <t>0bfea5f2-8130-463c-b216-050d2de75207.jpg</t>
        </is>
      </c>
      <c r="B1622">
        <f>HYPERLINK("Объекты недвижимости, не соответствующие градостроительным нормам_00-022_Август/0bfea5f2-8130-463c-b216-050d2de75207.jpg","open")</f>
        <v/>
      </c>
      <c r="C1622" t="inlineStr">
        <is>
          <t>8cde1fd0-eca1-4510-86ab-3c743b65fdfc</t>
        </is>
      </c>
      <c r="D1622" t="n">
        <v>55.74937</v>
      </c>
      <c r="E1622" t="n">
        <v>37.7119</v>
      </c>
      <c r="F1622" t="inlineStr"/>
      <c r="G1622" t="inlineStr"/>
      <c r="H1622" t="inlineStr"/>
    </row>
    <row r="1623">
      <c r="A1623" t="inlineStr">
        <is>
          <t>001cae2e-5fe9-46ec-9736-5aa3cd348484.jpg</t>
        </is>
      </c>
      <c r="B1623">
        <f>HYPERLINK("Объекты недвижимости, не соответствующие градостроительным нормам_00-022_Август/001cae2e-5fe9-46ec-9736-5aa3cd348484.jpg","open")</f>
        <v/>
      </c>
      <c r="C1623" t="inlineStr">
        <is>
          <t>1a55986c-2c3f-40c0-b3d1-014dce77832e</t>
        </is>
      </c>
      <c r="D1623" t="n">
        <v>55.82368</v>
      </c>
      <c r="E1623" t="n">
        <v>37.56947</v>
      </c>
      <c r="F1623" t="inlineStr"/>
      <c r="G1623" t="inlineStr"/>
      <c r="H1623" t="inlineStr"/>
    </row>
    <row r="1624">
      <c r="A1624" t="inlineStr">
        <is>
          <t>ae001813-fbc0-4c2d-ac97-411e94c2e587.jpg</t>
        </is>
      </c>
      <c r="B1624">
        <f>HYPERLINK("Объекты недвижимости, не соответствующие градостроительным нормам_00-022_Август/ae001813-fbc0-4c2d-ac97-411e94c2e587.jpg","open")</f>
        <v/>
      </c>
      <c r="C1624" t="inlineStr">
        <is>
          <t>fce890a6-27da-4062-a046-08262a160ee6</t>
        </is>
      </c>
      <c r="D1624" t="n">
        <v>55.78183</v>
      </c>
      <c r="E1624" t="n">
        <v>37.66821</v>
      </c>
      <c r="F1624" t="inlineStr"/>
      <c r="G1624" t="inlineStr"/>
      <c r="H1624" t="inlineStr"/>
    </row>
    <row r="1625">
      <c r="A1625" t="inlineStr">
        <is>
          <t>2915d606-c3ef-4819-8665-660389aacc31.jpg</t>
        </is>
      </c>
      <c r="B1625">
        <f>HYPERLINK("Объекты недвижимости, не соответствующие градостроительным нормам_00-022_Август/2915d606-c3ef-4819-8665-660389aacc31.jpg","open")</f>
        <v/>
      </c>
      <c r="C1625" t="inlineStr">
        <is>
          <t>8cde1fd0-eca1-4510-86ab-3c743b65fdfc</t>
        </is>
      </c>
      <c r="D1625" t="n">
        <v>55.74331</v>
      </c>
      <c r="E1625" t="n">
        <v>37.71213</v>
      </c>
      <c r="F1625" t="inlineStr"/>
      <c r="G1625" t="inlineStr"/>
      <c r="H1625" t="inlineStr"/>
    </row>
    <row r="1626">
      <c r="A1626" t="inlineStr">
        <is>
          <t>2869fa5f-c390-493a-af5f-07b9d6d4663b.jpg</t>
        </is>
      </c>
      <c r="B1626">
        <f>HYPERLINK("Объекты недвижимости, не соответствующие градостроительным нормам_00-022_Август/2869fa5f-c390-493a-af5f-07b9d6d4663b.jpg","open")</f>
        <v/>
      </c>
      <c r="C1626" t="inlineStr">
        <is>
          <t>1c951e11-4940-43c6-a447-394097e5609a</t>
        </is>
      </c>
      <c r="D1626" t="n">
        <v>55.74576</v>
      </c>
      <c r="E1626" t="n">
        <v>37.71104</v>
      </c>
      <c r="F1626" t="inlineStr"/>
      <c r="G1626" t="inlineStr"/>
      <c r="H1626" t="inlineStr"/>
    </row>
    <row r="1627">
      <c r="A1627" t="inlineStr">
        <is>
          <t>8e1aac77-27bb-4978-ae2f-2bfc2b051fb0.jpg</t>
        </is>
      </c>
      <c r="B1627">
        <f>HYPERLINK("Объекты недвижимости, не соответствующие градостроительным нормам_00-022_Август/8e1aac77-27bb-4978-ae2f-2bfc2b051fb0.jpg","open")</f>
        <v/>
      </c>
      <c r="C1627" t="inlineStr">
        <is>
          <t>8cde1fd0-eca1-4510-86ab-3c743b65fdfc</t>
        </is>
      </c>
      <c r="D1627" t="n">
        <v>55.74552</v>
      </c>
      <c r="E1627" t="n">
        <v>37.71114</v>
      </c>
      <c r="F1627" t="inlineStr"/>
      <c r="G1627" t="inlineStr"/>
      <c r="H1627" t="inlineStr"/>
    </row>
    <row r="1628">
      <c r="A1628" t="inlineStr">
        <is>
          <t>80045ee0-118c-4768-b044-701a0ad34dc2.jpg</t>
        </is>
      </c>
      <c r="B1628">
        <f>HYPERLINK("Объекты недвижимости, не соответствующие градостроительным нормам_00-022_Август/80045ee0-118c-4768-b044-701a0ad34dc2.jpg","open")</f>
        <v/>
      </c>
      <c r="C1628" t="inlineStr">
        <is>
          <t>8cde1fd0-eca1-4510-86ab-3c743b65fdfc</t>
        </is>
      </c>
      <c r="D1628" t="n">
        <v>55.746</v>
      </c>
      <c r="E1628" t="n">
        <v>37.71093</v>
      </c>
      <c r="F1628" t="inlineStr"/>
      <c r="G1628" t="inlineStr"/>
      <c r="H1628" t="inlineStr"/>
    </row>
    <row r="1629">
      <c r="A1629" t="inlineStr">
        <is>
          <t>ecac729b-5766-47f3-b6fa-b6f0595e997a.jpg</t>
        </is>
      </c>
      <c r="B1629">
        <f>HYPERLINK("Объекты недвижимости, не соответствующие градостроительным нормам_00-022_Август/ecac729b-5766-47f3-b6fa-b6f0595e997a.jpg","open")</f>
        <v/>
      </c>
      <c r="C1629" t="inlineStr">
        <is>
          <t>1c951e11-4940-43c6-a447-394097e5609a</t>
        </is>
      </c>
      <c r="D1629" t="n">
        <v>55.74624</v>
      </c>
      <c r="E1629" t="n">
        <v>37.71083</v>
      </c>
      <c r="F1629" t="inlineStr"/>
      <c r="G1629" t="inlineStr"/>
      <c r="H1629" t="inlineStr"/>
    </row>
    <row r="1630">
      <c r="A1630" t="inlineStr">
        <is>
          <t>f597260a-00d0-478c-9a81-cbdf2580e01f.jpg</t>
        </is>
      </c>
      <c r="B1630">
        <f>HYPERLINK("Объекты недвижимости, не соответствующие градостроительным нормам_00-022_Август/f597260a-00d0-478c-9a81-cbdf2580e01f.jpg","open")</f>
        <v/>
      </c>
      <c r="C1630" t="inlineStr">
        <is>
          <t>8cde1fd0-eca1-4510-86ab-3c743b65fdfc</t>
        </is>
      </c>
      <c r="D1630" t="n">
        <v>55.74624</v>
      </c>
      <c r="E1630" t="n">
        <v>37.71083</v>
      </c>
      <c r="F1630" t="inlineStr"/>
      <c r="G1630" t="inlineStr"/>
      <c r="H1630" t="inlineStr"/>
    </row>
    <row r="1631">
      <c r="A1631" t="inlineStr">
        <is>
          <t>aabe9383-9334-43a0-8da5-210fc617f70c.jpg</t>
        </is>
      </c>
      <c r="B1631">
        <f>HYPERLINK("Объекты недвижимости, не соответствующие градостроительным нормам_00-022_Август/aabe9383-9334-43a0-8da5-210fc617f70c.jpg","open")</f>
        <v/>
      </c>
      <c r="C1631" t="inlineStr">
        <is>
          <t>1c951e11-4940-43c6-a447-394097e5609a</t>
        </is>
      </c>
      <c r="D1631" t="n">
        <v>55.74648</v>
      </c>
      <c r="E1631" t="n">
        <v>37.71074</v>
      </c>
      <c r="F1631" t="inlineStr"/>
      <c r="G1631" t="inlineStr"/>
      <c r="H1631" t="inlineStr"/>
    </row>
    <row r="1632">
      <c r="A1632" t="inlineStr">
        <is>
          <t>84361b25-4559-4e18-af36-5e4b6181e84d.jpg</t>
        </is>
      </c>
      <c r="B1632">
        <f>HYPERLINK("Объекты недвижимости, не соответствующие градостроительным нормам_00-022_Август/84361b25-4559-4e18-af36-5e4b6181e84d.jpg","open")</f>
        <v/>
      </c>
      <c r="C1632" t="inlineStr">
        <is>
          <t>8cde1fd0-eca1-4510-86ab-3c743b65fdfc</t>
        </is>
      </c>
      <c r="D1632" t="n">
        <v>55.74648</v>
      </c>
      <c r="E1632" t="n">
        <v>37.71074</v>
      </c>
      <c r="F1632" t="inlineStr"/>
      <c r="G1632" t="inlineStr"/>
      <c r="H1632" t="inlineStr"/>
    </row>
    <row r="1633">
      <c r="A1633" t="inlineStr">
        <is>
          <t>6430d222-c17a-47a1-b018-1f66c4b86951.jpg</t>
        </is>
      </c>
      <c r="B1633">
        <f>HYPERLINK("Объекты недвижимости, не соответствующие градостроительным нормам_00-022_Август/6430d222-c17a-47a1-b018-1f66c4b86951.jpg","open")</f>
        <v/>
      </c>
      <c r="C1633" t="inlineStr">
        <is>
          <t>8beacb4f-617e-4b34-8030-60c4dff5f8d1</t>
        </is>
      </c>
      <c r="D1633" t="n">
        <v>55.73417</v>
      </c>
      <c r="E1633" t="n">
        <v>37.56362</v>
      </c>
      <c r="F1633" t="inlineStr"/>
      <c r="G1633" t="inlineStr"/>
      <c r="H1633" t="inlineStr"/>
    </row>
    <row r="1634">
      <c r="A1634" t="inlineStr">
        <is>
          <t>60c1c143-7bdc-4a20-b451-71df6dee3c3e.jpg</t>
        </is>
      </c>
      <c r="B1634">
        <f>HYPERLINK("Объекты недвижимости, не соответствующие градостроительным нормам_00-022_Август/60c1c143-7bdc-4a20-b451-71df6dee3c3e.jpg","open")</f>
        <v/>
      </c>
      <c r="C1634" t="inlineStr">
        <is>
          <t>fce890a6-27da-4062-a046-08262a160ee6</t>
        </is>
      </c>
      <c r="D1634" t="n">
        <v>55.78227</v>
      </c>
      <c r="E1634" t="n">
        <v>37.67099</v>
      </c>
      <c r="F1634" t="inlineStr"/>
      <c r="G1634" t="inlineStr"/>
      <c r="H1634" t="inlineStr"/>
    </row>
    <row r="1635">
      <c r="A1635" t="inlineStr">
        <is>
          <t>71a9c604-90cb-459e-ac26-07574bb7e36e.jpg</t>
        </is>
      </c>
      <c r="B1635">
        <f>HYPERLINK("Объекты недвижимости, не соответствующие градостроительным нормам_00-022_Август/71a9c604-90cb-459e-ac26-07574bb7e36e.jpg","open")</f>
        <v/>
      </c>
      <c r="C1635" t="inlineStr">
        <is>
          <t>8cde1fd0-eca1-4510-86ab-3c743b65fdfc</t>
        </is>
      </c>
      <c r="D1635" t="n">
        <v>55.74918</v>
      </c>
      <c r="E1635" t="n">
        <v>37.71595</v>
      </c>
      <c r="F1635" t="inlineStr"/>
      <c r="G1635" t="inlineStr"/>
      <c r="H1635" t="inlineStr"/>
    </row>
    <row r="1636">
      <c r="A1636" t="inlineStr">
        <is>
          <t>400c5e41-9f59-40b9-af74-a0f42fce45e1.jpg</t>
        </is>
      </c>
      <c r="B1636">
        <f>HYPERLINK("Объекты недвижимости, не соответствующие градостроительным нормам_00-022_Август/400c5e41-9f59-40b9-af74-a0f42fce45e1.jpg","open")</f>
        <v/>
      </c>
      <c r="C1636" t="inlineStr">
        <is>
          <t>1c951e11-4940-43c6-a447-394097e5609a</t>
        </is>
      </c>
      <c r="D1636" t="n">
        <v>55.74894</v>
      </c>
      <c r="E1636" t="n">
        <v>37.71475</v>
      </c>
      <c r="F1636" t="inlineStr"/>
      <c r="G1636" t="inlineStr"/>
      <c r="H1636" t="inlineStr"/>
    </row>
    <row r="1637">
      <c r="A1637" t="inlineStr">
        <is>
          <t>1e05285d-0f08-4fe6-9a01-357070166f3d.jpg</t>
        </is>
      </c>
      <c r="B1637">
        <f>HYPERLINK("Объекты недвижимости, не соответствующие градостроительным нормам_00-022_Август/1e05285d-0f08-4fe6-9a01-357070166f3d.jpg","open")</f>
        <v/>
      </c>
      <c r="C1637" t="inlineStr">
        <is>
          <t>8cde1fd0-eca1-4510-86ab-3c743b65fdfc</t>
        </is>
      </c>
      <c r="D1637" t="n">
        <v>55.74909</v>
      </c>
      <c r="E1637" t="n">
        <v>37.7166</v>
      </c>
      <c r="F1637" t="inlineStr"/>
      <c r="G1637" t="inlineStr"/>
      <c r="H1637" t="inlineStr"/>
    </row>
    <row r="1638">
      <c r="A1638" t="inlineStr">
        <is>
          <t>f1504f79-659b-400e-a903-6132740ed7bc.jpg</t>
        </is>
      </c>
      <c r="B1638">
        <f>HYPERLINK("Объекты недвижимости, не соответствующие градостроительным нормам_00-022_Август/f1504f79-659b-400e-a903-6132740ed7bc.jpg","open")</f>
        <v/>
      </c>
      <c r="C1638" t="inlineStr">
        <is>
          <t>1c951e11-4940-43c6-a447-394097e5609a</t>
        </is>
      </c>
      <c r="D1638" t="n">
        <v>55.74916</v>
      </c>
      <c r="E1638" t="n">
        <v>37.71654</v>
      </c>
      <c r="F1638" t="inlineStr"/>
      <c r="G1638" t="inlineStr"/>
      <c r="H1638" t="inlineStr"/>
    </row>
    <row r="1639">
      <c r="A1639" t="inlineStr">
        <is>
          <t>2ccfcf91-6977-4279-bac7-b1cf1972ef47.jpg</t>
        </is>
      </c>
      <c r="B1639">
        <f>HYPERLINK("Объекты недвижимости, не соответствующие градостроительным нормам_00-022_Август/2ccfcf91-6977-4279-bac7-b1cf1972ef47.jpg","open")</f>
        <v/>
      </c>
      <c r="C1639" t="inlineStr">
        <is>
          <t>1a55986c-2c3f-40c0-b3d1-014dce77832e</t>
        </is>
      </c>
      <c r="D1639" t="n">
        <v>55.82454</v>
      </c>
      <c r="E1639" t="n">
        <v>37.54136</v>
      </c>
      <c r="F1639" t="inlineStr"/>
      <c r="G1639" t="inlineStr"/>
      <c r="H1639" t="inlineStr"/>
    </row>
    <row r="1640">
      <c r="A1640" t="inlineStr">
        <is>
          <t>3ee3c27f-7a4f-40cf-950d-0a8a87627730.jpg</t>
        </is>
      </c>
      <c r="B1640">
        <f>HYPERLINK("Объекты недвижимости, не соответствующие градостроительным нормам_00-022_Август/3ee3c27f-7a4f-40cf-950d-0a8a87627730.jpg","open")</f>
        <v/>
      </c>
      <c r="C1640" t="inlineStr">
        <is>
          <t>1a55986c-2c3f-40c0-b3d1-014dce77832e</t>
        </is>
      </c>
      <c r="D1640" t="n">
        <v>55.82436</v>
      </c>
      <c r="E1640" t="n">
        <v>37.54101</v>
      </c>
      <c r="F1640" t="inlineStr"/>
      <c r="G1640" t="inlineStr"/>
      <c r="H1640" t="inlineStr"/>
    </row>
    <row r="1641">
      <c r="A1641" t="inlineStr">
        <is>
          <t>474f5c5e-c2cd-447f-9d1f-378df5428b55.jpg</t>
        </is>
      </c>
      <c r="B1641">
        <f>HYPERLINK("Объекты недвижимости, не соответствующие градостроительным нормам_00-022_Август/474f5c5e-c2cd-447f-9d1f-378df5428b55.jpg","open")</f>
        <v/>
      </c>
      <c r="C1641" t="inlineStr">
        <is>
          <t>ed2bf0f1-3a66-4913-896e-4420a9796c0b</t>
        </is>
      </c>
      <c r="D1641" t="n">
        <v>55.82436</v>
      </c>
      <c r="E1641" t="n">
        <v>37.54102</v>
      </c>
      <c r="F1641" t="inlineStr"/>
      <c r="G1641" t="inlineStr"/>
      <c r="H1641" t="inlineStr"/>
    </row>
    <row r="1642">
      <c r="A1642" t="inlineStr">
        <is>
          <t>3c336b74-67cb-452c-9882-445f40ca1493.jpg</t>
        </is>
      </c>
      <c r="B1642">
        <f>HYPERLINK("Объекты недвижимости, не соответствующие градостроительным нормам_00-022_Август/3c336b74-67cb-452c-9882-445f40ca1493.jpg","open")</f>
        <v/>
      </c>
      <c r="C1642" t="inlineStr">
        <is>
          <t>1a55986c-2c3f-40c0-b3d1-014dce77832e</t>
        </is>
      </c>
      <c r="D1642" t="n">
        <v>55.83464</v>
      </c>
      <c r="E1642" t="n">
        <v>37.5705</v>
      </c>
      <c r="F1642" t="inlineStr"/>
      <c r="G1642" t="inlineStr"/>
      <c r="H1642" t="inlineStr"/>
    </row>
    <row r="1643">
      <c r="A1643" t="inlineStr">
        <is>
          <t>6961ec7c-0581-43b8-8dbb-c6f0d8a97e44.jpg</t>
        </is>
      </c>
      <c r="B1643">
        <f>HYPERLINK("Объекты недвижимости, не соответствующие градостроительным нормам_00-022_Август/6961ec7c-0581-43b8-8dbb-c6f0d8a97e44.jpg","open")</f>
        <v/>
      </c>
      <c r="C1643" t="inlineStr">
        <is>
          <t>ed2bf0f1-3a66-4913-896e-4420a9796c0b</t>
        </is>
      </c>
      <c r="D1643" t="n">
        <v>55.83465</v>
      </c>
      <c r="E1643" t="n">
        <v>37.57051</v>
      </c>
      <c r="F1643" t="inlineStr"/>
      <c r="G1643" t="inlineStr"/>
      <c r="H1643" t="inlineStr"/>
    </row>
    <row r="1644">
      <c r="A1644" t="inlineStr">
        <is>
          <t>c34e106c-e98e-4d1a-b094-587722c531b2.jpg</t>
        </is>
      </c>
      <c r="B1644">
        <f>HYPERLINK("Объекты недвижимости, не соответствующие градостроительным нормам_00-022_Август/c34e106c-e98e-4d1a-b094-587722c531b2.jpg","open")</f>
        <v/>
      </c>
      <c r="C1644" t="inlineStr">
        <is>
          <t>1c951e11-4940-43c6-a447-394097e5609a</t>
        </is>
      </c>
      <c r="D1644" t="n">
        <v>55.75801</v>
      </c>
      <c r="E1644" t="n">
        <v>37.71613</v>
      </c>
      <c r="F1644" t="inlineStr"/>
      <c r="G1644" t="inlineStr"/>
      <c r="H1644" t="inlineStr"/>
    </row>
    <row r="1645">
      <c r="A1645" t="inlineStr">
        <is>
          <t>0b6e6b29-9714-4c48-9b39-8c5a5f9f4d9b.jpg</t>
        </is>
      </c>
      <c r="B1645">
        <f>HYPERLINK("Объекты недвижимости, не соответствующие градостроительным нормам_00-022_Август/0b6e6b29-9714-4c48-9b39-8c5a5f9f4d9b.jpg","open")</f>
        <v/>
      </c>
      <c r="C1645" t="inlineStr">
        <is>
          <t>8cde1fd0-eca1-4510-86ab-3c743b65fdfc</t>
        </is>
      </c>
      <c r="D1645" t="n">
        <v>55.75801</v>
      </c>
      <c r="E1645" t="n">
        <v>37.71613</v>
      </c>
      <c r="F1645" t="inlineStr"/>
      <c r="G1645" t="inlineStr"/>
      <c r="H1645" t="inlineStr"/>
    </row>
    <row r="1646">
      <c r="A1646" t="inlineStr">
        <is>
          <t>60a7c6b2-4434-4858-b069-2d61da9172fd.jpg</t>
        </is>
      </c>
      <c r="B1646">
        <f>HYPERLINK("Объекты недвижимости, не соответствующие градостроительным нормам_00-022_Август/60a7c6b2-4434-4858-b069-2d61da9172fd.jpg","open")</f>
        <v/>
      </c>
      <c r="C1646" t="inlineStr">
        <is>
          <t>8cde1fd0-eca1-4510-86ab-3c743b65fdfc</t>
        </is>
      </c>
      <c r="D1646" t="n">
        <v>55.77176</v>
      </c>
      <c r="E1646" t="n">
        <v>37.714</v>
      </c>
      <c r="F1646" t="inlineStr"/>
      <c r="G1646" t="inlineStr"/>
      <c r="H1646" t="inlineStr"/>
    </row>
    <row r="1647">
      <c r="A1647" t="inlineStr">
        <is>
          <t>11f22f6d-0455-48f1-bc53-5acf54809841.jpg</t>
        </is>
      </c>
      <c r="B1647">
        <f>HYPERLINK("Объекты недвижимости, не соответствующие градостроительным нормам_00-022_Август/11f22f6d-0455-48f1-bc53-5acf54809841.jpg","open")</f>
        <v/>
      </c>
      <c r="C1647" t="inlineStr">
        <is>
          <t>1a55986c-2c3f-40c0-b3d1-014dce77832e</t>
        </is>
      </c>
      <c r="D1647" t="n">
        <v>55.83596</v>
      </c>
      <c r="E1647" t="n">
        <v>37.5525</v>
      </c>
      <c r="F1647" t="inlineStr"/>
      <c r="G1647" t="inlineStr"/>
      <c r="H1647" t="inlineStr"/>
    </row>
    <row r="1648">
      <c r="A1648" t="inlineStr">
        <is>
          <t>432e4a70-6061-4eb7-a220-f0314c181cee.jpg</t>
        </is>
      </c>
      <c r="B1648">
        <f>HYPERLINK("Объекты недвижимости, не соответствующие градостроительным нормам_00-022_Август/432e4a70-6061-4eb7-a220-f0314c181cee.jpg","open")</f>
        <v/>
      </c>
      <c r="C1648" t="inlineStr">
        <is>
          <t>ed2bf0f1-3a66-4913-896e-4420a9796c0b</t>
        </is>
      </c>
      <c r="D1648" t="n">
        <v>55.83608</v>
      </c>
      <c r="E1648" t="n">
        <v>37.55291</v>
      </c>
      <c r="F1648" t="inlineStr"/>
      <c r="G1648" t="inlineStr"/>
      <c r="H1648" t="inlineStr"/>
    </row>
    <row r="1649">
      <c r="A1649" t="inlineStr">
        <is>
          <t>d63d5737-9516-4c2d-a479-bd70abf4bbee.jpg</t>
        </is>
      </c>
      <c r="B1649">
        <f>HYPERLINK("Объекты недвижимости, не соответствующие градостроительным нормам_00-022_Август/d63d5737-9516-4c2d-a479-bd70abf4bbee.jpg","open")</f>
        <v/>
      </c>
      <c r="C1649" t="inlineStr">
        <is>
          <t>1a55986c-2c3f-40c0-b3d1-014dce77832e</t>
        </is>
      </c>
      <c r="D1649" t="n">
        <v>55.83785</v>
      </c>
      <c r="E1649" t="n">
        <v>37.55666</v>
      </c>
      <c r="F1649" t="inlineStr"/>
      <c r="G1649" t="inlineStr"/>
      <c r="H1649" t="inlineStr"/>
    </row>
    <row r="1650">
      <c r="A1650" t="inlineStr">
        <is>
          <t>a6f9a37c-9a60-4f8c-ba5f-f4c06ed48bee.jpg</t>
        </is>
      </c>
      <c r="B1650">
        <f>HYPERLINK("Объекты недвижимости, не соответствующие градостроительным нормам_00-022_Август/a6f9a37c-9a60-4f8c-ba5f-f4c06ed48bee.jpg","open")</f>
        <v/>
      </c>
      <c r="C1650" t="inlineStr">
        <is>
          <t>8cde1fd0-eca1-4510-86ab-3c743b65fdfc</t>
        </is>
      </c>
      <c r="D1650" t="n">
        <v>55.76735</v>
      </c>
      <c r="E1650" t="n">
        <v>37.69821</v>
      </c>
      <c r="F1650" t="inlineStr"/>
      <c r="G1650" t="inlineStr"/>
      <c r="H1650" t="inlineStr"/>
    </row>
    <row r="1651">
      <c r="A1651" t="inlineStr">
        <is>
          <t>ccf9a15b-81b3-4bfe-957d-976c5ce65df8.jpg</t>
        </is>
      </c>
      <c r="B1651">
        <f>HYPERLINK("Объекты недвижимости, не соответствующие градостроительным нормам_00-022_Август/ccf9a15b-81b3-4bfe-957d-976c5ce65df8.jpg","open")</f>
        <v/>
      </c>
      <c r="C1651" t="inlineStr">
        <is>
          <t>8cde1fd0-eca1-4510-86ab-3c743b65fdfc</t>
        </is>
      </c>
      <c r="D1651" t="n">
        <v>55.76733</v>
      </c>
      <c r="E1651" t="n">
        <v>37.6962</v>
      </c>
      <c r="F1651" t="inlineStr"/>
      <c r="G1651" t="inlineStr"/>
      <c r="H1651" t="inlineStr"/>
    </row>
    <row r="1652">
      <c r="A1652" t="inlineStr">
        <is>
          <t>ad8a1a04-a14d-4a74-a8c1-403c7dc49443.jpg</t>
        </is>
      </c>
      <c r="B1652">
        <f>HYPERLINK("Объекты недвижимости, не соответствующие градостроительным нормам_00-022_Август/ad8a1a04-a14d-4a74-a8c1-403c7dc49443.jpg","open")</f>
        <v/>
      </c>
      <c r="C1652" t="inlineStr">
        <is>
          <t>8cde1fd0-eca1-4510-86ab-3c743b65fdfc</t>
        </is>
      </c>
      <c r="D1652" t="n">
        <v>55.76746</v>
      </c>
      <c r="E1652" t="n">
        <v>37.69596</v>
      </c>
      <c r="F1652" t="inlineStr"/>
      <c r="G1652" t="inlineStr"/>
      <c r="H1652" t="inlineStr"/>
    </row>
    <row r="1653">
      <c r="A1653" t="inlineStr">
        <is>
          <t>63c240a9-b3a0-4fae-bda2-74a09a70fdc2.jpg</t>
        </is>
      </c>
      <c r="B1653">
        <f>HYPERLINK("Объекты недвижимости, не соответствующие градостроительным нормам_00-022_Август/63c240a9-b3a0-4fae-bda2-74a09a70fdc2.jpg","open")</f>
        <v/>
      </c>
      <c r="C1653" t="inlineStr">
        <is>
          <t>1c951e11-4940-43c6-a447-394097e5609a</t>
        </is>
      </c>
      <c r="D1653" t="n">
        <v>55.76558</v>
      </c>
      <c r="E1653" t="n">
        <v>37.6967</v>
      </c>
      <c r="F1653" t="inlineStr"/>
      <c r="G1653" t="inlineStr"/>
      <c r="H1653" t="inlineStr"/>
    </row>
    <row r="1654">
      <c r="A1654" t="inlineStr">
        <is>
          <t>ceb9bf70-f1fc-4d44-bf3e-237e658b8c99.jpg</t>
        </is>
      </c>
      <c r="B1654">
        <f>HYPERLINK("Объекты недвижимости, не соответствующие градостроительным нормам_00-022_Август/ceb9bf70-f1fc-4d44-bf3e-237e658b8c99.jpg","open")</f>
        <v/>
      </c>
      <c r="C1654" t="inlineStr">
        <is>
          <t>1c951e11-4940-43c6-a447-394097e5609a</t>
        </is>
      </c>
      <c r="D1654" t="n">
        <v>55.76262</v>
      </c>
      <c r="E1654" t="n">
        <v>37.70859</v>
      </c>
      <c r="F1654" t="inlineStr"/>
      <c r="G1654" t="inlineStr"/>
      <c r="H1654" t="inlineStr"/>
    </row>
    <row r="1655">
      <c r="A1655" t="inlineStr">
        <is>
          <t>989d4f1c-4922-4d0a-82a1-cc150b79e785.jpg</t>
        </is>
      </c>
      <c r="B1655">
        <f>HYPERLINK("Объекты недвижимости, не соответствующие градостроительным нормам_00-022_Август/989d4f1c-4922-4d0a-82a1-cc150b79e785.jpg","open")</f>
        <v/>
      </c>
      <c r="C1655" t="inlineStr">
        <is>
          <t>8cde1fd0-eca1-4510-86ab-3c743b65fdfc</t>
        </is>
      </c>
      <c r="D1655" t="n">
        <v>55.76262</v>
      </c>
      <c r="E1655" t="n">
        <v>37.70859</v>
      </c>
      <c r="F1655" t="inlineStr"/>
      <c r="G1655" t="inlineStr"/>
      <c r="H1655" t="inlineStr"/>
    </row>
    <row r="1656">
      <c r="A1656" t="inlineStr">
        <is>
          <t>514d3794-e3e1-4d4f-ac79-d085a531edca.jpg</t>
        </is>
      </c>
      <c r="B1656">
        <f>HYPERLINK("Объекты недвижимости, не соответствующие градостроительным нормам_00-022_Август/514d3794-e3e1-4d4f-ac79-d085a531edca.jpg","open")</f>
        <v/>
      </c>
      <c r="C1656" t="inlineStr">
        <is>
          <t>8cde1fd0-eca1-4510-86ab-3c743b65fdfc</t>
        </is>
      </c>
      <c r="D1656" t="n">
        <v>55.76175</v>
      </c>
      <c r="E1656" t="n">
        <v>37.71079</v>
      </c>
      <c r="F1656" t="inlineStr"/>
      <c r="G1656" t="inlineStr"/>
      <c r="H1656" t="inlineStr"/>
    </row>
    <row r="1657">
      <c r="A1657" t="inlineStr">
        <is>
          <t>3786d4bc-2a00-405c-96a1-c9587466233d.jpg</t>
        </is>
      </c>
      <c r="B1657">
        <f>HYPERLINK("Объекты недвижимости, не соответствующие градостроительным нормам_00-022_Август/3786d4bc-2a00-405c-96a1-c9587466233d.jpg","open")</f>
        <v/>
      </c>
      <c r="C1657" t="inlineStr">
        <is>
          <t>8cde1fd0-eca1-4510-86ab-3c743b65fdfc</t>
        </is>
      </c>
      <c r="D1657" t="n">
        <v>55.76579</v>
      </c>
      <c r="E1657" t="n">
        <v>37.70051</v>
      </c>
      <c r="F1657" t="inlineStr"/>
      <c r="G1657" t="inlineStr"/>
      <c r="H1657" t="inlineStr"/>
    </row>
    <row r="1658">
      <c r="A1658" t="inlineStr">
        <is>
          <t>2f3f73a5-38ae-4bd9-99e9-0d23cf5d8b83.jpg</t>
        </is>
      </c>
      <c r="B1658">
        <f>HYPERLINK("Объекты недвижимости, не соответствующие градостроительным нормам_00-022_Август/2f3f73a5-38ae-4bd9-99e9-0d23cf5d8b83.jpg","open")</f>
        <v/>
      </c>
      <c r="C1658" t="inlineStr">
        <is>
          <t>8cde1fd0-eca1-4510-86ab-3c743b65fdfc</t>
        </is>
      </c>
      <c r="D1658" t="n">
        <v>55.76601</v>
      </c>
      <c r="E1658" t="n">
        <v>37.69991</v>
      </c>
      <c r="F1658" t="inlineStr"/>
      <c r="G1658" t="inlineStr"/>
      <c r="H1658" t="inlineStr"/>
    </row>
    <row r="1659">
      <c r="A1659" t="inlineStr">
        <is>
          <t>93ef9c99-365a-4cd6-9b47-b92746a8a82c.jpg</t>
        </is>
      </c>
      <c r="B1659">
        <f>HYPERLINK("Объекты недвижимости, не соответствующие градостроительным нормам_00-022_Август/93ef9c99-365a-4cd6-9b47-b92746a8a82c.jpg","open")</f>
        <v/>
      </c>
      <c r="C1659" t="inlineStr">
        <is>
          <t>8cde1fd0-eca1-4510-86ab-3c743b65fdfc</t>
        </is>
      </c>
      <c r="D1659" t="n">
        <v>55.7673</v>
      </c>
      <c r="E1659" t="n">
        <v>37.69611</v>
      </c>
      <c r="F1659" t="inlineStr"/>
      <c r="G1659" t="inlineStr"/>
      <c r="H1659" t="inlineStr"/>
    </row>
    <row r="1660">
      <c r="A1660" t="inlineStr">
        <is>
          <t>81b95b15-cf09-4d44-84a6-6d8f2b9aba63.jpg</t>
        </is>
      </c>
      <c r="B1660">
        <f>HYPERLINK("Объекты недвижимости, не соответствующие градостроительным нормам_00-022_Август/81b95b15-cf09-4d44-84a6-6d8f2b9aba63.jpg","open")</f>
        <v/>
      </c>
      <c r="C1660" t="inlineStr">
        <is>
          <t>8cde1fd0-eca1-4510-86ab-3c743b65fdfc</t>
        </is>
      </c>
      <c r="D1660" t="n">
        <v>55.76611</v>
      </c>
      <c r="E1660" t="n">
        <v>37.69951</v>
      </c>
      <c r="F1660" t="inlineStr"/>
      <c r="G1660" t="inlineStr"/>
      <c r="H1660" t="inlineStr"/>
    </row>
    <row r="1661">
      <c r="A1661" t="inlineStr">
        <is>
          <t>4cd0bdff-e77f-4352-afc9-89f71f792cef.jpg</t>
        </is>
      </c>
      <c r="B1661">
        <f>HYPERLINK("Объекты недвижимости, не соответствующие градостроительным нормам_00-022_Август/4cd0bdff-e77f-4352-afc9-89f71f792cef.jpg","open")</f>
        <v/>
      </c>
      <c r="C1661" t="inlineStr">
        <is>
          <t>8cde1fd0-eca1-4510-86ab-3c743b65fdfc</t>
        </is>
      </c>
      <c r="D1661" t="n">
        <v>55.76494</v>
      </c>
      <c r="E1661" t="n">
        <v>37.70079</v>
      </c>
      <c r="F1661" t="inlineStr"/>
      <c r="G1661" t="inlineStr"/>
      <c r="H1661" t="inlineStr"/>
    </row>
    <row r="1662">
      <c r="A1662" t="inlineStr">
        <is>
          <t>a4f34680-98d8-4071-958a-fb5fc392c1a1.jpg</t>
        </is>
      </c>
      <c r="B1662">
        <f>HYPERLINK("Объекты недвижимости, не соответствующие градостроительным нормам_00-022_Август/a4f34680-98d8-4071-958a-fb5fc392c1a1.jpg","open")</f>
        <v/>
      </c>
      <c r="C1662" t="inlineStr">
        <is>
          <t>8cde1fd0-eca1-4510-86ab-3c743b65fdfc</t>
        </is>
      </c>
      <c r="D1662" t="n">
        <v>55.76479</v>
      </c>
      <c r="E1662" t="n">
        <v>37.70058</v>
      </c>
      <c r="F1662" t="inlineStr"/>
      <c r="G1662" t="inlineStr"/>
      <c r="H1662" t="inlineStr"/>
    </row>
    <row r="1663">
      <c r="A1663" t="inlineStr">
        <is>
          <t>a48b5f67-0e64-4feb-af5d-37ab95c9164d.jpg</t>
        </is>
      </c>
      <c r="B1663">
        <f>HYPERLINK("Объекты недвижимости, не соответствующие градостроительным нормам_00-022_Август/a48b5f67-0e64-4feb-af5d-37ab95c9164d.jpg","open")</f>
        <v/>
      </c>
      <c r="C1663" t="inlineStr">
        <is>
          <t>8cde1fd0-eca1-4510-86ab-3c743b65fdfc</t>
        </is>
      </c>
      <c r="D1663" t="n">
        <v>55.76431</v>
      </c>
      <c r="E1663" t="n">
        <v>37.69992</v>
      </c>
      <c r="F1663" t="inlineStr"/>
      <c r="G1663" t="inlineStr"/>
      <c r="H1663" t="inlineStr"/>
    </row>
    <row r="1664">
      <c r="A1664" t="inlineStr">
        <is>
          <t>d3c8cc09-8b2a-47c9-a89c-b9afac21a5f0.jpg</t>
        </is>
      </c>
      <c r="B1664">
        <f>HYPERLINK("Объекты недвижимости, не соответствующие градостроительным нормам_00-022_Август/d3c8cc09-8b2a-47c9-a89c-b9afac21a5f0.jpg","open")</f>
        <v/>
      </c>
      <c r="C1664" t="inlineStr">
        <is>
          <t>8cde1fd0-eca1-4510-86ab-3c743b65fdfc</t>
        </is>
      </c>
      <c r="D1664" t="n">
        <v>55.76414</v>
      </c>
      <c r="E1664" t="n">
        <v>37.69973</v>
      </c>
      <c r="F1664" t="inlineStr"/>
      <c r="G1664" t="inlineStr"/>
      <c r="H1664" t="inlineStr"/>
    </row>
    <row r="1665">
      <c r="A1665" t="inlineStr">
        <is>
          <t>8aa2817a-ce47-43a9-bce5-faffbb72fe83.jpg</t>
        </is>
      </c>
      <c r="B1665">
        <f>HYPERLINK("Объекты недвижимости, не соответствующие градостроительным нормам_00-022_Август/8aa2817a-ce47-43a9-bce5-faffbb72fe83.jpg","open")</f>
        <v/>
      </c>
      <c r="C1665" t="inlineStr">
        <is>
          <t>8cde1fd0-eca1-4510-86ab-3c743b65fdfc</t>
        </is>
      </c>
      <c r="D1665" t="n">
        <v>55.76396</v>
      </c>
      <c r="E1665" t="n">
        <v>37.69952</v>
      </c>
      <c r="F1665" t="inlineStr"/>
      <c r="G1665" t="inlineStr"/>
      <c r="H1665" t="inlineStr"/>
    </row>
    <row r="1666">
      <c r="A1666" t="inlineStr">
        <is>
          <t>781fdfaf-5054-4d36-b331-c6713527f89c.jpg</t>
        </is>
      </c>
      <c r="B1666">
        <f>HYPERLINK("Объекты недвижимости, не соответствующие градостроительным нормам_00-022_Август/781fdfaf-5054-4d36-b331-c6713527f89c.jpg","open")</f>
        <v/>
      </c>
      <c r="C1666" t="inlineStr">
        <is>
          <t>1c951e11-4940-43c6-a447-394097e5609a</t>
        </is>
      </c>
      <c r="D1666" t="n">
        <v>55.76414</v>
      </c>
      <c r="E1666" t="n">
        <v>37.69973</v>
      </c>
      <c r="F1666" t="inlineStr"/>
      <c r="G1666" t="inlineStr"/>
      <c r="H1666" t="inlineStr"/>
    </row>
    <row r="1667">
      <c r="A1667" t="inlineStr">
        <is>
          <t>dc50afc8-af53-4551-9f14-9f93288ae777.jpg</t>
        </is>
      </c>
      <c r="B1667">
        <f>HYPERLINK("Объекты недвижимости, не соответствующие градостроительным нормам_00-022_Август/dc50afc8-af53-4551-9f14-9f93288ae777.jpg","open")</f>
        <v/>
      </c>
      <c r="C1667" t="inlineStr">
        <is>
          <t>8cde1fd0-eca1-4510-86ab-3c743b65fdfc</t>
        </is>
      </c>
      <c r="D1667" t="n">
        <v>55.76376</v>
      </c>
      <c r="E1667" t="n">
        <v>37.69928</v>
      </c>
      <c r="F1667" t="inlineStr"/>
      <c r="G1667" t="inlineStr"/>
      <c r="H1667" t="inlineStr"/>
    </row>
    <row r="1668">
      <c r="A1668" t="inlineStr">
        <is>
          <t>e73e783a-a605-457a-9f32-da651d3dc936.jpg</t>
        </is>
      </c>
      <c r="B1668">
        <f>HYPERLINK("Объекты недвижимости, не соответствующие градостроительным нормам_00-022_Август/e73e783a-a605-457a-9f32-da651d3dc936.jpg","open")</f>
        <v/>
      </c>
      <c r="C1668" t="inlineStr">
        <is>
          <t>caa4772d-6278-4484-a046-ee25514bf521</t>
        </is>
      </c>
      <c r="D1668" t="n">
        <v>55.83153</v>
      </c>
      <c r="E1668" t="n">
        <v>37.66051</v>
      </c>
      <c r="F1668" t="inlineStr"/>
      <c r="G1668" t="inlineStr"/>
      <c r="H1668" t="inlineStr"/>
    </row>
    <row r="1669">
      <c r="A1669" t="inlineStr">
        <is>
          <t>41b9283d-a026-4522-91b2-d64d7a7f38c8.jpg</t>
        </is>
      </c>
      <c r="B1669">
        <f>HYPERLINK("Объекты недвижимости, не соответствующие градостроительным нормам_00-022_Август/41b9283d-a026-4522-91b2-d64d7a7f38c8.jpg","open")</f>
        <v/>
      </c>
      <c r="C1669" t="inlineStr">
        <is>
          <t>1c951e11-4940-43c6-a447-394097e5609a</t>
        </is>
      </c>
      <c r="D1669" t="n">
        <v>55.75793</v>
      </c>
      <c r="E1669" t="n">
        <v>37.71628</v>
      </c>
      <c r="F1669" t="inlineStr"/>
      <c r="G1669" t="inlineStr"/>
      <c r="H1669" t="inlineStr"/>
    </row>
    <row r="1670">
      <c r="A1670" t="inlineStr">
        <is>
          <t>739ebb85-c3cd-4b80-871e-1a68b2892f40.jpg</t>
        </is>
      </c>
      <c r="B1670">
        <f>HYPERLINK("Объекты недвижимости, не соответствующие градостроительным нормам_00-022_Август/739ebb85-c3cd-4b80-871e-1a68b2892f40.jpg","open")</f>
        <v/>
      </c>
      <c r="C1670" t="inlineStr">
        <is>
          <t>8cde1fd0-eca1-4510-86ab-3c743b65fdfc</t>
        </is>
      </c>
      <c r="D1670" t="n">
        <v>55.75793</v>
      </c>
      <c r="E1670" t="n">
        <v>37.71628</v>
      </c>
      <c r="F1670" t="inlineStr"/>
      <c r="G1670" t="inlineStr"/>
      <c r="H1670" t="inlineStr"/>
    </row>
    <row r="1671">
      <c r="A1671" t="inlineStr">
        <is>
          <t>e1ac13fb-2b65-4b90-8216-82b13c8d2680.jpg</t>
        </is>
      </c>
      <c r="B1671">
        <f>HYPERLINK("Объекты недвижимости, не соответствующие градостроительным нормам_00-022_Август/e1ac13fb-2b65-4b90-8216-82b13c8d2680.jpg","open")</f>
        <v/>
      </c>
      <c r="C1671" t="inlineStr">
        <is>
          <t>1c951e11-4940-43c6-a447-394097e5609a</t>
        </is>
      </c>
      <c r="D1671" t="n">
        <v>55.75869</v>
      </c>
      <c r="E1671" t="n">
        <v>37.71208</v>
      </c>
      <c r="F1671" t="inlineStr"/>
      <c r="G1671" t="inlineStr"/>
      <c r="H1671" t="inlineStr"/>
    </row>
    <row r="1672">
      <c r="A1672" t="inlineStr">
        <is>
          <t>2a2691a4-c281-413c-a0c5-5c20073c8ba2.jpg</t>
        </is>
      </c>
      <c r="B1672">
        <f>HYPERLINK("Объекты недвижимости, не соответствующие градостроительным нормам_00-022_Август/2a2691a4-c281-413c-a0c5-5c20073c8ba2.jpg","open")</f>
        <v/>
      </c>
      <c r="C1672" t="inlineStr">
        <is>
          <t>8cde1fd0-eca1-4510-86ab-3c743b65fdfc</t>
        </is>
      </c>
      <c r="D1672" t="n">
        <v>55.75869</v>
      </c>
      <c r="E1672" t="n">
        <v>37.71208</v>
      </c>
      <c r="F1672" t="inlineStr"/>
      <c r="G1672" t="inlineStr"/>
      <c r="H1672" t="inlineStr"/>
    </row>
    <row r="1673">
      <c r="A1673" t="inlineStr">
        <is>
          <t>edc7877b-736d-4466-9ea8-698fb8ad91b7.jpg</t>
        </is>
      </c>
      <c r="B1673">
        <f>HYPERLINK("Объекты недвижимости, не соответствующие градостроительным нормам_00-022_Август/edc7877b-736d-4466-9ea8-698fb8ad91b7.jpg","open")</f>
        <v/>
      </c>
      <c r="C1673" t="inlineStr">
        <is>
          <t>1c951e11-4940-43c6-a447-394097e5609a</t>
        </is>
      </c>
      <c r="D1673" t="n">
        <v>55.75866</v>
      </c>
      <c r="E1673" t="n">
        <v>37.71209</v>
      </c>
      <c r="F1673" t="inlineStr"/>
      <c r="G1673" t="inlineStr"/>
      <c r="H1673" t="inlineStr"/>
    </row>
    <row r="1674">
      <c r="A1674" t="inlineStr">
        <is>
          <t>ae98df13-377d-452d-9315-067601df1313.jpg</t>
        </is>
      </c>
      <c r="B1674">
        <f>HYPERLINK("Объекты недвижимости, не соответствующие градостроительным нормам_00-022_Август/ae98df13-377d-452d-9315-067601df1313.jpg","open")</f>
        <v/>
      </c>
      <c r="C1674" t="inlineStr">
        <is>
          <t>8cde1fd0-eca1-4510-86ab-3c743b65fdfc</t>
        </is>
      </c>
      <c r="D1674" t="n">
        <v>55.7585</v>
      </c>
      <c r="E1674" t="n">
        <v>37.71263</v>
      </c>
      <c r="F1674" t="inlineStr"/>
      <c r="G1674" t="inlineStr"/>
      <c r="H1674" t="inlineStr"/>
    </row>
    <row r="1675">
      <c r="A1675" t="inlineStr">
        <is>
          <t>f43e7d93-1315-4711-ad98-1f18a075f5e1.jpg</t>
        </is>
      </c>
      <c r="B1675">
        <f>HYPERLINK("Объекты недвижимости, не соответствующие градостроительным нормам_00-022_Август/f43e7d93-1315-4711-ad98-1f18a075f5e1.jpg","open")</f>
        <v/>
      </c>
      <c r="C1675" t="inlineStr">
        <is>
          <t>8cde1fd0-eca1-4510-86ab-3c743b65fdfc</t>
        </is>
      </c>
      <c r="D1675" t="n">
        <v>55.75847</v>
      </c>
      <c r="E1675" t="n">
        <v>37.71277</v>
      </c>
      <c r="F1675" t="inlineStr"/>
      <c r="G1675" t="inlineStr"/>
      <c r="H1675" t="inlineStr"/>
    </row>
    <row r="1676">
      <c r="A1676" t="inlineStr">
        <is>
          <t>2c260b27-33d2-49f6-abe8-31780577dd0d.jpg</t>
        </is>
      </c>
      <c r="B1676">
        <f>HYPERLINK("Объекты недвижимости, не соответствующие градостроительным нормам_00-022_Август/2c260b27-33d2-49f6-abe8-31780577dd0d.jpg","open")</f>
        <v/>
      </c>
      <c r="C1676" t="inlineStr">
        <is>
          <t>8cde1fd0-eca1-4510-86ab-3c743b65fdfc</t>
        </is>
      </c>
      <c r="D1676" t="n">
        <v>55.75844</v>
      </c>
      <c r="E1676" t="n">
        <v>37.71297</v>
      </c>
      <c r="F1676" t="inlineStr"/>
      <c r="G1676" t="inlineStr"/>
      <c r="H1676" t="inlineStr"/>
    </row>
    <row r="1677">
      <c r="A1677" t="inlineStr">
        <is>
          <t>3857cb7d-704d-4035-9dcb-c3e426f47846.jpg</t>
        </is>
      </c>
      <c r="B1677">
        <f>HYPERLINK("Объекты недвижимости, не соответствующие градостроительным нормам_00-022_Август/3857cb7d-704d-4035-9dcb-c3e426f47846.jpg","open")</f>
        <v/>
      </c>
      <c r="C1677" t="inlineStr">
        <is>
          <t>8cde1fd0-eca1-4510-86ab-3c743b65fdfc</t>
        </is>
      </c>
      <c r="D1677" t="n">
        <v>55.75889</v>
      </c>
      <c r="E1677" t="n">
        <v>37.71458</v>
      </c>
      <c r="F1677" t="inlineStr"/>
      <c r="G1677" t="inlineStr"/>
      <c r="H1677" t="inlineStr"/>
    </row>
    <row r="1678">
      <c r="A1678" t="inlineStr">
        <is>
          <t>d0f329ae-f6a2-4bba-94bf-6ebbfe58e73d.jpg</t>
        </is>
      </c>
      <c r="B1678">
        <f>HYPERLINK("Объекты недвижимости, не соответствующие градостроительным нормам_00-022_Август/d0f329ae-f6a2-4bba-94bf-6ebbfe58e73d.jpg","open")</f>
        <v/>
      </c>
      <c r="C1678" t="inlineStr">
        <is>
          <t>8cde1fd0-eca1-4510-86ab-3c743b65fdfc</t>
        </is>
      </c>
      <c r="D1678" t="n">
        <v>55.75903</v>
      </c>
      <c r="E1678" t="n">
        <v>37.71523</v>
      </c>
      <c r="F1678" t="inlineStr"/>
      <c r="G1678" t="inlineStr"/>
      <c r="H1678" t="inlineStr"/>
    </row>
    <row r="1679">
      <c r="A1679" t="inlineStr">
        <is>
          <t>95fef229-12db-4dad-ab54-f41be08cc31e.jpg</t>
        </is>
      </c>
      <c r="B1679">
        <f>HYPERLINK("Объекты недвижимости, не соответствующие градостроительным нормам_00-022_Август/95fef229-12db-4dad-ab54-f41be08cc31e.jpg","open")</f>
        <v/>
      </c>
      <c r="C1679" t="inlineStr">
        <is>
          <t>8cde1fd0-eca1-4510-86ab-3c743b65fdfc</t>
        </is>
      </c>
      <c r="D1679" t="n">
        <v>55.75917</v>
      </c>
      <c r="E1679" t="n">
        <v>37.71544</v>
      </c>
      <c r="F1679" t="inlineStr"/>
      <c r="G1679" t="inlineStr"/>
      <c r="H1679" t="inlineStr"/>
    </row>
    <row r="1680">
      <c r="A1680" t="inlineStr">
        <is>
          <t>2980fdad-a281-4824-9fdc-26b6924c1bbd.jpg</t>
        </is>
      </c>
      <c r="B1680">
        <f>HYPERLINK("Объекты недвижимости, не соответствующие градостроительным нормам_00-022_Август/2980fdad-a281-4824-9fdc-26b6924c1bbd.jpg","open")</f>
        <v/>
      </c>
      <c r="C1680" t="inlineStr">
        <is>
          <t>8cde1fd0-eca1-4510-86ab-3c743b65fdfc</t>
        </is>
      </c>
      <c r="D1680" t="n">
        <v>55.76038</v>
      </c>
      <c r="E1680" t="n">
        <v>37.71325</v>
      </c>
      <c r="F1680" t="inlineStr"/>
      <c r="G1680" t="inlineStr"/>
      <c r="H1680" t="inlineStr"/>
    </row>
    <row r="1681">
      <c r="A1681" t="inlineStr">
        <is>
          <t>a4b55d6f-2723-4093-88da-8e93af6f2472.jpg</t>
        </is>
      </c>
      <c r="B1681">
        <f>HYPERLINK("Объекты недвижимости, не соответствующие градостроительным нормам_00-022_Август/a4b55d6f-2723-4093-88da-8e93af6f2472.jpg","open")</f>
        <v/>
      </c>
      <c r="C1681" t="inlineStr">
        <is>
          <t>0dd30d74-4dbc-46a8-b638-91e1431bb398</t>
        </is>
      </c>
      <c r="D1681" t="n">
        <v>55.61998</v>
      </c>
      <c r="E1681" t="n">
        <v>37.57923</v>
      </c>
      <c r="F1681" t="inlineStr"/>
      <c r="G1681" t="inlineStr"/>
      <c r="H1681" t="inlineStr"/>
    </row>
    <row r="1682">
      <c r="A1682" t="inlineStr">
        <is>
          <t>36241ff6-b07a-482e-a1fe-d8a4039093e5.jpg</t>
        </is>
      </c>
      <c r="B1682">
        <f>HYPERLINK("Объекты недвижимости, не соответствующие градостроительным нормам_00-022_Август/36241ff6-b07a-482e-a1fe-d8a4039093e5.jpg","open")</f>
        <v/>
      </c>
      <c r="C1682" t="inlineStr">
        <is>
          <t>f9ad0a8f-1e33-4fca-bdfe-5b844d3ee381</t>
        </is>
      </c>
      <c r="D1682" t="n">
        <v>55.96435</v>
      </c>
      <c r="E1682" t="n">
        <v>37.41502</v>
      </c>
      <c r="F1682" t="inlineStr"/>
      <c r="G1682" t="inlineStr"/>
      <c r="H1682" t="inlineStr"/>
    </row>
    <row r="1683">
      <c r="A1683" t="inlineStr">
        <is>
          <t>793d5014-5c30-4e6a-88c8-1158a31ee924.jpg</t>
        </is>
      </c>
      <c r="B1683">
        <f>HYPERLINK("Объекты недвижимости, не соответствующие градостроительным нормам_00-022_Август/793d5014-5c30-4e6a-88c8-1158a31ee924.jpg","open")</f>
        <v/>
      </c>
      <c r="C1683" t="inlineStr">
        <is>
          <t>8cde1fd0-eca1-4510-86ab-3c743b65fdfc</t>
        </is>
      </c>
      <c r="D1683" t="n">
        <v>55.75828</v>
      </c>
      <c r="E1683" t="n">
        <v>37.71371</v>
      </c>
      <c r="F1683" t="inlineStr"/>
      <c r="G1683" t="inlineStr"/>
      <c r="H1683" t="inlineStr"/>
    </row>
    <row r="1684">
      <c r="A1684" t="inlineStr">
        <is>
          <t>aae98ed3-5ffa-49fe-80f3-c53fef10b81b.jpg</t>
        </is>
      </c>
      <c r="B1684">
        <f>HYPERLINK("Объекты недвижимости, не соответствующие градостроительным нормам_00-022_Август/aae98ed3-5ffa-49fe-80f3-c53fef10b81b.jpg","open")</f>
        <v/>
      </c>
      <c r="C1684" t="inlineStr">
        <is>
          <t>8cde1fd0-eca1-4510-86ab-3c743b65fdfc</t>
        </is>
      </c>
      <c r="D1684" t="n">
        <v>55.75818</v>
      </c>
      <c r="E1684" t="n">
        <v>37.71361</v>
      </c>
      <c r="F1684" t="inlineStr"/>
      <c r="G1684" t="inlineStr"/>
      <c r="H1684" t="inlineStr"/>
    </row>
    <row r="1685">
      <c r="A1685" t="inlineStr">
        <is>
          <t>c0162378-fbf4-413e-b496-421114e015c3.jpg</t>
        </is>
      </c>
      <c r="B1685">
        <f>HYPERLINK("Объекты недвижимости, не соответствующие градостроительным нормам_00-022_Август/c0162378-fbf4-413e-b496-421114e015c3.jpg","open")</f>
        <v/>
      </c>
      <c r="C1685" t="inlineStr">
        <is>
          <t>8cde1fd0-eca1-4510-86ab-3c743b65fdfc</t>
        </is>
      </c>
      <c r="D1685" t="n">
        <v>55.75811</v>
      </c>
      <c r="E1685" t="n">
        <v>37.71185</v>
      </c>
      <c r="F1685" t="inlineStr"/>
      <c r="G1685" t="inlineStr"/>
      <c r="H1685" t="inlineStr"/>
    </row>
    <row r="1686">
      <c r="A1686" t="inlineStr">
        <is>
          <t>28c7f0c0-4dfd-40f1-a493-85eeb7d793c5.jpg</t>
        </is>
      </c>
      <c r="B1686">
        <f>HYPERLINK("Объекты недвижимости, не соответствующие градостроительным нормам_00-022_Август/28c7f0c0-4dfd-40f1-a493-85eeb7d793c5.jpg","open")</f>
        <v/>
      </c>
      <c r="C1686" t="inlineStr">
        <is>
          <t>797901ad-53b1-41b8-99d1-d59d59c863d5</t>
        </is>
      </c>
      <c r="D1686" t="n">
        <v>55.79294</v>
      </c>
      <c r="E1686" t="n">
        <v>37.78565</v>
      </c>
      <c r="F1686" t="inlineStr"/>
      <c r="G1686" t="inlineStr"/>
      <c r="H1686" t="inlineStr"/>
    </row>
    <row r="1687">
      <c r="A1687" t="inlineStr">
        <is>
          <t>a636cc43-2a06-4cef-9b07-3ce019342afe.jpg</t>
        </is>
      </c>
      <c r="B1687">
        <f>HYPERLINK("Объекты недвижимости, не соответствующие градостроительным нормам_00-022_Август/a636cc43-2a06-4cef-9b07-3ce019342afe.jpg","open")</f>
        <v/>
      </c>
      <c r="C1687" t="inlineStr">
        <is>
          <t>93848fc8-17e7-4748-9ebc-c7e379e11d2f</t>
        </is>
      </c>
      <c r="D1687" t="n">
        <v>55.62317</v>
      </c>
      <c r="E1687" t="n">
        <v>37.58491</v>
      </c>
      <c r="F1687" t="inlineStr"/>
      <c r="G1687" t="inlineStr"/>
      <c r="H1687" t="inlineStr"/>
    </row>
    <row r="1688">
      <c r="A1688" t="inlineStr">
        <is>
          <t>5779ea79-0b7a-45ff-af48-c6d02c0623ec.jpg</t>
        </is>
      </c>
      <c r="B1688">
        <f>HYPERLINK("Объекты недвижимости, не соответствующие градостроительным нормам_00-022_Август/5779ea79-0b7a-45ff-af48-c6d02c0623ec.jpg","open")</f>
        <v/>
      </c>
      <c r="C1688" t="inlineStr">
        <is>
          <t>f6f80c84-5569-48fd-b627-6f41ce4c61c4</t>
        </is>
      </c>
      <c r="D1688" t="n">
        <v>55.84473</v>
      </c>
      <c r="E1688" t="n">
        <v>37.66998</v>
      </c>
      <c r="F1688" t="inlineStr"/>
      <c r="G1688" t="inlineStr"/>
      <c r="H1688" t="inlineStr"/>
    </row>
    <row r="1689">
      <c r="A1689" t="inlineStr">
        <is>
          <t>67d08e7b-d57a-43dd-9f54-a3f660565cf5.jpg</t>
        </is>
      </c>
      <c r="B1689">
        <f>HYPERLINK("Объекты недвижимости, не соответствующие градостроительным нормам_00-022_Август/67d08e7b-d57a-43dd-9f54-a3f660565cf5.jpg","open")</f>
        <v/>
      </c>
      <c r="C1689" t="inlineStr">
        <is>
          <t>8cde1fd0-eca1-4510-86ab-3c743b65fdfc</t>
        </is>
      </c>
      <c r="D1689" t="n">
        <v>55.75827</v>
      </c>
      <c r="E1689" t="n">
        <v>37.69975</v>
      </c>
      <c r="F1689" t="inlineStr"/>
      <c r="G1689" t="inlineStr"/>
      <c r="H1689" t="inlineStr"/>
    </row>
    <row r="1690">
      <c r="A1690" t="inlineStr">
        <is>
          <t>1d1efac1-fa31-44ae-a4b5-7c0831b5a19d.jpg</t>
        </is>
      </c>
      <c r="B1690">
        <f>HYPERLINK("Объекты недвижимости, не соответствующие градостроительным нормам_00-022_Август/1d1efac1-fa31-44ae-a4b5-7c0831b5a19d.jpg","open")</f>
        <v/>
      </c>
      <c r="C1690" t="inlineStr">
        <is>
          <t>8cde1fd0-eca1-4510-86ab-3c743b65fdfc</t>
        </is>
      </c>
      <c r="D1690" t="n">
        <v>55.75782</v>
      </c>
      <c r="E1690" t="n">
        <v>37.69962</v>
      </c>
      <c r="F1690" t="inlineStr"/>
      <c r="G1690" t="inlineStr"/>
      <c r="H1690" t="inlineStr"/>
    </row>
    <row r="1691">
      <c r="A1691" t="inlineStr">
        <is>
          <t>f4ec2f7a-2c72-4a5a-bf8c-5a7fdc6eb474.jpg</t>
        </is>
      </c>
      <c r="B1691">
        <f>HYPERLINK("Объекты недвижимости, не соответствующие градостроительным нормам_00-022_Август/f4ec2f7a-2c72-4a5a-bf8c-5a7fdc6eb474.jpg","open")</f>
        <v/>
      </c>
      <c r="C1691" t="inlineStr">
        <is>
          <t>f6f80c84-5569-48fd-b627-6f41ce4c61c4</t>
        </is>
      </c>
      <c r="D1691" t="n">
        <v>55.84237</v>
      </c>
      <c r="E1691" t="n">
        <v>37.65644</v>
      </c>
      <c r="F1691" t="inlineStr"/>
      <c r="G1691" t="inlineStr"/>
      <c r="H1691" t="inlineStr"/>
    </row>
    <row r="1692">
      <c r="A1692" t="inlineStr">
        <is>
          <t>008c97c5-9db1-4676-8d08-0b50e99694cc.jpg</t>
        </is>
      </c>
      <c r="B1692">
        <f>HYPERLINK("Объекты недвижимости, не соответствующие градостроительным нормам_00-022_Август/008c97c5-9db1-4676-8d08-0b50e99694cc.jpg","open")</f>
        <v/>
      </c>
      <c r="C1692" t="inlineStr">
        <is>
          <t>ed2bf0f1-3a66-4913-896e-4420a9796c0b</t>
        </is>
      </c>
      <c r="D1692" t="n">
        <v>55.84303</v>
      </c>
      <c r="E1692" t="n">
        <v>37.56989</v>
      </c>
      <c r="F1692" t="inlineStr"/>
      <c r="G1692" t="inlineStr"/>
      <c r="H1692" t="inlineStr"/>
    </row>
    <row r="1693">
      <c r="A1693" t="inlineStr">
        <is>
          <t>70e20228-d72a-4889-87c5-e5a57fcefaac.jpg</t>
        </is>
      </c>
      <c r="B1693">
        <f>HYPERLINK("Объекты недвижимости, не соответствующие градостроительным нормам_00-022_Август/70e20228-d72a-4889-87c5-e5a57fcefaac.jpg","open")</f>
        <v/>
      </c>
      <c r="C1693" t="inlineStr">
        <is>
          <t>8cde1fd0-eca1-4510-86ab-3c743b65fdfc</t>
        </is>
      </c>
      <c r="D1693" t="n">
        <v>55.76359</v>
      </c>
      <c r="E1693" t="n">
        <v>37.70471</v>
      </c>
      <c r="F1693" t="inlineStr"/>
      <c r="G1693" t="inlineStr"/>
      <c r="H1693" t="inlineStr"/>
    </row>
    <row r="1694">
      <c r="A1694" t="inlineStr">
        <is>
          <t>54c2cef3-6024-4bd2-ae02-cabe46857f8f.jpg</t>
        </is>
      </c>
      <c r="B1694">
        <f>HYPERLINK("Объекты недвижимости, не соответствующие градостроительным нормам_00-022_Август/54c2cef3-6024-4bd2-ae02-cabe46857f8f.jpg","open")</f>
        <v/>
      </c>
      <c r="C1694" t="inlineStr">
        <is>
          <t>1a55986c-2c3f-40c0-b3d1-014dce77832e</t>
        </is>
      </c>
      <c r="D1694" t="n">
        <v>55.84663</v>
      </c>
      <c r="E1694" t="n">
        <v>37.57055</v>
      </c>
      <c r="F1694" t="inlineStr"/>
      <c r="G1694" t="inlineStr"/>
      <c r="H1694" t="inlineStr"/>
    </row>
    <row r="1695">
      <c r="A1695" t="inlineStr">
        <is>
          <t>a72a77e2-bbc1-4b1d-86ad-f904f245ed42.jpg</t>
        </is>
      </c>
      <c r="B1695">
        <f>HYPERLINK("Объекты недвижимости, не соответствующие градостроительным нормам_00-022_Август/a72a77e2-bbc1-4b1d-86ad-f904f245ed42.jpg","open")</f>
        <v/>
      </c>
      <c r="C1695" t="inlineStr">
        <is>
          <t>1c951e11-4940-43c6-a447-394097e5609a</t>
        </is>
      </c>
      <c r="D1695" t="n">
        <v>55.76409</v>
      </c>
      <c r="E1695" t="n">
        <v>37.69974</v>
      </c>
      <c r="F1695" t="inlineStr"/>
      <c r="G1695" t="inlineStr"/>
      <c r="H1695" t="inlineStr"/>
    </row>
    <row r="1696">
      <c r="A1696" t="inlineStr">
        <is>
          <t>105676e6-8a6f-4a3a-9eaa-cfb80a0e722e.jpg</t>
        </is>
      </c>
      <c r="B1696">
        <f>HYPERLINK("Объекты недвижимости, не соответствующие градостроительным нормам_00-022_Август/105676e6-8a6f-4a3a-9eaa-cfb80a0e722e.jpg","open")</f>
        <v/>
      </c>
      <c r="C1696" t="inlineStr">
        <is>
          <t>8cde1fd0-eca1-4510-86ab-3c743b65fdfc</t>
        </is>
      </c>
      <c r="D1696" t="n">
        <v>55.76409</v>
      </c>
      <c r="E1696" t="n">
        <v>37.69974</v>
      </c>
      <c r="F1696" t="inlineStr"/>
      <c r="G1696" t="inlineStr"/>
      <c r="H1696" t="inlineStr"/>
    </row>
    <row r="1697">
      <c r="A1697" t="inlineStr">
        <is>
          <t>34cc4b78-f97a-4dc4-876e-04d5f707aec5.jpg</t>
        </is>
      </c>
      <c r="B1697">
        <f>HYPERLINK("Объекты недвижимости, не соответствующие градостроительным нормам_00-022_Август/34cc4b78-f97a-4dc4-876e-04d5f707aec5.jpg","open")</f>
        <v/>
      </c>
      <c r="C1697" t="inlineStr">
        <is>
          <t>1c951e11-4940-43c6-a447-394097e5609a</t>
        </is>
      </c>
      <c r="D1697" t="n">
        <v>55.76415</v>
      </c>
      <c r="E1697" t="n">
        <v>37.6996</v>
      </c>
      <c r="F1697" t="inlineStr"/>
      <c r="G1697" t="inlineStr"/>
      <c r="H1697" t="inlineStr"/>
    </row>
    <row r="1698">
      <c r="A1698" t="inlineStr">
        <is>
          <t>a826364e-b603-464c-80ee-c1a1bcdbe0ce.jpg</t>
        </is>
      </c>
      <c r="B1698">
        <f>HYPERLINK("Объекты недвижимости, не соответствующие градостроительным нормам_00-022_Август/a826364e-b603-464c-80ee-c1a1bcdbe0ce.jpg","open")</f>
        <v/>
      </c>
      <c r="C1698" t="inlineStr">
        <is>
          <t>8cde1fd0-eca1-4510-86ab-3c743b65fdfc</t>
        </is>
      </c>
      <c r="D1698" t="n">
        <v>55.76415</v>
      </c>
      <c r="E1698" t="n">
        <v>37.6996</v>
      </c>
      <c r="F1698" t="inlineStr"/>
      <c r="G1698" t="inlineStr"/>
      <c r="H1698" t="inlineStr"/>
    </row>
    <row r="1699">
      <c r="A1699" t="inlineStr">
        <is>
          <t>f155389c-022b-443e-ad8e-7ba00e4065fc.jpg</t>
        </is>
      </c>
      <c r="B1699">
        <f>HYPERLINK("Объекты недвижимости, не соответствующие градостроительным нормам_00-022_Август/f155389c-022b-443e-ad8e-7ba00e4065fc.jpg","open")</f>
        <v/>
      </c>
      <c r="C1699" t="inlineStr">
        <is>
          <t>1c951e11-4940-43c6-a447-394097e5609a</t>
        </is>
      </c>
      <c r="D1699" t="n">
        <v>55.76419</v>
      </c>
      <c r="E1699" t="n">
        <v>37.69953</v>
      </c>
      <c r="F1699" t="inlineStr"/>
      <c r="G1699" t="inlineStr"/>
      <c r="H1699" t="inlineStr"/>
    </row>
    <row r="1700">
      <c r="A1700" t="inlineStr">
        <is>
          <t>e74e5c34-cfa8-4d70-aa31-5ae280273234.jpg</t>
        </is>
      </c>
      <c r="B1700">
        <f>HYPERLINK("Объекты недвижимости, не соответствующие градостроительным нормам_00-022_Август/e74e5c34-cfa8-4d70-aa31-5ae280273234.jpg","open")</f>
        <v/>
      </c>
      <c r="C1700" t="inlineStr">
        <is>
          <t>8cde1fd0-eca1-4510-86ab-3c743b65fdfc</t>
        </is>
      </c>
      <c r="D1700" t="n">
        <v>55.76419</v>
      </c>
      <c r="E1700" t="n">
        <v>37.69953</v>
      </c>
      <c r="F1700" t="inlineStr"/>
      <c r="G1700" t="inlineStr"/>
      <c r="H1700" t="inlineStr"/>
    </row>
    <row r="1701">
      <c r="A1701" t="inlineStr">
        <is>
          <t>e4d3ec2b-8ac7-4f07-afa4-aad3780de4ff.jpg</t>
        </is>
      </c>
      <c r="B1701">
        <f>HYPERLINK("Объекты недвижимости, не соответствующие градостроительным нормам_00-022_Август/e4d3ec2b-8ac7-4f07-afa4-aad3780de4ff.jpg","open")</f>
        <v/>
      </c>
      <c r="C1701" t="inlineStr">
        <is>
          <t>1c951e11-4940-43c6-a447-394097e5609a</t>
        </is>
      </c>
      <c r="D1701" t="n">
        <v>55.76421</v>
      </c>
      <c r="E1701" t="n">
        <v>37.6995</v>
      </c>
      <c r="F1701" t="inlineStr"/>
      <c r="G1701" t="inlineStr"/>
      <c r="H1701" t="inlineStr"/>
    </row>
    <row r="1702">
      <c r="A1702" t="inlineStr">
        <is>
          <t>d85f29ba-5ead-4172-8d51-cad0b459e6a5.jpg</t>
        </is>
      </c>
      <c r="B1702">
        <f>HYPERLINK("Объекты недвижимости, не соответствующие градостроительным нормам_00-022_Август/d85f29ba-5ead-4172-8d51-cad0b459e6a5.jpg","open")</f>
        <v/>
      </c>
      <c r="C1702" t="inlineStr">
        <is>
          <t>8cde1fd0-eca1-4510-86ab-3c743b65fdfc</t>
        </is>
      </c>
      <c r="D1702" t="n">
        <v>55.76421</v>
      </c>
      <c r="E1702" t="n">
        <v>37.6995</v>
      </c>
      <c r="F1702" t="inlineStr"/>
      <c r="G1702" t="inlineStr"/>
      <c r="H1702" t="inlineStr"/>
    </row>
    <row r="1703">
      <c r="A1703" t="inlineStr">
        <is>
          <t>d6f2cac0-6637-4ce0-a36e-dc074c4b99c6.jpg</t>
        </is>
      </c>
      <c r="B1703">
        <f>HYPERLINK("Объекты недвижимости, не соответствующие градостроительным нормам_00-022_Август/d6f2cac0-6637-4ce0-a36e-dc074c4b99c6.jpg","open")</f>
        <v/>
      </c>
      <c r="C1703" t="inlineStr">
        <is>
          <t>1c951e11-4940-43c6-a447-394097e5609a</t>
        </is>
      </c>
      <c r="D1703" t="n">
        <v>55.76418</v>
      </c>
      <c r="E1703" t="n">
        <v>37.69954</v>
      </c>
      <c r="F1703" t="inlineStr"/>
      <c r="G1703" t="inlineStr"/>
      <c r="H1703" t="inlineStr"/>
    </row>
    <row r="1704">
      <c r="A1704" t="inlineStr">
        <is>
          <t>ef2a89b8-a37c-4e4e-9949-466c0d67de59.jpg</t>
        </is>
      </c>
      <c r="B1704">
        <f>HYPERLINK("Объекты недвижимости, не соответствующие градостроительным нормам_00-022_Август/ef2a89b8-a37c-4e4e-9949-466c0d67de59.jpg","open")</f>
        <v/>
      </c>
      <c r="C1704" t="inlineStr">
        <is>
          <t>8cde1fd0-eca1-4510-86ab-3c743b65fdfc</t>
        </is>
      </c>
      <c r="D1704" t="n">
        <v>55.76418</v>
      </c>
      <c r="E1704" t="n">
        <v>37.69954</v>
      </c>
      <c r="F1704" t="inlineStr"/>
      <c r="G1704" t="inlineStr"/>
      <c r="H1704" t="inlineStr"/>
    </row>
    <row r="1705">
      <c r="A1705" t="inlineStr">
        <is>
          <t>52db02b4-7b8b-4593-a294-d0116e0065a2.jpg</t>
        </is>
      </c>
      <c r="B1705">
        <f>HYPERLINK("Объекты недвижимости, не соответствующие градостроительным нормам_00-022_Август/52db02b4-7b8b-4593-a294-d0116e0065a2.jpg","open")</f>
        <v/>
      </c>
      <c r="C1705" t="inlineStr">
        <is>
          <t>1a55986c-2c3f-40c0-b3d1-014dce77832e</t>
        </is>
      </c>
      <c r="D1705" t="n">
        <v>55.84878</v>
      </c>
      <c r="E1705" t="n">
        <v>37.56019</v>
      </c>
      <c r="F1705" t="inlineStr"/>
      <c r="G1705" t="inlineStr"/>
      <c r="H1705" t="inlineStr"/>
    </row>
    <row r="1706">
      <c r="A1706" t="inlineStr">
        <is>
          <t>010d6a29-0b82-4f91-8e2b-2f6ad5beabf3.jpg</t>
        </is>
      </c>
      <c r="B1706">
        <f>HYPERLINK("Объекты недвижимости, не соответствующие градостроительным нормам_00-022_Август/010d6a29-0b82-4f91-8e2b-2f6ad5beabf3.jpg","open")</f>
        <v/>
      </c>
      <c r="C1706" t="inlineStr">
        <is>
          <t>1c951e11-4940-43c6-a447-394097e5609a</t>
        </is>
      </c>
      <c r="D1706" t="n">
        <v>55.76417</v>
      </c>
      <c r="E1706" t="n">
        <v>37.69954</v>
      </c>
      <c r="F1706" t="inlineStr"/>
      <c r="G1706" t="inlineStr"/>
      <c r="H1706" t="inlineStr"/>
    </row>
    <row r="1707">
      <c r="A1707" t="inlineStr">
        <is>
          <t>4190d217-434f-43ec-a95f-ac6bc42cc639.jpg</t>
        </is>
      </c>
      <c r="B1707">
        <f>HYPERLINK("Объекты недвижимости, не соответствующие градостроительным нормам_00-022_Август/4190d217-434f-43ec-a95f-ac6bc42cc639.jpg","open")</f>
        <v/>
      </c>
      <c r="C1707" t="inlineStr">
        <is>
          <t>8cde1fd0-eca1-4510-86ab-3c743b65fdfc</t>
        </is>
      </c>
      <c r="D1707" t="n">
        <v>55.76417</v>
      </c>
      <c r="E1707" t="n">
        <v>37.69954</v>
      </c>
      <c r="F1707" t="inlineStr"/>
      <c r="G1707" t="inlineStr"/>
      <c r="H1707" t="inlineStr"/>
    </row>
    <row r="1708">
      <c r="A1708" t="inlineStr">
        <is>
          <t>a273bc82-809c-4ece-877b-83c0786f660f.jpg</t>
        </is>
      </c>
      <c r="B1708">
        <f>HYPERLINK("Объекты недвижимости, не соответствующие градостроительным нормам_00-022_Август/a273bc82-809c-4ece-877b-83c0786f660f.jpg","open")</f>
        <v/>
      </c>
      <c r="C1708" t="inlineStr">
        <is>
          <t>ed2bf0f1-3a66-4913-896e-4420a9796c0b</t>
        </is>
      </c>
      <c r="D1708" t="n">
        <v>55.84619</v>
      </c>
      <c r="E1708" t="n">
        <v>37.56738</v>
      </c>
      <c r="F1708" t="inlineStr"/>
      <c r="G1708" t="inlineStr"/>
      <c r="H1708" t="inlineStr"/>
    </row>
    <row r="1709">
      <c r="A1709" t="inlineStr">
        <is>
          <t>d91788cd-a013-4d63-80d9-387138a413a8.jpg</t>
        </is>
      </c>
      <c r="B1709">
        <f>HYPERLINK("Объекты недвижимости, не соответствующие градостроительным нормам_00-022_Август/d91788cd-a013-4d63-80d9-387138a413a8.jpg","open")</f>
        <v/>
      </c>
      <c r="C1709" t="inlineStr">
        <is>
          <t>8cde1fd0-eca1-4510-86ab-3c743b65fdfc</t>
        </is>
      </c>
      <c r="D1709" t="n">
        <v>55.75063</v>
      </c>
      <c r="E1709" t="n">
        <v>37.70945</v>
      </c>
      <c r="F1709" t="inlineStr"/>
      <c r="G1709" t="inlineStr"/>
      <c r="H1709" t="inlineStr"/>
    </row>
    <row r="1710">
      <c r="A1710" t="inlineStr">
        <is>
          <t>fde6ba71-c094-471b-8545-cd04b7b61546.jpg</t>
        </is>
      </c>
      <c r="B1710">
        <f>HYPERLINK("Объекты недвижимости, не соответствующие градостроительным нормам_00-022_Август/fde6ba71-c094-471b-8545-cd04b7b61546.jpg","open")</f>
        <v/>
      </c>
      <c r="C1710" t="inlineStr">
        <is>
          <t>1c951e11-4940-43c6-a447-394097e5609a</t>
        </is>
      </c>
      <c r="D1710" t="n">
        <v>55.74166</v>
      </c>
      <c r="E1710" t="n">
        <v>37.64547</v>
      </c>
      <c r="F1710" t="inlineStr"/>
      <c r="G1710" t="inlineStr"/>
      <c r="H1710" t="inlineStr"/>
    </row>
    <row r="1711">
      <c r="A1711" t="inlineStr">
        <is>
          <t>b2f12b45-ac3c-445a-86f5-ccb4a34b6be9.jpg</t>
        </is>
      </c>
      <c r="B1711">
        <f>HYPERLINK("Объекты недвижимости, не соответствующие градостроительным нормам_00-022_Август/b2f12b45-ac3c-445a-86f5-ccb4a34b6be9.jpg","open")</f>
        <v/>
      </c>
      <c r="C1711" t="inlineStr">
        <is>
          <t>8cde1fd0-eca1-4510-86ab-3c743b65fdfc</t>
        </is>
      </c>
      <c r="D1711" t="n">
        <v>55.74166</v>
      </c>
      <c r="E1711" t="n">
        <v>37.64547</v>
      </c>
      <c r="F1711" t="inlineStr"/>
      <c r="G1711" t="inlineStr"/>
      <c r="H1711" t="inlineStr"/>
    </row>
    <row r="1712">
      <c r="A1712" t="inlineStr">
        <is>
          <t>83e02b9c-8d10-4d07-a04c-33d11d93e670.jpg</t>
        </is>
      </c>
      <c r="B1712">
        <f>HYPERLINK("Объекты недвижимости, не соответствующие градостроительным нормам_00-022_Август/83e02b9c-8d10-4d07-a04c-33d11d93e670.jpg","open")</f>
        <v/>
      </c>
      <c r="C1712" t="inlineStr">
        <is>
          <t>f9ad0a8f-1e33-4fca-bdfe-5b844d3ee381</t>
        </is>
      </c>
      <c r="D1712" t="n">
        <v>55.97578</v>
      </c>
      <c r="E1712" t="n">
        <v>37.39947</v>
      </c>
      <c r="F1712" t="inlineStr"/>
      <c r="G1712" t="inlineStr"/>
      <c r="H1712" t="inlineStr"/>
    </row>
    <row r="1713">
      <c r="A1713" t="inlineStr">
        <is>
          <t>6c6ea0c2-3fb2-420f-934e-fcfea8782d12.jpg</t>
        </is>
      </c>
      <c r="B1713">
        <f>HYPERLINK("Объекты недвижимости, не соответствующие градостроительным нормам_00-022_Август/6c6ea0c2-3fb2-420f-934e-fcfea8782d12.jpg","open")</f>
        <v/>
      </c>
      <c r="C1713" t="inlineStr">
        <is>
          <t>8cde1fd0-eca1-4510-86ab-3c743b65fdfc</t>
        </is>
      </c>
      <c r="D1713" t="n">
        <v>55.74166</v>
      </c>
      <c r="E1713" t="n">
        <v>37.64547</v>
      </c>
      <c r="F1713" t="inlineStr"/>
      <c r="G1713" t="inlineStr"/>
      <c r="H1713" t="inlineStr"/>
    </row>
    <row r="1714">
      <c r="A1714" t="inlineStr">
        <is>
          <t>6cba97f9-38ff-468f-888e-cf55aa86e6f1.jpg</t>
        </is>
      </c>
      <c r="B1714">
        <f>HYPERLINK("Объекты недвижимости, не соответствующие градостроительным нормам_00-022_Август/6cba97f9-38ff-468f-888e-cf55aa86e6f1.jpg","open")</f>
        <v/>
      </c>
      <c r="C1714" t="inlineStr">
        <is>
          <t>ed2bf0f1-3a66-4913-896e-4420a9796c0b</t>
        </is>
      </c>
      <c r="D1714" t="n">
        <v>55.84304</v>
      </c>
      <c r="E1714" t="n">
        <v>37.56988</v>
      </c>
      <c r="F1714" t="inlineStr"/>
      <c r="G1714" t="inlineStr"/>
      <c r="H1714" t="inlineStr"/>
    </row>
    <row r="1715">
      <c r="A1715" t="inlineStr">
        <is>
          <t>d10004a4-2bc4-48ce-9b46-b120f879cbff.jpg</t>
        </is>
      </c>
      <c r="B1715">
        <f>HYPERLINK("Объекты недвижимости, не соответствующие градостроительным нормам_00-022_Август/d10004a4-2bc4-48ce-9b46-b120f879cbff.jpg","open")</f>
        <v/>
      </c>
      <c r="C1715" t="inlineStr">
        <is>
          <t>caa4772d-6278-4484-a046-ee25514bf521</t>
        </is>
      </c>
      <c r="D1715" t="n">
        <v>55.8456</v>
      </c>
      <c r="E1715" t="n">
        <v>37.63595</v>
      </c>
      <c r="F1715" t="inlineStr"/>
      <c r="G1715" t="inlineStr"/>
      <c r="H1715" t="inlineStr"/>
    </row>
    <row r="1716">
      <c r="A1716" t="inlineStr">
        <is>
          <t>7cdd5bb2-18e1-457b-9943-b1c26336d1ad.jpg</t>
        </is>
      </c>
      <c r="B1716">
        <f>HYPERLINK("Объекты недвижимости, не соответствующие градостроительным нормам_00-022_Август/7cdd5bb2-18e1-457b-9943-b1c26336d1ad.jpg","open")</f>
        <v/>
      </c>
      <c r="C1716" t="inlineStr">
        <is>
          <t>caa4772d-6278-4484-a046-ee25514bf521</t>
        </is>
      </c>
      <c r="D1716" t="n">
        <v>55.8455</v>
      </c>
      <c r="E1716" t="n">
        <v>37.63599</v>
      </c>
      <c r="F1716" t="inlineStr"/>
      <c r="G1716" t="inlineStr"/>
      <c r="H1716" t="inlineStr"/>
    </row>
    <row r="1717">
      <c r="A1717" t="inlineStr">
        <is>
          <t>0be54a73-a08c-470b-9c9c-011d9197aae8.jpg</t>
        </is>
      </c>
      <c r="B1717">
        <f>HYPERLINK("Объекты недвижимости, не соответствующие градостроительным нормам_00-022_Август/0be54a73-a08c-470b-9c9c-011d9197aae8.jpg","open")</f>
        <v/>
      </c>
      <c r="C1717" t="inlineStr">
        <is>
          <t>ed2bf0f1-3a66-4913-896e-4420a9796c0b</t>
        </is>
      </c>
      <c r="D1717" t="n">
        <v>55.84504</v>
      </c>
      <c r="E1717" t="n">
        <v>37.56144</v>
      </c>
      <c r="F1717" t="inlineStr"/>
      <c r="G1717" t="inlineStr"/>
      <c r="H1717" t="inlineStr"/>
    </row>
    <row r="1718">
      <c r="A1718" t="inlineStr">
        <is>
          <t>53b4afe6-8198-48b9-bf7a-4f82a3345d54.jpg</t>
        </is>
      </c>
      <c r="B1718">
        <f>HYPERLINK("Объекты недвижимости, не соответствующие градостроительным нормам_00-022_Август/53b4afe6-8198-48b9-bf7a-4f82a3345d54.jpg","open")</f>
        <v/>
      </c>
      <c r="C1718" t="inlineStr">
        <is>
          <t>1a55986c-2c3f-40c0-b3d1-014dce77832e</t>
        </is>
      </c>
      <c r="D1718" t="n">
        <v>55.84501</v>
      </c>
      <c r="E1718" t="n">
        <v>37.56144</v>
      </c>
      <c r="F1718" t="inlineStr"/>
      <c r="G1718" t="inlineStr"/>
      <c r="H1718" t="inlineStr"/>
    </row>
    <row r="1719">
      <c r="A1719" t="inlineStr">
        <is>
          <t>60ec9171-3818-452c-93a0-c982a1989bbf.jpg</t>
        </is>
      </c>
      <c r="B1719">
        <f>HYPERLINK("Объекты недвижимости, не соответствующие градостроительным нормам_00-022_Август/60ec9171-3818-452c-93a0-c982a1989bbf.jpg","open")</f>
        <v/>
      </c>
      <c r="C1719" t="inlineStr">
        <is>
          <t>1a55986c-2c3f-40c0-b3d1-014dce77832e</t>
        </is>
      </c>
      <c r="D1719" t="n">
        <v>55.84336</v>
      </c>
      <c r="E1719" t="n">
        <v>37.564</v>
      </c>
      <c r="F1719" t="inlineStr"/>
      <c r="G1719" t="inlineStr"/>
      <c r="H1719" t="inlineStr"/>
    </row>
    <row r="1720">
      <c r="A1720" t="inlineStr">
        <is>
          <t>3f8d2464-fa4d-4653-a1c2-2ce9761c3287.jpg</t>
        </is>
      </c>
      <c r="B1720">
        <f>HYPERLINK("Объекты недвижимости, не соответствующие градостроительным нормам_00-022_Август/3f8d2464-fa4d-4653-a1c2-2ce9761c3287.jpg","open")</f>
        <v/>
      </c>
      <c r="C1720" t="inlineStr">
        <is>
          <t>ed2bf0f1-3a66-4913-896e-4420a9796c0b</t>
        </is>
      </c>
      <c r="D1720" t="n">
        <v>55.84655</v>
      </c>
      <c r="E1720" t="n">
        <v>37.5591</v>
      </c>
      <c r="F1720" t="inlineStr"/>
      <c r="G1720" t="inlineStr"/>
      <c r="H1720" t="inlineStr"/>
    </row>
    <row r="1721">
      <c r="A1721" t="inlineStr">
        <is>
          <t>5f0ec8ae-f5f9-4ec2-aacf-2e44c9497558.jpg</t>
        </is>
      </c>
      <c r="B1721">
        <f>HYPERLINK("Объекты недвижимости, не соответствующие градостроительным нормам_00-022_Август/5f0ec8ae-f5f9-4ec2-aacf-2e44c9497558.jpg","open")</f>
        <v/>
      </c>
      <c r="C1721" t="inlineStr">
        <is>
          <t>1a55986c-2c3f-40c0-b3d1-014dce77832e</t>
        </is>
      </c>
      <c r="D1721" t="n">
        <v>55.84664</v>
      </c>
      <c r="E1721" t="n">
        <v>37.55896</v>
      </c>
      <c r="F1721" t="inlineStr"/>
      <c r="G1721" t="inlineStr"/>
      <c r="H1721" t="inlineStr"/>
    </row>
    <row r="1722">
      <c r="A1722" t="inlineStr">
        <is>
          <t>f5419f7a-5ca2-45b8-96da-07b9477d8fa7.jpg</t>
        </is>
      </c>
      <c r="B1722">
        <f>HYPERLINK("Объекты недвижимости, не соответствующие градостроительным нормам_00-022_Август/f5419f7a-5ca2-45b8-96da-07b9477d8fa7.jpg","open")</f>
        <v/>
      </c>
      <c r="C1722" t="inlineStr">
        <is>
          <t>1a55986c-2c3f-40c0-b3d1-014dce77832e</t>
        </is>
      </c>
      <c r="D1722" t="n">
        <v>55.8452</v>
      </c>
      <c r="E1722" t="n">
        <v>37.56085</v>
      </c>
      <c r="F1722" t="inlineStr"/>
      <c r="G1722" t="inlineStr"/>
      <c r="H1722" t="inlineStr"/>
    </row>
    <row r="1723">
      <c r="A1723" t="inlineStr">
        <is>
          <t>829de29a-6f5b-49af-8f71-f5a0c25527f5.jpg</t>
        </is>
      </c>
      <c r="B1723">
        <f>HYPERLINK("Объекты недвижимости, не соответствующие градостроительным нормам_00-022_Август/829de29a-6f5b-49af-8f71-f5a0c25527f5.jpg","open")</f>
        <v/>
      </c>
      <c r="C1723" t="inlineStr">
        <is>
          <t>1a55986c-2c3f-40c0-b3d1-014dce77832e</t>
        </is>
      </c>
      <c r="D1723" t="n">
        <v>55.84515</v>
      </c>
      <c r="E1723" t="n">
        <v>37.56079</v>
      </c>
      <c r="F1723" t="inlineStr"/>
      <c r="G1723" t="inlineStr"/>
      <c r="H1723" t="inlineStr"/>
    </row>
    <row r="1724">
      <c r="A1724" t="inlineStr">
        <is>
          <t>3a8ca210-77d4-4876-8914-e76d61a6c469.jpg</t>
        </is>
      </c>
      <c r="B1724">
        <f>HYPERLINK("Объекты недвижимости, не соответствующие градостроительным нормам_00-022_Август/3a8ca210-77d4-4876-8914-e76d61a6c469.jpg","open")</f>
        <v/>
      </c>
      <c r="C1724" t="inlineStr">
        <is>
          <t>8cde1fd0-eca1-4510-86ab-3c743b65fdfc</t>
        </is>
      </c>
      <c r="D1724" t="n">
        <v>55.81071</v>
      </c>
      <c r="E1724" t="n">
        <v>37.53935</v>
      </c>
      <c r="F1724" t="inlineStr"/>
      <c r="G1724" t="inlineStr"/>
      <c r="H1724" t="inlineStr"/>
    </row>
    <row r="1725">
      <c r="A1725" t="inlineStr">
        <is>
          <t>0488801c-aebb-4dde-ac59-58dbd397fc69.jpg</t>
        </is>
      </c>
      <c r="B1725">
        <f>HYPERLINK("Объекты недвижимости, не соответствующие градостроительным нормам_00-022_Август/0488801c-aebb-4dde-ac59-58dbd397fc69.jpg","open")</f>
        <v/>
      </c>
      <c r="C1725" t="inlineStr">
        <is>
          <t>1a55986c-2c3f-40c0-b3d1-014dce77832e</t>
        </is>
      </c>
      <c r="D1725" t="n">
        <v>55.84355</v>
      </c>
      <c r="E1725" t="n">
        <v>37.55697</v>
      </c>
      <c r="F1725" t="inlineStr"/>
      <c r="G1725" t="inlineStr"/>
      <c r="H1725" t="inlineStr"/>
    </row>
    <row r="1726">
      <c r="A1726" t="inlineStr">
        <is>
          <t>00be1e75-3aec-47d0-b693-a8c82f5fc182.jpg</t>
        </is>
      </c>
      <c r="B1726">
        <f>HYPERLINK("Объекты недвижимости, не соответствующие градостроительным нормам_00-022_Август/00be1e75-3aec-47d0-b693-a8c82f5fc182.jpg","open")</f>
        <v/>
      </c>
      <c r="C1726" t="inlineStr">
        <is>
          <t>ed2bf0f1-3a66-4913-896e-4420a9796c0b</t>
        </is>
      </c>
      <c r="D1726" t="n">
        <v>55.84343</v>
      </c>
      <c r="E1726" t="n">
        <v>37.55666</v>
      </c>
      <c r="F1726" t="inlineStr"/>
      <c r="G1726" t="inlineStr"/>
      <c r="H1726" t="inlineStr"/>
    </row>
    <row r="1727">
      <c r="A1727" t="inlineStr">
        <is>
          <t>6c07b88d-17db-4774-8564-4da4c539c0e3.jpg</t>
        </is>
      </c>
      <c r="B1727">
        <f>HYPERLINK("Объекты недвижимости, не соответствующие градостроительным нормам_00-022_Август/6c07b88d-17db-4774-8564-4da4c539c0e3.jpg","open")</f>
        <v/>
      </c>
      <c r="C1727" t="inlineStr">
        <is>
          <t>8cde1fd0-eca1-4510-86ab-3c743b65fdfc</t>
        </is>
      </c>
      <c r="D1727" t="n">
        <v>55.81071</v>
      </c>
      <c r="E1727" t="n">
        <v>37.53935</v>
      </c>
      <c r="F1727" t="inlineStr"/>
      <c r="G1727" t="inlineStr"/>
      <c r="H1727" t="inlineStr"/>
    </row>
    <row r="1728">
      <c r="A1728" t="inlineStr">
        <is>
          <t>bc3e0bf9-b216-49b3-ab80-c0e26708bdc3.jpg</t>
        </is>
      </c>
      <c r="B1728">
        <f>HYPERLINK("Объекты недвижимости, не соответствующие градостроительным нормам_00-022_Август/bc3e0bf9-b216-49b3-ab80-c0e26708bdc3.jpg","open")</f>
        <v/>
      </c>
      <c r="C1728" t="inlineStr">
        <is>
          <t>8cde1fd0-eca1-4510-86ab-3c743b65fdfc</t>
        </is>
      </c>
      <c r="D1728" t="n">
        <v>55.81071</v>
      </c>
      <c r="E1728" t="n">
        <v>37.53935</v>
      </c>
      <c r="F1728" t="inlineStr"/>
      <c r="G1728" t="inlineStr"/>
      <c r="H1728" t="inlineStr"/>
    </row>
    <row r="1729">
      <c r="A1729" t="inlineStr">
        <is>
          <t>4cdae244-8491-4ce1-9f15-f226256c8a1c.jpg</t>
        </is>
      </c>
      <c r="B1729">
        <f>HYPERLINK("Объекты недвижимости, не соответствующие градостроительным нормам_00-022_Август/4cdae244-8491-4ce1-9f15-f226256c8a1c.jpg","open")</f>
        <v/>
      </c>
      <c r="C1729" t="inlineStr">
        <is>
          <t>8cde1fd0-eca1-4510-86ab-3c743b65fdfc</t>
        </is>
      </c>
      <c r="D1729" t="n">
        <v>55.81071</v>
      </c>
      <c r="E1729" t="n">
        <v>37.53935</v>
      </c>
      <c r="F1729" t="inlineStr"/>
      <c r="G1729" t="inlineStr"/>
      <c r="H1729" t="inlineStr"/>
    </row>
    <row r="1730">
      <c r="A1730" t="inlineStr">
        <is>
          <t>f82fc081-507c-415f-a532-3e4dc0ec9d7c.jpg</t>
        </is>
      </c>
      <c r="B1730">
        <f>HYPERLINK("Объекты недвижимости, не соответствующие градостроительным нормам_00-022_Август/f82fc081-507c-415f-a532-3e4dc0ec9d7c.jpg","open")</f>
        <v/>
      </c>
      <c r="C1730" t="inlineStr">
        <is>
          <t>1c951e11-4940-43c6-a447-394097e5609a</t>
        </is>
      </c>
      <c r="D1730" t="n">
        <v>55.81071</v>
      </c>
      <c r="E1730" t="n">
        <v>37.53935</v>
      </c>
      <c r="F1730" t="inlineStr"/>
      <c r="G1730" t="inlineStr"/>
      <c r="H1730" t="inlineStr"/>
    </row>
    <row r="1731">
      <c r="A1731" t="inlineStr">
        <is>
          <t>f7d6fa35-f256-404a-871b-aa8476e45478.jpg</t>
        </is>
      </c>
      <c r="B1731">
        <f>HYPERLINK("Объекты недвижимости, не соответствующие градостроительным нормам_00-022_Август/f7d6fa35-f256-404a-871b-aa8476e45478.jpg","open")</f>
        <v/>
      </c>
      <c r="C1731" t="inlineStr">
        <is>
          <t>8cde1fd0-eca1-4510-86ab-3c743b65fdfc</t>
        </is>
      </c>
      <c r="D1731" t="n">
        <v>55.81071</v>
      </c>
      <c r="E1731" t="n">
        <v>37.53935</v>
      </c>
      <c r="F1731" t="inlineStr"/>
      <c r="G1731" t="inlineStr"/>
      <c r="H1731" t="inlineStr"/>
    </row>
    <row r="1732">
      <c r="A1732" t="inlineStr">
        <is>
          <t>3502b7a1-0947-4d5a-a3a0-e5c726c47cca.jpg</t>
        </is>
      </c>
      <c r="B1732">
        <f>HYPERLINK("Объекты недвижимости, не соответствующие градостроительным нормам_00-022_Август/3502b7a1-0947-4d5a-a3a0-e5c726c47cca.jpg","open")</f>
        <v/>
      </c>
      <c r="C1732" t="inlineStr">
        <is>
          <t>1c951e11-4940-43c6-a447-394097e5609a</t>
        </is>
      </c>
      <c r="D1732" t="n">
        <v>55.81071</v>
      </c>
      <c r="E1732" t="n">
        <v>37.53935</v>
      </c>
      <c r="F1732" t="inlineStr"/>
      <c r="G1732" t="inlineStr"/>
      <c r="H1732" t="inlineStr"/>
    </row>
    <row r="1733">
      <c r="A1733" t="inlineStr">
        <is>
          <t>73456ec8-8636-40b8-a71c-37f7205a430a.jpg</t>
        </is>
      </c>
      <c r="B1733">
        <f>HYPERLINK("Объекты недвижимости, не соответствующие градостроительным нормам_00-022_Август/73456ec8-8636-40b8-a71c-37f7205a430a.jpg","open")</f>
        <v/>
      </c>
      <c r="C1733" t="inlineStr">
        <is>
          <t>8cde1fd0-eca1-4510-86ab-3c743b65fdfc</t>
        </is>
      </c>
      <c r="D1733" t="n">
        <v>55.81071</v>
      </c>
      <c r="E1733" t="n">
        <v>37.53935</v>
      </c>
      <c r="F1733" t="inlineStr"/>
      <c r="G1733" t="inlineStr"/>
      <c r="H1733" t="inlineStr"/>
    </row>
    <row r="1734">
      <c r="A1734" t="inlineStr">
        <is>
          <t>d6013a17-94ef-4b5f-93e1-d29e6ab1b33e.jpg</t>
        </is>
      </c>
      <c r="B1734">
        <f>HYPERLINK("Объекты недвижимости, не соответствующие градостроительным нормам_00-022_Август/d6013a17-94ef-4b5f-93e1-d29e6ab1b33e.jpg","open")</f>
        <v/>
      </c>
      <c r="C1734" t="inlineStr">
        <is>
          <t>8cde1fd0-eca1-4510-86ab-3c743b65fdfc</t>
        </is>
      </c>
      <c r="D1734" t="n">
        <v>55.81071</v>
      </c>
      <c r="E1734" t="n">
        <v>37.53935</v>
      </c>
      <c r="F1734" t="inlineStr"/>
      <c r="G1734" t="inlineStr"/>
      <c r="H1734" t="inlineStr"/>
    </row>
    <row r="1735">
      <c r="A1735" t="inlineStr">
        <is>
          <t>6619a286-abcd-4c07-b5d3-6474917720b3.jpg</t>
        </is>
      </c>
      <c r="B1735">
        <f>HYPERLINK("Объекты недвижимости, не соответствующие градостроительным нормам_00-022_Август/6619a286-abcd-4c07-b5d3-6474917720b3.jpg","open")</f>
        <v/>
      </c>
      <c r="C1735" t="inlineStr">
        <is>
          <t>8cde1fd0-eca1-4510-86ab-3c743b65fdfc</t>
        </is>
      </c>
      <c r="D1735" t="n">
        <v>55.81071</v>
      </c>
      <c r="E1735" t="n">
        <v>37.53935</v>
      </c>
      <c r="F1735" t="inlineStr"/>
      <c r="G1735" t="inlineStr"/>
      <c r="H1735" t="inlineStr"/>
    </row>
    <row r="1736">
      <c r="A1736" t="inlineStr">
        <is>
          <t>e6b965cf-9736-45cf-9545-c8f7120318a6.jpg</t>
        </is>
      </c>
      <c r="B1736">
        <f>HYPERLINK("Объекты недвижимости, не соответствующие градостроительным нормам_00-022_Август/e6b965cf-9736-45cf-9545-c8f7120318a6.jpg","open")</f>
        <v/>
      </c>
      <c r="C1736" t="inlineStr">
        <is>
          <t>8cde1fd0-eca1-4510-86ab-3c743b65fdfc</t>
        </is>
      </c>
      <c r="D1736" t="n">
        <v>55.81071</v>
      </c>
      <c r="E1736" t="n">
        <v>37.53935</v>
      </c>
      <c r="F1736" t="inlineStr"/>
      <c r="G1736" t="inlineStr"/>
      <c r="H1736" t="inlineStr"/>
    </row>
    <row r="1737">
      <c r="A1737" t="inlineStr">
        <is>
          <t>b4a7e0f6-9513-4046-a30e-7f18440e9089.jpg</t>
        </is>
      </c>
      <c r="B1737">
        <f>HYPERLINK("Объекты недвижимости, не соответствующие градостроительным нормам_00-022_Август/b4a7e0f6-9513-4046-a30e-7f18440e9089.jpg","open")</f>
        <v/>
      </c>
      <c r="C1737" t="inlineStr">
        <is>
          <t>8cde1fd0-eca1-4510-86ab-3c743b65fdfc</t>
        </is>
      </c>
      <c r="D1737" t="n">
        <v>55.81071</v>
      </c>
      <c r="E1737" t="n">
        <v>37.53935</v>
      </c>
      <c r="F1737" t="inlineStr"/>
      <c r="G1737" t="inlineStr"/>
      <c r="H1737" t="inlineStr"/>
    </row>
    <row r="1738">
      <c r="A1738" t="inlineStr">
        <is>
          <t>51f12a52-48e6-4c2c-948f-cfdcb5383b13.jpg</t>
        </is>
      </c>
      <c r="B1738">
        <f>HYPERLINK("Объекты недвижимости, не соответствующие градостроительным нормам_00-022_Август/51f12a52-48e6-4c2c-948f-cfdcb5383b13.jpg","open")</f>
        <v/>
      </c>
      <c r="C1738" t="inlineStr">
        <is>
          <t>8cde1fd0-eca1-4510-86ab-3c743b65fdfc</t>
        </is>
      </c>
      <c r="D1738" t="n">
        <v>55.81071</v>
      </c>
      <c r="E1738" t="n">
        <v>37.53935</v>
      </c>
      <c r="F1738" t="inlineStr"/>
      <c r="G1738" t="inlineStr"/>
      <c r="H1738" t="inlineStr"/>
    </row>
    <row r="1739">
      <c r="A1739" t="inlineStr">
        <is>
          <t>e728c79e-8b0d-4d24-8f0e-a3919764f2fb.jpg</t>
        </is>
      </c>
      <c r="B1739">
        <f>HYPERLINK("Объекты недвижимости, не соответствующие градостроительным нормам_00-022_Август/e728c79e-8b0d-4d24-8f0e-a3919764f2fb.jpg","open")</f>
        <v/>
      </c>
      <c r="C1739" t="inlineStr">
        <is>
          <t>1c951e11-4940-43c6-a447-394097e5609a</t>
        </is>
      </c>
      <c r="D1739" t="n">
        <v>55.81071</v>
      </c>
      <c r="E1739" t="n">
        <v>37.53935</v>
      </c>
      <c r="F1739" t="inlineStr"/>
      <c r="G1739" t="inlineStr"/>
      <c r="H1739" t="inlineStr"/>
    </row>
    <row r="1740">
      <c r="A1740" t="inlineStr">
        <is>
          <t>0888c976-2433-4b64-8f15-5050be5303d0.jpg</t>
        </is>
      </c>
      <c r="B1740">
        <f>HYPERLINK("Объекты недвижимости, не соответствующие градостроительным нормам_00-022_Август/0888c976-2433-4b64-8f15-5050be5303d0.jpg","open")</f>
        <v/>
      </c>
      <c r="C1740" t="inlineStr">
        <is>
          <t>8cde1fd0-eca1-4510-86ab-3c743b65fdfc</t>
        </is>
      </c>
      <c r="D1740" t="n">
        <v>55.81071</v>
      </c>
      <c r="E1740" t="n">
        <v>37.53935</v>
      </c>
      <c r="F1740" t="inlineStr"/>
      <c r="G1740" t="inlineStr"/>
      <c r="H1740" t="inlineStr"/>
    </row>
    <row r="1741">
      <c r="A1741" t="inlineStr">
        <is>
          <t>eb92a19d-d233-455f-8b63-1a32242bc1d9.jpg</t>
        </is>
      </c>
      <c r="B1741">
        <f>HYPERLINK("Объекты недвижимости, не соответствующие градостроительным нормам_00-022_Август/eb92a19d-d233-455f-8b63-1a32242bc1d9.jpg","open")</f>
        <v/>
      </c>
      <c r="C1741" t="inlineStr">
        <is>
          <t>8cde1fd0-eca1-4510-86ab-3c743b65fdfc</t>
        </is>
      </c>
      <c r="D1741" t="n">
        <v>55.81071</v>
      </c>
      <c r="E1741" t="n">
        <v>37.53935</v>
      </c>
      <c r="F1741" t="inlineStr"/>
      <c r="G1741" t="inlineStr"/>
      <c r="H1741" t="inlineStr"/>
    </row>
    <row r="1742">
      <c r="A1742" t="inlineStr">
        <is>
          <t>f7022f11-cf37-4c14-8ade-2b211c2ce389.jpg</t>
        </is>
      </c>
      <c r="B1742">
        <f>HYPERLINK("Объекты недвижимости, не соответствующие градостроительным нормам_00-022_Август/f7022f11-cf37-4c14-8ade-2b211c2ce389.jpg","open")</f>
        <v/>
      </c>
      <c r="C1742" t="inlineStr">
        <is>
          <t>8cde1fd0-eca1-4510-86ab-3c743b65fdfc</t>
        </is>
      </c>
      <c r="D1742" t="n">
        <v>55.81071</v>
      </c>
      <c r="E1742" t="n">
        <v>37.53935</v>
      </c>
      <c r="F1742" t="inlineStr"/>
      <c r="G1742" t="inlineStr"/>
      <c r="H1742" t="inlineStr"/>
    </row>
    <row r="1743">
      <c r="A1743" t="inlineStr">
        <is>
          <t>859c13f5-bbf4-4ee1-8dde-7973551fa4ff.jpg</t>
        </is>
      </c>
      <c r="B1743">
        <f>HYPERLINK("Объекты недвижимости, не соответствующие градостроительным нормам_00-022_Август/859c13f5-bbf4-4ee1-8dde-7973551fa4ff.jpg","open")</f>
        <v/>
      </c>
      <c r="C1743" t="inlineStr">
        <is>
          <t>1c951e11-4940-43c6-a447-394097e5609a</t>
        </is>
      </c>
      <c r="D1743" t="n">
        <v>55.81071</v>
      </c>
      <c r="E1743" t="n">
        <v>37.53935</v>
      </c>
      <c r="F1743" t="inlineStr"/>
      <c r="G1743" t="inlineStr"/>
      <c r="H1743" t="inlineStr"/>
    </row>
    <row r="1744">
      <c r="A1744" t="inlineStr">
        <is>
          <t>1714e820-5c65-475a-853f-e34266014d8a.jpg</t>
        </is>
      </c>
      <c r="B1744">
        <f>HYPERLINK("Объекты недвижимости, не соответствующие градостроительным нормам_00-022_Август/1714e820-5c65-475a-853f-e34266014d8a.jpg","open")</f>
        <v/>
      </c>
      <c r="C1744" t="inlineStr">
        <is>
          <t>8cde1fd0-eca1-4510-86ab-3c743b65fdfc</t>
        </is>
      </c>
      <c r="D1744" t="n">
        <v>55.81071</v>
      </c>
      <c r="E1744" t="n">
        <v>37.53935</v>
      </c>
      <c r="F1744" t="inlineStr"/>
      <c r="G1744" t="inlineStr"/>
      <c r="H1744" t="inlineStr"/>
    </row>
    <row r="1745">
      <c r="A1745" t="inlineStr">
        <is>
          <t>ac0d230f-ce8d-4418-928f-434965a468b9.jpg</t>
        </is>
      </c>
      <c r="B1745">
        <f>HYPERLINK("Объекты недвижимости, не соответствующие градостроительным нормам_00-022_Август/ac0d230f-ce8d-4418-928f-434965a468b9.jpg","open")</f>
        <v/>
      </c>
      <c r="C1745" t="inlineStr">
        <is>
          <t>8cde1fd0-eca1-4510-86ab-3c743b65fdfc</t>
        </is>
      </c>
      <c r="D1745" t="n">
        <v>55.81071</v>
      </c>
      <c r="E1745" t="n">
        <v>37.53935</v>
      </c>
      <c r="F1745" t="inlineStr"/>
      <c r="G1745" t="inlineStr"/>
      <c r="H1745" t="inlineStr"/>
    </row>
    <row r="1746">
      <c r="A1746" t="inlineStr">
        <is>
          <t>cf6f6b4d-4c98-4f0d-84dd-8f9f3a6c094f.jpg</t>
        </is>
      </c>
      <c r="B1746">
        <f>HYPERLINK("Объекты недвижимости, не соответствующие градостроительным нормам_00-022_Август/cf6f6b4d-4c98-4f0d-84dd-8f9f3a6c094f.jpg","open")</f>
        <v/>
      </c>
      <c r="C1746" t="inlineStr">
        <is>
          <t>8cde1fd0-eca1-4510-86ab-3c743b65fdfc</t>
        </is>
      </c>
      <c r="D1746" t="n">
        <v>55.81071</v>
      </c>
      <c r="E1746" t="n">
        <v>37.53935</v>
      </c>
      <c r="F1746" t="inlineStr"/>
      <c r="G1746" t="inlineStr"/>
      <c r="H1746" t="inlineStr"/>
    </row>
    <row r="1747">
      <c r="A1747" t="inlineStr">
        <is>
          <t>4255d605-82e0-4619-8ca0-8e71034d5477.jpg</t>
        </is>
      </c>
      <c r="B1747">
        <f>HYPERLINK("Объекты недвижимости, не соответствующие градостроительным нормам_00-022_Август/4255d605-82e0-4619-8ca0-8e71034d5477.jpg","open")</f>
        <v/>
      </c>
      <c r="C1747" t="inlineStr">
        <is>
          <t>ed2bf0f1-3a66-4913-896e-4420a9796c0b</t>
        </is>
      </c>
      <c r="D1747" t="n">
        <v>55.83707</v>
      </c>
      <c r="E1747" t="n">
        <v>37.5368</v>
      </c>
      <c r="F1747" t="inlineStr"/>
      <c r="G1747" t="inlineStr"/>
      <c r="H1747" t="inlineStr"/>
    </row>
    <row r="1748">
      <c r="A1748" t="inlineStr">
        <is>
          <t>b058ba2b-f74b-4ede-9174-b6931d7a7509.jpg</t>
        </is>
      </c>
      <c r="B1748">
        <f>HYPERLINK("Объекты недвижимости, не соответствующие градостроительным нормам_00-022_Август/b058ba2b-f74b-4ede-9174-b6931d7a7509.jpg","open")</f>
        <v/>
      </c>
      <c r="C1748" t="inlineStr">
        <is>
          <t>ed2bf0f1-3a66-4913-896e-4420a9796c0b</t>
        </is>
      </c>
      <c r="D1748" t="n">
        <v>55.83405</v>
      </c>
      <c r="E1748" t="n">
        <v>37.54954</v>
      </c>
      <c r="F1748" t="inlineStr"/>
      <c r="G1748" t="inlineStr"/>
      <c r="H1748" t="inlineStr"/>
    </row>
    <row r="1749">
      <c r="A1749" t="inlineStr">
        <is>
          <t>3c3e416d-c325-41f6-bd47-9198fa32866d.jpg</t>
        </is>
      </c>
      <c r="B1749">
        <f>HYPERLINK("Объекты недвижимости, не соответствующие градостроительным нормам_00-022_Август/3c3e416d-c325-41f6-bd47-9198fa32866d.jpg","open")</f>
        <v/>
      </c>
      <c r="C1749" t="inlineStr">
        <is>
          <t>db8b536c-32f2-4d9a-ae08-679d227e61f1</t>
        </is>
      </c>
      <c r="D1749" t="n">
        <v>55.6912</v>
      </c>
      <c r="E1749" t="n">
        <v>37.59968</v>
      </c>
      <c r="F1749" t="inlineStr"/>
      <c r="G1749" t="inlineStr"/>
      <c r="H1749" t="inlineStr"/>
    </row>
    <row r="1750">
      <c r="A1750" t="inlineStr">
        <is>
          <t>f52c5287-d9a0-4d6b-aff4-42114d538bb8.jpg</t>
        </is>
      </c>
      <c r="B1750">
        <f>HYPERLINK("Объекты недвижимости, не соответствующие градостроительным нормам_00-022_Август/f52c5287-d9a0-4d6b-aff4-42114d538bb8.jpg","open")</f>
        <v/>
      </c>
      <c r="C1750" t="inlineStr">
        <is>
          <t>ed2bf0f1-3a66-4913-896e-4420a9796c0b</t>
        </is>
      </c>
      <c r="D1750" t="n">
        <v>55.83178</v>
      </c>
      <c r="E1750" t="n">
        <v>37.5513</v>
      </c>
      <c r="F1750" t="inlineStr"/>
      <c r="G1750" t="inlineStr"/>
      <c r="H1750" t="inlineStr"/>
    </row>
    <row r="1751">
      <c r="A1751" t="inlineStr">
        <is>
          <t>b29b82ca-a07c-456b-9215-7db92aae82df.jpg</t>
        </is>
      </c>
      <c r="B1751">
        <f>HYPERLINK("Объекты недвижимости, не соответствующие градостроительным нормам_00-022_Август/b29b82ca-a07c-456b-9215-7db92aae82df.jpg","open")</f>
        <v/>
      </c>
      <c r="C1751" t="inlineStr">
        <is>
          <t>1c951e11-4940-43c6-a447-394097e5609a</t>
        </is>
      </c>
      <c r="D1751" t="n">
        <v>55.81071</v>
      </c>
      <c r="E1751" t="n">
        <v>37.53935</v>
      </c>
      <c r="F1751" t="inlineStr"/>
      <c r="G1751" t="inlineStr"/>
      <c r="H1751" t="inlineStr"/>
    </row>
    <row r="1752">
      <c r="A1752" t="inlineStr">
        <is>
          <t>514faf5a-87bf-4980-ba2d-54c568584165.jpg</t>
        </is>
      </c>
      <c r="B1752">
        <f>HYPERLINK("Объекты недвижимости, не соответствующие градостроительным нормам_00-022_Август/514faf5a-87bf-4980-ba2d-54c568584165.jpg","open")</f>
        <v/>
      </c>
      <c r="C1752" t="inlineStr">
        <is>
          <t>8cde1fd0-eca1-4510-86ab-3c743b65fdfc</t>
        </is>
      </c>
      <c r="D1752" t="n">
        <v>55.81071</v>
      </c>
      <c r="E1752" t="n">
        <v>37.53935</v>
      </c>
      <c r="F1752" t="inlineStr"/>
      <c r="G1752" t="inlineStr"/>
      <c r="H1752" t="inlineStr"/>
    </row>
    <row r="1753">
      <c r="A1753" t="inlineStr">
        <is>
          <t>7112dec9-466e-4bd8-b04e-4117b0383479.jpg</t>
        </is>
      </c>
      <c r="B1753">
        <f>HYPERLINK("Объекты недвижимости, не соответствующие градостроительным нормам_00-022_Август/7112dec9-466e-4bd8-b04e-4117b0383479.jpg","open")</f>
        <v/>
      </c>
      <c r="C1753" t="inlineStr">
        <is>
          <t>8cde1fd0-eca1-4510-86ab-3c743b65fdfc</t>
        </is>
      </c>
      <c r="D1753" t="n">
        <v>55.81071</v>
      </c>
      <c r="E1753" t="n">
        <v>37.53935</v>
      </c>
      <c r="F1753" t="inlineStr"/>
      <c r="G1753" t="inlineStr"/>
      <c r="H1753" t="inlineStr"/>
    </row>
    <row r="1754">
      <c r="A1754" t="inlineStr">
        <is>
          <t>cbf825e2-311b-498b-ad4a-32e141e82d63.jpg</t>
        </is>
      </c>
      <c r="B1754">
        <f>HYPERLINK("Объекты недвижимости, не соответствующие градостроительным нормам_00-022_Август/cbf825e2-311b-498b-ad4a-32e141e82d63.jpg","open")</f>
        <v/>
      </c>
      <c r="C1754" t="inlineStr">
        <is>
          <t>1c951e11-4940-43c6-a447-394097e5609a</t>
        </is>
      </c>
      <c r="D1754" t="n">
        <v>55.81071</v>
      </c>
      <c r="E1754" t="n">
        <v>37.53935</v>
      </c>
      <c r="F1754" t="inlineStr"/>
      <c r="G1754" t="inlineStr"/>
      <c r="H1754" t="inlineStr"/>
    </row>
    <row r="1755">
      <c r="A1755" t="inlineStr">
        <is>
          <t>e00a63c1-9b00-496a-bafa-2a7395516470.jpg</t>
        </is>
      </c>
      <c r="B1755">
        <f>HYPERLINK("Объекты недвижимости, не соответствующие градостроительным нормам_00-022_Август/e00a63c1-9b00-496a-bafa-2a7395516470.jpg","open")</f>
        <v/>
      </c>
      <c r="C1755" t="inlineStr">
        <is>
          <t>8cde1fd0-eca1-4510-86ab-3c743b65fdfc</t>
        </is>
      </c>
      <c r="D1755" t="n">
        <v>55.81071</v>
      </c>
      <c r="E1755" t="n">
        <v>37.53935</v>
      </c>
      <c r="F1755" t="inlineStr"/>
      <c r="G1755" t="inlineStr"/>
      <c r="H1755" t="inlineStr"/>
    </row>
    <row r="1756">
      <c r="A1756" t="inlineStr">
        <is>
          <t>c1df8e0c-3be7-4a37-a981-9ee0c4af1af3.jpg</t>
        </is>
      </c>
      <c r="B1756">
        <f>HYPERLINK("Объекты недвижимости, не соответствующие градостроительным нормам_00-022_Август/c1df8e0c-3be7-4a37-a981-9ee0c4af1af3.jpg","open")</f>
        <v/>
      </c>
      <c r="C1756" t="inlineStr">
        <is>
          <t>1c951e11-4940-43c6-a447-394097e5609a</t>
        </is>
      </c>
      <c r="D1756" t="n">
        <v>55.81071</v>
      </c>
      <c r="E1756" t="n">
        <v>37.53935</v>
      </c>
      <c r="F1756" t="inlineStr"/>
      <c r="G1756" t="inlineStr"/>
      <c r="H1756" t="inlineStr"/>
    </row>
    <row r="1757">
      <c r="A1757" t="inlineStr">
        <is>
          <t>043f37fd-515b-4d68-b490-8d63e0d5f815.jpg</t>
        </is>
      </c>
      <c r="B1757">
        <f>HYPERLINK("Объекты недвижимости, не соответствующие градостроительным нормам_00-022_Август/043f37fd-515b-4d68-b490-8d63e0d5f815.jpg","open")</f>
        <v/>
      </c>
      <c r="C1757" t="inlineStr">
        <is>
          <t>8cde1fd0-eca1-4510-86ab-3c743b65fdfc</t>
        </is>
      </c>
      <c r="D1757" t="n">
        <v>55.81071</v>
      </c>
      <c r="E1757" t="n">
        <v>37.53935</v>
      </c>
      <c r="F1757" t="inlineStr"/>
      <c r="G1757" t="inlineStr"/>
      <c r="H1757" t="inlineStr"/>
    </row>
    <row r="1758">
      <c r="A1758" t="inlineStr">
        <is>
          <t>fc037298-a5ba-492f-bc21-2b8139c7c1e9.jpg</t>
        </is>
      </c>
      <c r="B1758">
        <f>HYPERLINK("Объекты недвижимости, не соответствующие градостроительным нормам_00-022_Август/fc037298-a5ba-492f-bc21-2b8139c7c1e9.jpg","open")</f>
        <v/>
      </c>
      <c r="C1758" t="inlineStr">
        <is>
          <t>8cde1fd0-eca1-4510-86ab-3c743b65fdfc</t>
        </is>
      </c>
      <c r="D1758" t="n">
        <v>55.81071</v>
      </c>
      <c r="E1758" t="n">
        <v>37.53935</v>
      </c>
      <c r="F1758" t="inlineStr"/>
      <c r="G1758" t="inlineStr"/>
      <c r="H1758" t="inlineStr"/>
    </row>
    <row r="1759">
      <c r="A1759" t="inlineStr">
        <is>
          <t>ad1eefbe-5a68-43d9-a97e-286581085469.jpg</t>
        </is>
      </c>
      <c r="B1759">
        <f>HYPERLINK("Объекты недвижимости, не соответствующие градостроительным нормам_00-022_Август/ad1eefbe-5a68-43d9-a97e-286581085469.jpg","open")</f>
        <v/>
      </c>
      <c r="C1759" t="inlineStr">
        <is>
          <t>1c951e11-4940-43c6-a447-394097e5609a</t>
        </is>
      </c>
      <c r="D1759" t="n">
        <v>55.81071</v>
      </c>
      <c r="E1759" t="n">
        <v>37.53935</v>
      </c>
      <c r="F1759" t="inlineStr"/>
      <c r="G1759" t="inlineStr"/>
      <c r="H1759" t="inlineStr"/>
    </row>
    <row r="1760">
      <c r="A1760" t="inlineStr">
        <is>
          <t>f118e105-13e6-4dd9-9506-2559c65ddbe0.jpg</t>
        </is>
      </c>
      <c r="B1760">
        <f>HYPERLINK("Объекты недвижимости, не соответствующие градостроительным нормам_00-022_Август/f118e105-13e6-4dd9-9506-2559c65ddbe0.jpg","open")</f>
        <v/>
      </c>
      <c r="C1760" t="inlineStr">
        <is>
          <t>8cde1fd0-eca1-4510-86ab-3c743b65fdfc</t>
        </is>
      </c>
      <c r="D1760" t="n">
        <v>55.81071</v>
      </c>
      <c r="E1760" t="n">
        <v>37.53935</v>
      </c>
      <c r="F1760" t="inlineStr"/>
      <c r="G1760" t="inlineStr"/>
      <c r="H1760" t="inlineStr"/>
    </row>
    <row r="1761">
      <c r="A1761" t="inlineStr">
        <is>
          <t>5bf8ab92-ecc4-4b5d-8134-28a62ddec7c3.jpg</t>
        </is>
      </c>
      <c r="B1761">
        <f>HYPERLINK("Объекты недвижимости, не соответствующие градостроительным нормам_00-022_Август/5bf8ab92-ecc4-4b5d-8134-28a62ddec7c3.jpg","open")</f>
        <v/>
      </c>
      <c r="C1761" t="inlineStr">
        <is>
          <t>1c951e11-4940-43c6-a447-394097e5609a</t>
        </is>
      </c>
      <c r="D1761" t="n">
        <v>55.81071</v>
      </c>
      <c r="E1761" t="n">
        <v>37.53935</v>
      </c>
      <c r="F1761" t="inlineStr"/>
      <c r="G1761" t="inlineStr"/>
      <c r="H1761" t="inlineStr"/>
    </row>
    <row r="1762">
      <c r="A1762" t="inlineStr">
        <is>
          <t>950286c6-bf23-4226-89e5-91deb2232314.jpg</t>
        </is>
      </c>
      <c r="B1762">
        <f>HYPERLINK("Объекты недвижимости, не соответствующие градостроительным нормам_00-022_Август/950286c6-bf23-4226-89e5-91deb2232314.jpg","open")</f>
        <v/>
      </c>
      <c r="C1762" t="inlineStr">
        <is>
          <t>8cde1fd0-eca1-4510-86ab-3c743b65fdfc</t>
        </is>
      </c>
      <c r="D1762" t="n">
        <v>55.81071</v>
      </c>
      <c r="E1762" t="n">
        <v>37.53935</v>
      </c>
      <c r="F1762" t="inlineStr"/>
      <c r="G1762" t="inlineStr"/>
      <c r="H1762" t="inlineStr"/>
    </row>
    <row r="1763">
      <c r="A1763" t="inlineStr">
        <is>
          <t>131bc58b-5348-4797-a5bb-00da31e91673.jpg</t>
        </is>
      </c>
      <c r="B1763">
        <f>HYPERLINK("Объекты недвижимости, не соответствующие градостроительным нормам_00-022_Август/131bc58b-5348-4797-a5bb-00da31e91673.jpg","open")</f>
        <v/>
      </c>
      <c r="C1763" t="inlineStr">
        <is>
          <t>8996eb30-6497-4318-8a0e-b95314b8172e</t>
        </is>
      </c>
      <c r="D1763" t="n">
        <v>55.67004</v>
      </c>
      <c r="E1763" t="n">
        <v>37.55651</v>
      </c>
      <c r="F1763" t="inlineStr"/>
      <c r="G1763" t="inlineStr"/>
      <c r="H1763" t="inlineStr"/>
    </row>
    <row r="1764">
      <c r="A1764" t="inlineStr">
        <is>
          <t>b0af5560-4374-418b-85a5-0aa173c7244b.jpg</t>
        </is>
      </c>
      <c r="B1764">
        <f>HYPERLINK("Объекты недвижимости, не соответствующие градостроительным нормам_00-022_Август/b0af5560-4374-418b-85a5-0aa173c7244b.jpg","open")</f>
        <v/>
      </c>
      <c r="C1764" t="inlineStr">
        <is>
          <t>1c951e11-4940-43c6-a447-394097e5609a</t>
        </is>
      </c>
      <c r="D1764" t="n">
        <v>55.81071</v>
      </c>
      <c r="E1764" t="n">
        <v>37.53935</v>
      </c>
      <c r="F1764" t="inlineStr"/>
      <c r="G1764" t="inlineStr"/>
      <c r="H1764" t="inlineStr"/>
    </row>
    <row r="1765">
      <c r="A1765" t="inlineStr">
        <is>
          <t>751e319a-2915-4ab3-9c9a-f2fd1a310a5b.jpg</t>
        </is>
      </c>
      <c r="B1765">
        <f>HYPERLINK("Объекты недвижимости, не соответствующие градостроительным нормам_00-022_Август/751e319a-2915-4ab3-9c9a-f2fd1a310a5b.jpg","open")</f>
        <v/>
      </c>
      <c r="C1765" t="inlineStr">
        <is>
          <t>8cde1fd0-eca1-4510-86ab-3c743b65fdfc</t>
        </is>
      </c>
      <c r="D1765" t="n">
        <v>55.81071</v>
      </c>
      <c r="E1765" t="n">
        <v>37.53935</v>
      </c>
      <c r="F1765" t="inlineStr"/>
      <c r="G1765" t="inlineStr"/>
      <c r="H1765" t="inlineStr"/>
    </row>
    <row r="1766">
      <c r="A1766" t="inlineStr">
        <is>
          <t>83198da3-f6bf-4b87-8cf6-b65c56a27457.jpg</t>
        </is>
      </c>
      <c r="B1766">
        <f>HYPERLINK("Объекты недвижимости, не соответствующие градостроительным нормам_00-022_Август/83198da3-f6bf-4b87-8cf6-b65c56a27457.jpg","open")</f>
        <v/>
      </c>
      <c r="C1766" t="inlineStr">
        <is>
          <t>1c951e11-4940-43c6-a447-394097e5609a</t>
        </is>
      </c>
      <c r="D1766" t="n">
        <v>55.81071</v>
      </c>
      <c r="E1766" t="n">
        <v>37.53935</v>
      </c>
      <c r="F1766" t="inlineStr"/>
      <c r="G1766" t="inlineStr"/>
      <c r="H1766" t="inlineStr"/>
    </row>
    <row r="1767">
      <c r="A1767" t="inlineStr">
        <is>
          <t>0617eda5-3e10-4a20-af9c-50f5f6b80cb9.jpg</t>
        </is>
      </c>
      <c r="B1767">
        <f>HYPERLINK("Объекты недвижимости, не соответствующие градостроительным нормам_00-022_Август/0617eda5-3e10-4a20-af9c-50f5f6b80cb9.jpg","open")</f>
        <v/>
      </c>
      <c r="C1767" t="inlineStr">
        <is>
          <t>8cde1fd0-eca1-4510-86ab-3c743b65fdfc</t>
        </is>
      </c>
      <c r="D1767" t="n">
        <v>55.81071</v>
      </c>
      <c r="E1767" t="n">
        <v>37.53935</v>
      </c>
      <c r="F1767" t="inlineStr"/>
      <c r="G1767" t="inlineStr"/>
      <c r="H1767" t="inlineStr"/>
    </row>
    <row r="1768">
      <c r="A1768" t="inlineStr">
        <is>
          <t>574423c5-90df-42d4-8569-9c260c9dca06.jpg</t>
        </is>
      </c>
      <c r="B1768">
        <f>HYPERLINK("Объекты недвижимости, не соответствующие градостроительным нормам_00-022_Август/574423c5-90df-42d4-8569-9c260c9dca06.jpg","open")</f>
        <v/>
      </c>
      <c r="C1768" t="inlineStr">
        <is>
          <t>ed2bf0f1-3a66-4913-896e-4420a9796c0b</t>
        </is>
      </c>
      <c r="D1768" t="n">
        <v>55.8059</v>
      </c>
      <c r="E1768" t="n">
        <v>37.55562</v>
      </c>
      <c r="F1768" t="inlineStr"/>
      <c r="G1768" t="inlineStr"/>
      <c r="H1768" t="inlineStr"/>
    </row>
    <row r="1769">
      <c r="A1769" t="inlineStr">
        <is>
          <t>8ff63dd7-e774-413e-8ed1-dd8f27051b90.jpg</t>
        </is>
      </c>
      <c r="B1769">
        <f>HYPERLINK("Объекты недвижимости, не соответствующие градостроительным нормам_00-022_Август/8ff63dd7-e774-413e-8ed1-dd8f27051b90.jpg","open")</f>
        <v/>
      </c>
      <c r="C1769" t="inlineStr">
        <is>
          <t>8cde1fd0-eca1-4510-86ab-3c743b65fdfc</t>
        </is>
      </c>
      <c r="D1769" t="n">
        <v>55.81071</v>
      </c>
      <c r="E1769" t="n">
        <v>37.53935</v>
      </c>
      <c r="F1769" t="inlineStr"/>
      <c r="G1769" t="inlineStr"/>
      <c r="H1769" t="inlineStr"/>
    </row>
    <row r="1770">
      <c r="A1770" t="inlineStr">
        <is>
          <t>63dd42ad-1e89-404f-b0e7-e1cbb2b3f701.jpg</t>
        </is>
      </c>
      <c r="B1770">
        <f>HYPERLINK("Объекты недвижимости, не соответствующие градостроительным нормам_00-022_Август/63dd42ad-1e89-404f-b0e7-e1cbb2b3f701.jpg","open")</f>
        <v/>
      </c>
      <c r="C1770" t="inlineStr">
        <is>
          <t>1a55986c-2c3f-40c0-b3d1-014dce77832e</t>
        </is>
      </c>
      <c r="D1770" t="n">
        <v>55.80569</v>
      </c>
      <c r="E1770" t="n">
        <v>37.55543</v>
      </c>
      <c r="F1770" t="inlineStr"/>
      <c r="G1770" t="inlineStr"/>
      <c r="H1770" t="inlineStr"/>
    </row>
    <row r="1771">
      <c r="A1771" t="inlineStr">
        <is>
          <t>19583608-ada7-465f-8d8b-72d60c9ee0f3.jpg</t>
        </is>
      </c>
      <c r="B1771">
        <f>HYPERLINK("Объекты недвижимости, не соответствующие градостроительным нормам_00-022_Август/19583608-ada7-465f-8d8b-72d60c9ee0f3.jpg","open")</f>
        <v/>
      </c>
      <c r="C1771" t="inlineStr">
        <is>
          <t>8cde1fd0-eca1-4510-86ab-3c743b65fdfc</t>
        </is>
      </c>
      <c r="D1771" t="n">
        <v>55.81071</v>
      </c>
      <c r="E1771" t="n">
        <v>37.53935</v>
      </c>
      <c r="F1771" t="inlineStr"/>
      <c r="G1771" t="inlineStr"/>
      <c r="H1771" t="inlineStr"/>
    </row>
    <row r="1772">
      <c r="A1772" t="inlineStr">
        <is>
          <t>75b30a14-752c-40bf-8942-0213b485ecc7.jpg</t>
        </is>
      </c>
      <c r="B1772">
        <f>HYPERLINK("Объекты недвижимости, не соответствующие градостроительным нормам_00-022_Август/75b30a14-752c-40bf-8942-0213b485ecc7.jpg","open")</f>
        <v/>
      </c>
      <c r="C1772" t="inlineStr">
        <is>
          <t>8cde1fd0-eca1-4510-86ab-3c743b65fdfc</t>
        </is>
      </c>
      <c r="D1772" t="n">
        <v>55.81071</v>
      </c>
      <c r="E1772" t="n">
        <v>37.53935</v>
      </c>
      <c r="F1772" t="inlineStr"/>
      <c r="G1772" t="inlineStr"/>
      <c r="H1772" t="inlineStr"/>
    </row>
    <row r="1773">
      <c r="A1773" t="inlineStr">
        <is>
          <t>417d4c81-2650-4df7-88f9-0004ab412b66.jpg</t>
        </is>
      </c>
      <c r="B1773">
        <f>HYPERLINK("Объекты недвижимости, не соответствующие градостроительным нормам_00-022_Август/417d4c81-2650-4df7-88f9-0004ab412b66.jpg","open")</f>
        <v/>
      </c>
      <c r="C1773" t="inlineStr">
        <is>
          <t>caa4772d-6278-4484-a046-ee25514bf521</t>
        </is>
      </c>
      <c r="D1773" t="n">
        <v>55.83665</v>
      </c>
      <c r="E1773" t="n">
        <v>37.64549</v>
      </c>
      <c r="F1773" t="inlineStr"/>
      <c r="G1773" t="inlineStr"/>
      <c r="H1773" t="inlineStr"/>
    </row>
    <row r="1774">
      <c r="A1774" t="inlineStr">
        <is>
          <t>ae0611bf-eebb-4d96-a82b-a1ed5d346b64.jpg</t>
        </is>
      </c>
      <c r="B1774">
        <f>HYPERLINK("Объекты недвижимости, не соответствующие градостроительным нормам_00-022_Август/ae0611bf-eebb-4d96-a82b-a1ed5d346b64.jpg","open")</f>
        <v/>
      </c>
      <c r="C1774" t="inlineStr">
        <is>
          <t>1c951e11-4940-43c6-a447-394097e5609a</t>
        </is>
      </c>
      <c r="D1774" t="n">
        <v>55.81071</v>
      </c>
      <c r="E1774" t="n">
        <v>37.53935</v>
      </c>
      <c r="F1774" t="inlineStr"/>
      <c r="G1774" t="inlineStr"/>
      <c r="H1774" t="inlineStr"/>
    </row>
    <row r="1775">
      <c r="A1775" t="inlineStr">
        <is>
          <t>a5c954dc-5149-4150-b80e-caed0ef859db.jpg</t>
        </is>
      </c>
      <c r="B1775">
        <f>HYPERLINK("Объекты недвижимости, не соответствующие градостроительным нормам_00-022_Август/a5c954dc-5149-4150-b80e-caed0ef859db.jpg","open")</f>
        <v/>
      </c>
      <c r="C1775" t="inlineStr">
        <is>
          <t>8cde1fd0-eca1-4510-86ab-3c743b65fdfc</t>
        </is>
      </c>
      <c r="D1775" t="n">
        <v>55.81071</v>
      </c>
      <c r="E1775" t="n">
        <v>37.53935</v>
      </c>
      <c r="F1775" t="inlineStr"/>
      <c r="G1775" t="inlineStr"/>
      <c r="H1775" t="inlineStr"/>
    </row>
    <row r="1776">
      <c r="A1776" t="inlineStr">
        <is>
          <t>83f37505-343b-4418-a2b7-61e2a8f81695.jpg</t>
        </is>
      </c>
      <c r="B1776">
        <f>HYPERLINK("Объекты недвижимости, не соответствующие градостроительным нормам_00-022_Август/83f37505-343b-4418-a2b7-61e2a8f81695.jpg","open")</f>
        <v/>
      </c>
      <c r="C1776" t="inlineStr">
        <is>
          <t>fce890a6-27da-4062-a046-08262a160ee6</t>
        </is>
      </c>
      <c r="D1776" t="n">
        <v>55.7662</v>
      </c>
      <c r="E1776" t="n">
        <v>37.6831</v>
      </c>
      <c r="F1776" t="inlineStr"/>
      <c r="G1776" t="inlineStr"/>
      <c r="H1776" t="inlineStr"/>
    </row>
    <row r="1777">
      <c r="A1777" t="inlineStr">
        <is>
          <t>7f767ef5-9661-4d11-8915-518071aa595f.jpg</t>
        </is>
      </c>
      <c r="B1777">
        <f>HYPERLINK("Объекты недвижимости, не соответствующие градостроительным нормам_00-022_Август/7f767ef5-9661-4d11-8915-518071aa595f.jpg","open")</f>
        <v/>
      </c>
      <c r="C1777" t="inlineStr">
        <is>
          <t>91248771-2c4d-44f3-b3cf-d536bd4ae73c</t>
        </is>
      </c>
      <c r="D1777" t="n">
        <v>55.00894</v>
      </c>
      <c r="E1777" t="n">
        <v>82.65208</v>
      </c>
      <c r="F1777" t="inlineStr"/>
      <c r="G1777" t="inlineStr"/>
      <c r="H1777" t="inlineStr"/>
    </row>
    <row r="1778">
      <c r="A1778" t="inlineStr">
        <is>
          <t>6684f96c-496f-4771-8b50-382ac6c5d79f.jpg</t>
        </is>
      </c>
      <c r="B1778">
        <f>HYPERLINK("Объекты недвижимости, не соответствующие градостроительным нормам_00-022_Август/6684f96c-496f-4771-8b50-382ac6c5d79f.jpg","open")</f>
        <v/>
      </c>
      <c r="C1778" t="inlineStr">
        <is>
          <t>8cde1fd0-eca1-4510-86ab-3c743b65fdfc</t>
        </is>
      </c>
      <c r="D1778" t="n">
        <v>55.81071</v>
      </c>
      <c r="E1778" t="n">
        <v>37.53935</v>
      </c>
      <c r="F1778" t="inlineStr"/>
      <c r="G1778" t="inlineStr"/>
      <c r="H1778" t="inlineStr"/>
    </row>
    <row r="1779">
      <c r="A1779" t="inlineStr">
        <is>
          <t>a1dead09-43d9-4189-9e2d-5f36aac7a1d2.jpg</t>
        </is>
      </c>
      <c r="B1779">
        <f>HYPERLINK("Объекты недвижимости, не соответствующие градостроительным нормам_00-022_Август/a1dead09-43d9-4189-9e2d-5f36aac7a1d2.jpg","open")</f>
        <v/>
      </c>
      <c r="C1779" t="inlineStr">
        <is>
          <t>ab4e767f-65c0-455b-af20-a5527124fd21</t>
        </is>
      </c>
      <c r="D1779" t="n">
        <v>55.96711</v>
      </c>
      <c r="E1779" t="n">
        <v>37.42586</v>
      </c>
      <c r="F1779" t="inlineStr"/>
      <c r="G1779" t="inlineStr"/>
      <c r="H1779" t="inlineStr"/>
    </row>
    <row r="1780">
      <c r="A1780" t="inlineStr">
        <is>
          <t>05ae399d-370e-4858-99fb-294ad1e316a0.jpg</t>
        </is>
      </c>
      <c r="B1780">
        <f>HYPERLINK("Объекты недвижимости, не соответствующие градостроительным нормам_00-022_Август/05ae399d-370e-4858-99fb-294ad1e316a0.jpg","open")</f>
        <v/>
      </c>
      <c r="C1780" t="inlineStr">
        <is>
          <t>f6f80c84-5569-48fd-b627-6f41ce4c61c4</t>
        </is>
      </c>
      <c r="D1780" t="n">
        <v>55.83675</v>
      </c>
      <c r="E1780" t="n">
        <v>37.64531</v>
      </c>
      <c r="F1780" t="inlineStr"/>
      <c r="G1780" t="inlineStr"/>
      <c r="H1780" t="inlineStr"/>
    </row>
    <row r="1781">
      <c r="A1781" t="inlineStr">
        <is>
          <t>06efe11f-e866-47ad-acba-050ee38b4a18.jpg</t>
        </is>
      </c>
      <c r="B1781">
        <f>HYPERLINK("Объекты недвижимости, не соответствующие градостроительным нормам_00-022_Август/06efe11f-e866-47ad-acba-050ee38b4a18.jpg","open")</f>
        <v/>
      </c>
      <c r="C1781" t="inlineStr">
        <is>
          <t>ed2bf0f1-3a66-4913-896e-4420a9796c0b</t>
        </is>
      </c>
      <c r="D1781" t="n">
        <v>55.81329</v>
      </c>
      <c r="E1781" t="n">
        <v>37.55675</v>
      </c>
      <c r="F1781" t="inlineStr"/>
      <c r="G1781" t="inlineStr"/>
      <c r="H1781" t="inlineStr"/>
    </row>
    <row r="1782">
      <c r="A1782" t="inlineStr">
        <is>
          <t>29963dee-2a05-4163-af56-15b82c50d763.jpg</t>
        </is>
      </c>
      <c r="B1782">
        <f>HYPERLINK("Объекты недвижимости, не соответствующие градостроительным нормам_00-022_Август/29963dee-2a05-4163-af56-15b82c50d763.jpg","open")</f>
        <v/>
      </c>
      <c r="C1782" t="inlineStr">
        <is>
          <t>91248771-2c4d-44f3-b3cf-d536bd4ae73c</t>
        </is>
      </c>
      <c r="D1782" t="n">
        <v>55.00894</v>
      </c>
      <c r="E1782" t="n">
        <v>82.65208</v>
      </c>
      <c r="F1782" t="inlineStr"/>
      <c r="G1782" t="inlineStr"/>
      <c r="H1782" t="inlineStr"/>
    </row>
    <row r="1783">
      <c r="A1783" t="inlineStr">
        <is>
          <t>57c7b405-c227-446b-b4c5-4536fa2b7f66.jpg</t>
        </is>
      </c>
      <c r="B1783">
        <f>HYPERLINK("Объекты недвижимости, не соответствующие градостроительным нормам_00-022_Август/57c7b405-c227-446b-b4c5-4536fa2b7f66.jpg","open")</f>
        <v/>
      </c>
      <c r="C1783" t="inlineStr">
        <is>
          <t>8cde1fd0-eca1-4510-86ab-3c743b65fdfc</t>
        </is>
      </c>
      <c r="D1783" t="n">
        <v>55.81071</v>
      </c>
      <c r="E1783" t="n">
        <v>37.53935</v>
      </c>
      <c r="F1783" t="inlineStr"/>
      <c r="G1783" t="inlineStr"/>
      <c r="H1783" t="inlineStr"/>
    </row>
    <row r="1784">
      <c r="A1784" t="inlineStr">
        <is>
          <t>62d249ba-bf13-492e-a997-41735081db7f.jpg</t>
        </is>
      </c>
      <c r="B1784">
        <f>HYPERLINK("Объекты недвижимости, не соответствующие градостроительным нормам_00-022_Август/62d249ba-bf13-492e-a997-41735081db7f.jpg","open")</f>
        <v/>
      </c>
      <c r="C1784" t="inlineStr">
        <is>
          <t>1a55986c-2c3f-40c0-b3d1-014dce77832e</t>
        </is>
      </c>
      <c r="D1784" t="n">
        <v>55.7972</v>
      </c>
      <c r="E1784" t="n">
        <v>37.67496</v>
      </c>
      <c r="F1784" t="inlineStr"/>
      <c r="G1784" t="inlineStr"/>
      <c r="H1784" t="inlineStr"/>
    </row>
    <row r="1785">
      <c r="A1785" t="inlineStr">
        <is>
          <t>0cc794e1-40b7-47ea-bdb9-6367235f4f35.jpg</t>
        </is>
      </c>
      <c r="B1785">
        <f>HYPERLINK("Объекты недвижимости, не соответствующие градостроительным нормам_00-022_Август/0cc794e1-40b7-47ea-bdb9-6367235f4f35.jpg","open")</f>
        <v/>
      </c>
      <c r="C1785" t="inlineStr">
        <is>
          <t>9c930d0e-e445-452d-a046-325646b21ab7</t>
        </is>
      </c>
      <c r="D1785" t="n">
        <v>55.87027</v>
      </c>
      <c r="E1785" t="n">
        <v>37.65376</v>
      </c>
      <c r="F1785" t="inlineStr"/>
      <c r="G1785" t="inlineStr"/>
      <c r="H1785" t="inlineStr"/>
    </row>
    <row r="1786">
      <c r="A1786" t="inlineStr">
        <is>
          <t>8bb8e404-6e2e-4039-8ca4-a97d968f4b0b.jpg</t>
        </is>
      </c>
      <c r="B1786">
        <f>HYPERLINK("Объекты недвижимости, не соответствующие градостроительным нормам_00-022_Август/8bb8e404-6e2e-4039-8ca4-a97d968f4b0b.jpg","open")</f>
        <v/>
      </c>
      <c r="C1786" t="inlineStr">
        <is>
          <t>caa4772d-6278-4484-a046-ee25514bf521</t>
        </is>
      </c>
      <c r="D1786" t="n">
        <v>55.79461</v>
      </c>
      <c r="E1786" t="n">
        <v>37.69502</v>
      </c>
      <c r="F1786" t="inlineStr"/>
      <c r="G1786" t="inlineStr"/>
      <c r="H1786" t="inlineStr"/>
    </row>
    <row r="1787">
      <c r="A1787" t="inlineStr">
        <is>
          <t>90fbf6e8-a065-4da0-9a88-4b8f1ef01590.jpg</t>
        </is>
      </c>
      <c r="B1787">
        <f>HYPERLINK("Объекты недвижимости, не соответствующие градостроительным нормам_00-022_Август/90fbf6e8-a065-4da0-9a88-4b8f1ef01590.jpg","open")</f>
        <v/>
      </c>
      <c r="C1787" t="inlineStr">
        <is>
          <t>1c951e11-4940-43c6-a447-394097e5609a</t>
        </is>
      </c>
      <c r="D1787" t="n">
        <v>54.28594</v>
      </c>
      <c r="E1787" t="n">
        <v>37.41013</v>
      </c>
      <c r="F1787" t="inlineStr"/>
      <c r="G1787" t="inlineStr"/>
      <c r="H1787" t="inlineStr"/>
    </row>
    <row r="1788">
      <c r="A1788" t="inlineStr">
        <is>
          <t>dd273b40-b9a7-48cc-bbf5-17ff1fb2fa73.jpg</t>
        </is>
      </c>
      <c r="B1788">
        <f>HYPERLINK("Объекты недвижимости, не соответствующие градостроительным нормам_00-022_Август/dd273b40-b9a7-48cc-bbf5-17ff1fb2fa73.jpg","open")</f>
        <v/>
      </c>
      <c r="C1788" t="inlineStr">
        <is>
          <t>8cde1fd0-eca1-4510-86ab-3c743b65fdfc</t>
        </is>
      </c>
      <c r="D1788" t="n">
        <v>54.28594</v>
      </c>
      <c r="E1788" t="n">
        <v>37.41013</v>
      </c>
      <c r="F1788" t="inlineStr"/>
      <c r="G1788" t="inlineStr"/>
      <c r="H1788" t="inlineStr"/>
    </row>
    <row r="1789">
      <c r="A1789" t="inlineStr">
        <is>
          <t>415b9bab-4c76-4153-8eda-85a008f9a2e5.jpg</t>
        </is>
      </c>
      <c r="B1789">
        <f>HYPERLINK("Объекты недвижимости, не соответствующие градостроительным нормам_00-022_Август/415b9bab-4c76-4153-8eda-85a008f9a2e5.jpg","open")</f>
        <v/>
      </c>
      <c r="C1789" t="inlineStr">
        <is>
          <t>1c951e11-4940-43c6-a447-394097e5609a</t>
        </is>
      </c>
      <c r="D1789" t="n">
        <v>54.28594</v>
      </c>
      <c r="E1789" t="n">
        <v>37.41013</v>
      </c>
      <c r="F1789" t="inlineStr"/>
      <c r="G1789" t="inlineStr"/>
      <c r="H1789" t="inlineStr"/>
    </row>
    <row r="1790">
      <c r="A1790" t="inlineStr">
        <is>
          <t>d4b8bfaf-1533-4f32-9ba3-b80b37d3d9f2.jpg</t>
        </is>
      </c>
      <c r="B1790">
        <f>HYPERLINK("Объекты недвижимости, не соответствующие градостроительным нормам_00-022_Август/d4b8bfaf-1533-4f32-9ba3-b80b37d3d9f2.jpg","open")</f>
        <v/>
      </c>
      <c r="C1790" t="inlineStr">
        <is>
          <t>8cde1fd0-eca1-4510-86ab-3c743b65fdfc</t>
        </is>
      </c>
      <c r="D1790" t="n">
        <v>54.28594</v>
      </c>
      <c r="E1790" t="n">
        <v>37.41013</v>
      </c>
      <c r="F1790" t="inlineStr"/>
      <c r="G1790" t="inlineStr"/>
      <c r="H1790" t="inlineStr"/>
    </row>
    <row r="1791">
      <c r="A1791" t="inlineStr">
        <is>
          <t>cff8f496-785a-4c12-85f6-3d67df40a67c.jpg</t>
        </is>
      </c>
      <c r="B1791">
        <f>HYPERLINK("Объекты недвижимости, не соответствующие градостроительным нормам_00-022_Август/cff8f496-785a-4c12-85f6-3d67df40a67c.jpg","open")</f>
        <v/>
      </c>
      <c r="C1791" t="inlineStr">
        <is>
          <t>1c951e11-4940-43c6-a447-394097e5609a</t>
        </is>
      </c>
      <c r="D1791" t="n">
        <v>54.28594</v>
      </c>
      <c r="E1791" t="n">
        <v>37.41013</v>
      </c>
      <c r="F1791" t="inlineStr"/>
      <c r="G1791" t="inlineStr"/>
      <c r="H1791" t="inlineStr"/>
    </row>
    <row r="1792">
      <c r="A1792" t="inlineStr">
        <is>
          <t>3555e7da-d31a-4e42-9539-df5717c8c2a1.jpg</t>
        </is>
      </c>
      <c r="B1792">
        <f>HYPERLINK("Объекты недвижимости, не соответствующие градостроительным нормам_00-022_Август/3555e7da-d31a-4e42-9539-df5717c8c2a1.jpg","open")</f>
        <v/>
      </c>
      <c r="C1792" t="inlineStr">
        <is>
          <t>8cde1fd0-eca1-4510-86ab-3c743b65fdfc</t>
        </is>
      </c>
      <c r="D1792" t="n">
        <v>54.28594</v>
      </c>
      <c r="E1792" t="n">
        <v>37.41013</v>
      </c>
      <c r="F1792" t="inlineStr"/>
      <c r="G1792" t="inlineStr"/>
      <c r="H1792" t="inlineStr"/>
    </row>
    <row r="1793">
      <c r="A1793" t="inlineStr">
        <is>
          <t>01366689-a95a-4e5d-a931-665ff7c7a291.jpg</t>
        </is>
      </c>
      <c r="B1793">
        <f>HYPERLINK("Объекты недвижимости, не соответствующие градостроительным нормам_00-022_Август/01366689-a95a-4e5d-a931-665ff7c7a291.jpg","open")</f>
        <v/>
      </c>
      <c r="C1793" t="inlineStr">
        <is>
          <t>8cde1fd0-eca1-4510-86ab-3c743b65fdfc</t>
        </is>
      </c>
      <c r="D1793" t="n">
        <v>54.28594</v>
      </c>
      <c r="E1793" t="n">
        <v>37.41013</v>
      </c>
      <c r="F1793" t="inlineStr"/>
      <c r="G1793" t="inlineStr"/>
      <c r="H1793" t="inlineStr"/>
    </row>
    <row r="1794">
      <c r="A1794" t="inlineStr">
        <is>
          <t>4cf403e1-79ba-4d6a-8ee7-40b82b159bcb.jpg</t>
        </is>
      </c>
      <c r="B1794">
        <f>HYPERLINK("Объекты недвижимости, не соответствующие градостроительным нормам_00-022_Август/4cf403e1-79ba-4d6a-8ee7-40b82b159bcb.jpg","open")</f>
        <v/>
      </c>
      <c r="C1794" t="inlineStr">
        <is>
          <t>8cde1fd0-eca1-4510-86ab-3c743b65fdfc</t>
        </is>
      </c>
      <c r="D1794" t="n">
        <v>54.28594</v>
      </c>
      <c r="E1794" t="n">
        <v>37.41013</v>
      </c>
      <c r="F1794" t="inlineStr"/>
      <c r="G1794" t="inlineStr"/>
      <c r="H1794" t="inlineStr"/>
    </row>
    <row r="1795">
      <c r="A1795" t="inlineStr">
        <is>
          <t>4020cf59-84e8-4c59-8d62-6f4bea8d8539.jpg</t>
        </is>
      </c>
      <c r="B1795">
        <f>HYPERLINK("Объекты недвижимости, не соответствующие градостроительным нормам_00-022_Август/4020cf59-84e8-4c59-8d62-6f4bea8d8539.jpg","open")</f>
        <v/>
      </c>
      <c r="C1795" t="inlineStr">
        <is>
          <t>8cde1fd0-eca1-4510-86ab-3c743b65fdfc</t>
        </is>
      </c>
      <c r="D1795" t="n">
        <v>54.28594</v>
      </c>
      <c r="E1795" t="n">
        <v>37.41013</v>
      </c>
      <c r="F1795" t="inlineStr"/>
      <c r="G1795" t="inlineStr"/>
      <c r="H1795" t="inlineStr"/>
    </row>
    <row r="1796">
      <c r="A1796" t="inlineStr">
        <is>
          <t>82f1c3c7-13d5-494f-a4bf-4cc617271739.jpg</t>
        </is>
      </c>
      <c r="B1796">
        <f>HYPERLINK("Объекты недвижимости, не соответствующие градостроительным нормам_00-022_Август/82f1c3c7-13d5-494f-a4bf-4cc617271739.jpg","open")</f>
        <v/>
      </c>
      <c r="C1796" t="inlineStr">
        <is>
          <t>1c951e11-4940-43c6-a447-394097e5609a</t>
        </is>
      </c>
      <c r="D1796" t="n">
        <v>54.28594</v>
      </c>
      <c r="E1796" t="n">
        <v>37.41013</v>
      </c>
      <c r="F1796" t="inlineStr"/>
      <c r="G1796" t="inlineStr"/>
      <c r="H1796" t="inlineStr"/>
    </row>
    <row r="1797">
      <c r="A1797" t="inlineStr">
        <is>
          <t>340b5f2c-18eb-4dd1-9c11-5b8415269b03.jpg</t>
        </is>
      </c>
      <c r="B1797">
        <f>HYPERLINK("Объекты недвижимости, не соответствующие градостроительным нормам_00-022_Август/340b5f2c-18eb-4dd1-9c11-5b8415269b03.jpg","open")</f>
        <v/>
      </c>
      <c r="C1797" t="inlineStr">
        <is>
          <t>1c951e11-4940-43c6-a447-394097e5609a</t>
        </is>
      </c>
      <c r="D1797" t="n">
        <v>55.68167</v>
      </c>
      <c r="E1797" t="n">
        <v>37.77694</v>
      </c>
      <c r="F1797" t="inlineStr"/>
      <c r="G1797" t="inlineStr"/>
      <c r="H1797" t="inlineStr"/>
    </row>
    <row r="1798">
      <c r="A1798" t="inlineStr">
        <is>
          <t>ad5b8907-9b8b-4875-bc56-31883d6a5da8.jpg</t>
        </is>
      </c>
      <c r="B1798">
        <f>HYPERLINK("Объекты недвижимости, не соответствующие градостроительным нормам_00-022_Август/ad5b8907-9b8b-4875-bc56-31883d6a5da8.jpg","open")</f>
        <v/>
      </c>
      <c r="C1798" t="inlineStr">
        <is>
          <t>1c951e11-4940-43c6-a447-394097e5609a</t>
        </is>
      </c>
      <c r="D1798" t="n">
        <v>55.68168</v>
      </c>
      <c r="E1798" t="n">
        <v>37.7769</v>
      </c>
      <c r="F1798" t="inlineStr"/>
      <c r="G1798" t="inlineStr"/>
      <c r="H1798" t="inlineStr"/>
    </row>
    <row r="1799">
      <c r="A1799" t="inlineStr">
        <is>
          <t>47ed6821-1042-4ae7-944d-931de6c12a84.jpg</t>
        </is>
      </c>
      <c r="B1799">
        <f>HYPERLINK("Объекты недвижимости, не соответствующие градостроительным нормам_00-022_Август/47ed6821-1042-4ae7-944d-931de6c12a84.jpg","open")</f>
        <v/>
      </c>
      <c r="C1799" t="inlineStr">
        <is>
          <t>8cde1fd0-eca1-4510-86ab-3c743b65fdfc</t>
        </is>
      </c>
      <c r="D1799" t="n">
        <v>55.68349</v>
      </c>
      <c r="E1799" t="n">
        <v>37.7777</v>
      </c>
      <c r="F1799" t="inlineStr"/>
      <c r="G1799" t="inlineStr"/>
      <c r="H1799" t="inlineStr"/>
    </row>
    <row r="1800">
      <c r="A1800" t="inlineStr">
        <is>
          <t>24f112de-6b89-416b-b57d-6bfd28f753d0.jpg</t>
        </is>
      </c>
      <c r="B1800">
        <f>HYPERLINK("Объекты недвижимости, не соответствующие градостроительным нормам_00-022_Август/24f112de-6b89-416b-b57d-6bfd28f753d0.jpg","open")</f>
        <v/>
      </c>
      <c r="C1800" t="inlineStr">
        <is>
          <t>8cde1fd0-eca1-4510-86ab-3c743b65fdfc</t>
        </is>
      </c>
      <c r="D1800" t="n">
        <v>55.68368</v>
      </c>
      <c r="E1800" t="n">
        <v>37.77797</v>
      </c>
      <c r="F1800" t="inlineStr"/>
      <c r="G1800" t="inlineStr"/>
      <c r="H1800" t="inlineStr"/>
    </row>
    <row r="1801">
      <c r="A1801" t="inlineStr">
        <is>
          <t>2b1be258-0d8a-488b-9d5d-1f63f6ea8272.jpg</t>
        </is>
      </c>
      <c r="B1801">
        <f>HYPERLINK("Объекты недвижимости, не соответствующие градостроительным нормам_00-022_Август/2b1be258-0d8a-488b-9d5d-1f63f6ea8272.jpg","open")</f>
        <v/>
      </c>
      <c r="C1801" t="inlineStr">
        <is>
          <t>8cde1fd0-eca1-4510-86ab-3c743b65fdfc</t>
        </is>
      </c>
      <c r="D1801" t="n">
        <v>55.68298</v>
      </c>
      <c r="E1801" t="n">
        <v>37.77593</v>
      </c>
      <c r="F1801" t="inlineStr"/>
      <c r="G1801" t="inlineStr"/>
      <c r="H1801" t="inlineStr"/>
    </row>
    <row r="1802">
      <c r="A1802" t="inlineStr">
        <is>
          <t>51f4d8ec-ecf7-4fd8-84a4-03646c9a47d1.jpg</t>
        </is>
      </c>
      <c r="B1802">
        <f>HYPERLINK("Объекты недвижимости, не соответствующие градостроительным нормам_00-022_Август/51f4d8ec-ecf7-4fd8-84a4-03646c9a47d1.jpg","open")</f>
        <v/>
      </c>
      <c r="C1802" t="inlineStr">
        <is>
          <t>93848fc8-17e7-4748-9ebc-c7e379e11d2f</t>
        </is>
      </c>
      <c r="D1802" t="n">
        <v>55.58515</v>
      </c>
      <c r="E1802" t="n">
        <v>37.61368</v>
      </c>
      <c r="F1802" t="inlineStr"/>
      <c r="G1802" t="inlineStr"/>
      <c r="H1802" t="inlineStr"/>
    </row>
    <row r="1803">
      <c r="A1803" t="inlineStr">
        <is>
          <t>965d654b-4aeb-4a90-80bb-8c3bf43ca9eb.jpg</t>
        </is>
      </c>
      <c r="B1803">
        <f>HYPERLINK("Объекты недвижимости, не соответствующие градостроительным нормам_00-022_Август/965d654b-4aeb-4a90-80bb-8c3bf43ca9eb.jpg","open")</f>
        <v/>
      </c>
      <c r="C1803" t="inlineStr">
        <is>
          <t>8cde1fd0-eca1-4510-86ab-3c743b65fdfc</t>
        </is>
      </c>
      <c r="D1803" t="n">
        <v>55.68381</v>
      </c>
      <c r="E1803" t="n">
        <v>37.75655</v>
      </c>
      <c r="F1803" t="inlineStr"/>
      <c r="G1803" t="inlineStr"/>
      <c r="H1803" t="inlineStr"/>
    </row>
    <row r="1804">
      <c r="A1804" t="inlineStr">
        <is>
          <t>e78ead50-466b-4afb-9949-8ea5e8772d80.jpg</t>
        </is>
      </c>
      <c r="B1804">
        <f>HYPERLINK("Объекты недвижимости, не соответствующие градостроительным нормам_00-022_Август/e78ead50-466b-4afb-9949-8ea5e8772d80.jpg","open")</f>
        <v/>
      </c>
      <c r="C1804" t="inlineStr">
        <is>
          <t>93848fc8-17e7-4748-9ebc-c7e379e11d2f</t>
        </is>
      </c>
      <c r="D1804" t="n">
        <v>55.58514</v>
      </c>
      <c r="E1804" t="n">
        <v>37.61371</v>
      </c>
      <c r="F1804" t="inlineStr"/>
      <c r="G1804" t="inlineStr"/>
      <c r="H1804" t="inlineStr"/>
    </row>
    <row r="1805">
      <c r="A1805" t="inlineStr">
        <is>
          <t>80cef37c-2ddd-4c43-bbc4-0c0e49e87511.jpg</t>
        </is>
      </c>
      <c r="B1805">
        <f>HYPERLINK("Объекты недвижимости, не соответствующие градостроительным нормам_00-022_Август/80cef37c-2ddd-4c43-bbc4-0c0e49e87511.jpg","open")</f>
        <v/>
      </c>
      <c r="C1805" t="inlineStr">
        <is>
          <t>1c951e11-4940-43c6-a447-394097e5609a</t>
        </is>
      </c>
      <c r="D1805" t="n">
        <v>55.68706</v>
      </c>
      <c r="E1805" t="n">
        <v>37.75271</v>
      </c>
      <c r="F1805" t="inlineStr"/>
      <c r="G1805" t="inlineStr"/>
      <c r="H1805" t="inlineStr"/>
    </row>
    <row r="1806">
      <c r="A1806" t="inlineStr">
        <is>
          <t>1597552e-e3d7-4d46-96b3-9be455ba6aa0.jpg</t>
        </is>
      </c>
      <c r="B1806">
        <f>HYPERLINK("Объекты недвижимости, не соответствующие градостроительным нормам_00-022_Август/1597552e-e3d7-4d46-96b3-9be455ba6aa0.jpg","open")</f>
        <v/>
      </c>
      <c r="C1806" t="inlineStr">
        <is>
          <t>8cde1fd0-eca1-4510-86ab-3c743b65fdfc</t>
        </is>
      </c>
      <c r="D1806" t="n">
        <v>55.68501</v>
      </c>
      <c r="E1806" t="n">
        <v>37.73763</v>
      </c>
      <c r="F1806" t="inlineStr"/>
      <c r="G1806" t="inlineStr"/>
      <c r="H1806" t="inlineStr"/>
    </row>
    <row r="1807">
      <c r="A1807" t="inlineStr">
        <is>
          <t>997a1ec7-b444-4863-8edc-12b4a582ade4.jpg</t>
        </is>
      </c>
      <c r="B1807">
        <f>HYPERLINK("Объекты недвижимости, не соответствующие градостроительным нормам_00-022_Август/997a1ec7-b444-4863-8edc-12b4a582ade4.jpg","open")</f>
        <v/>
      </c>
      <c r="C1807" t="inlineStr">
        <is>
          <t>1c951e11-4940-43c6-a447-394097e5609a</t>
        </is>
      </c>
      <c r="D1807" t="n">
        <v>55.68502</v>
      </c>
      <c r="E1807" t="n">
        <v>37.73767</v>
      </c>
      <c r="F1807" t="inlineStr"/>
      <c r="G1807" t="inlineStr"/>
      <c r="H1807" t="inlineStr"/>
    </row>
    <row r="1808">
      <c r="A1808" t="inlineStr">
        <is>
          <t>9ed9ee35-2cbb-45ad-90e6-bf2a781ba8b2.jpg</t>
        </is>
      </c>
      <c r="B1808">
        <f>HYPERLINK("Объекты недвижимости, не соответствующие градостроительным нормам_00-022_Август/9ed9ee35-2cbb-45ad-90e6-bf2a781ba8b2.jpg","open")</f>
        <v/>
      </c>
      <c r="C1808" t="inlineStr">
        <is>
          <t>1c951e11-4940-43c6-a447-394097e5609a</t>
        </is>
      </c>
      <c r="D1808" t="n">
        <v>55.68517</v>
      </c>
      <c r="E1808" t="n">
        <v>37.74459</v>
      </c>
      <c r="F1808" t="inlineStr"/>
      <c r="G1808" t="inlineStr"/>
      <c r="H1808" t="inlineStr"/>
    </row>
    <row r="1809">
      <c r="A1809" t="inlineStr">
        <is>
          <t>cdd034b7-397e-47d6-9e56-1b2f1dcb96f1.jpg</t>
        </is>
      </c>
      <c r="B1809">
        <f>HYPERLINK("Объекты недвижимости, не соответствующие градостроительным нормам_00-022_Август/cdd034b7-397e-47d6-9e56-1b2f1dcb96f1.jpg","open")</f>
        <v/>
      </c>
      <c r="C1809" t="inlineStr">
        <is>
          <t>8cde1fd0-eca1-4510-86ab-3c743b65fdfc</t>
        </is>
      </c>
      <c r="D1809" t="n">
        <v>55.68357</v>
      </c>
      <c r="E1809" t="n">
        <v>37.74466</v>
      </c>
      <c r="F1809" t="inlineStr"/>
      <c r="G1809" t="inlineStr"/>
      <c r="H1809" t="inlineStr"/>
    </row>
    <row r="1810">
      <c r="A1810" t="inlineStr">
        <is>
          <t>d3a60926-4fb4-44fb-85e9-cc327c0902bc.jpg</t>
        </is>
      </c>
      <c r="B1810">
        <f>HYPERLINK("Объекты недвижимости, не соответствующие градостроительным нормам_00-022_Август/d3a60926-4fb4-44fb-85e9-cc327c0902bc.jpg","open")</f>
        <v/>
      </c>
      <c r="C1810" t="inlineStr">
        <is>
          <t>8cde1fd0-eca1-4510-86ab-3c743b65fdfc</t>
        </is>
      </c>
      <c r="D1810" t="n">
        <v>55.68398</v>
      </c>
      <c r="E1810" t="n">
        <v>37.74442</v>
      </c>
      <c r="F1810" t="inlineStr"/>
      <c r="G1810" t="inlineStr"/>
      <c r="H1810" t="inlineStr"/>
    </row>
    <row r="1811">
      <c r="A1811" t="inlineStr">
        <is>
          <t>8c6bf76b-32fe-47a6-9482-b385673f72fd.jpg</t>
        </is>
      </c>
      <c r="B1811">
        <f>HYPERLINK("Объекты недвижимости, не соответствующие градостроительным нормам_00-022_Август/8c6bf76b-32fe-47a6-9482-b385673f72fd.jpg","open")</f>
        <v/>
      </c>
      <c r="C1811" t="inlineStr">
        <is>
          <t>1c951e11-4940-43c6-a447-394097e5609a</t>
        </is>
      </c>
      <c r="D1811" t="n">
        <v>55.68397</v>
      </c>
      <c r="E1811" t="n">
        <v>37.74446</v>
      </c>
      <c r="F1811" t="inlineStr"/>
      <c r="G1811" t="inlineStr"/>
      <c r="H1811" t="inlineStr"/>
    </row>
    <row r="1812">
      <c r="A1812" t="inlineStr">
        <is>
          <t>1a34a36a-4094-434b-a0fd-8ce710cca767.jpg</t>
        </is>
      </c>
      <c r="B1812">
        <f>HYPERLINK("Объекты недвижимости, не соответствующие градостроительным нормам_00-022_Август/1a34a36a-4094-434b-a0fd-8ce710cca767.jpg","open")</f>
        <v/>
      </c>
      <c r="C1812" t="inlineStr">
        <is>
          <t>8cde1fd0-eca1-4510-86ab-3c743b65fdfc</t>
        </is>
      </c>
      <c r="D1812" t="n">
        <v>55.68316</v>
      </c>
      <c r="E1812" t="n">
        <v>37.73385</v>
      </c>
      <c r="F1812" t="inlineStr"/>
      <c r="G1812" t="inlineStr"/>
      <c r="H1812" t="inlineStr"/>
    </row>
    <row r="1813">
      <c r="A1813" t="inlineStr">
        <is>
          <t>23cbfd8e-0737-43ef-8bd4-483cb77c4135.jpg</t>
        </is>
      </c>
      <c r="B1813">
        <f>HYPERLINK("Объекты недвижимости, не соответствующие градостроительным нормам_00-022_Август/23cbfd8e-0737-43ef-8bd4-483cb77c4135.jpg","open")</f>
        <v/>
      </c>
      <c r="C1813" t="inlineStr">
        <is>
          <t>8996eb30-6497-4318-8a0e-b95314b8172e</t>
        </is>
      </c>
      <c r="D1813" t="n">
        <v>55.66714</v>
      </c>
      <c r="E1813" t="n">
        <v>37.55134</v>
      </c>
      <c r="F1813" t="inlineStr"/>
      <c r="G1813" t="inlineStr"/>
      <c r="H1813" t="inlineStr"/>
    </row>
    <row r="1814">
      <c r="A1814" t="inlineStr">
        <is>
          <t>1cd84718-6500-4390-8847-c8d504f740b4.jpg</t>
        </is>
      </c>
      <c r="B1814">
        <f>HYPERLINK("Объекты недвижимости, не соответствующие градостроительным нормам_00-022_Август/1cd84718-6500-4390-8847-c8d504f740b4.jpg","open")</f>
        <v/>
      </c>
      <c r="C1814" t="inlineStr">
        <is>
          <t>1c951e11-4940-43c6-a447-394097e5609a</t>
        </is>
      </c>
      <c r="D1814" t="n">
        <v>55.67366</v>
      </c>
      <c r="E1814" t="n">
        <v>37.73887</v>
      </c>
      <c r="F1814" t="inlineStr"/>
      <c r="G1814" t="inlineStr"/>
      <c r="H1814" t="inlineStr"/>
    </row>
    <row r="1815">
      <c r="A1815" t="inlineStr">
        <is>
          <t>8c9b406f-3ca8-43cb-bade-8e2b2f174188.jpg</t>
        </is>
      </c>
      <c r="B1815">
        <f>HYPERLINK("Объекты недвижимости, не соответствующие градостроительным нормам_00-022_Август/8c9b406f-3ca8-43cb-bade-8e2b2f174188.jpg","open")</f>
        <v/>
      </c>
      <c r="C1815" t="inlineStr">
        <is>
          <t>1c951e11-4940-43c6-a447-394097e5609a</t>
        </is>
      </c>
      <c r="D1815" t="n">
        <v>55.67398</v>
      </c>
      <c r="E1815" t="n">
        <v>37.73882</v>
      </c>
      <c r="F1815" t="inlineStr"/>
      <c r="G1815" t="inlineStr"/>
      <c r="H1815" t="inlineStr"/>
    </row>
    <row r="1816">
      <c r="A1816" t="inlineStr">
        <is>
          <t>3d1c9054-2401-4a2b-b88b-97a471acafd1.jpg</t>
        </is>
      </c>
      <c r="B1816">
        <f>HYPERLINK("Объекты недвижимости, не соответствующие градостроительным нормам_00-022_Август/3d1c9054-2401-4a2b-b88b-97a471acafd1.jpg","open")</f>
        <v/>
      </c>
      <c r="C1816" t="inlineStr">
        <is>
          <t>8cde1fd0-eca1-4510-86ab-3c743b65fdfc</t>
        </is>
      </c>
      <c r="D1816" t="n">
        <v>55.67411</v>
      </c>
      <c r="E1816" t="n">
        <v>37.73606</v>
      </c>
      <c r="F1816" t="inlineStr"/>
      <c r="G1816" t="inlineStr"/>
      <c r="H1816" t="inlineStr"/>
    </row>
    <row r="1817">
      <c r="A1817" t="inlineStr">
        <is>
          <t>590cbc57-7ea9-4afc-9d66-765603c2ac80.jpg</t>
        </is>
      </c>
      <c r="B1817">
        <f>HYPERLINK("Объекты недвижимости, не соответствующие градостроительным нормам_00-022_Август/590cbc57-7ea9-4afc-9d66-765603c2ac80.jpg","open")</f>
        <v/>
      </c>
      <c r="C1817" t="inlineStr">
        <is>
          <t>8cde1fd0-eca1-4510-86ab-3c743b65fdfc</t>
        </is>
      </c>
      <c r="D1817" t="n">
        <v>55.6741</v>
      </c>
      <c r="E1817" t="n">
        <v>37.73595</v>
      </c>
      <c r="F1817" t="inlineStr"/>
      <c r="G1817" t="inlineStr"/>
      <c r="H1817" t="inlineStr"/>
    </row>
    <row r="1818">
      <c r="A1818" t="inlineStr">
        <is>
          <t>1eb17995-a9de-460b-8653-f70c59288dd4.jpg</t>
        </is>
      </c>
      <c r="B1818">
        <f>HYPERLINK("Объекты недвижимости, не соответствующие градостроительным нормам_00-022_Август/1eb17995-a9de-460b-8653-f70c59288dd4.jpg","open")</f>
        <v/>
      </c>
      <c r="C1818" t="inlineStr">
        <is>
          <t>1c951e11-4940-43c6-a447-394097e5609a</t>
        </is>
      </c>
      <c r="D1818" t="n">
        <v>55.67415</v>
      </c>
      <c r="E1818" t="n">
        <v>37.73287</v>
      </c>
      <c r="F1818" t="inlineStr"/>
      <c r="G1818" t="inlineStr"/>
      <c r="H1818" t="inlineStr"/>
    </row>
    <row r="1819">
      <c r="A1819" t="inlineStr">
        <is>
          <t>87ad653b-0aa2-4d5b-bdde-7c2da75667d8.jpg</t>
        </is>
      </c>
      <c r="B1819">
        <f>HYPERLINK("Объекты недвижимости, не соответствующие градостроительным нормам_00-022_Август/87ad653b-0aa2-4d5b-bdde-7c2da75667d8.jpg","open")</f>
        <v/>
      </c>
      <c r="C1819" t="inlineStr">
        <is>
          <t>8cde1fd0-eca1-4510-86ab-3c743b65fdfc</t>
        </is>
      </c>
      <c r="D1819" t="n">
        <v>55.67576</v>
      </c>
      <c r="E1819" t="n">
        <v>37.73299</v>
      </c>
      <c r="F1819" t="inlineStr"/>
      <c r="G1819" t="inlineStr"/>
      <c r="H1819" t="inlineStr"/>
    </row>
    <row r="1820">
      <c r="A1820" t="inlineStr">
        <is>
          <t>68a7720b-182d-4945-a7c1-f2d93d82a6d7.jpg</t>
        </is>
      </c>
      <c r="B1820">
        <f>HYPERLINK("Объекты недвижимости, не соответствующие градостроительным нормам_00-022_Август/68a7720b-182d-4945-a7c1-f2d93d82a6d7.jpg","open")</f>
        <v/>
      </c>
      <c r="C1820" t="inlineStr">
        <is>
          <t>8cde1fd0-eca1-4510-86ab-3c743b65fdfc</t>
        </is>
      </c>
      <c r="D1820" t="n">
        <v>55.67598</v>
      </c>
      <c r="E1820" t="n">
        <v>37.73303</v>
      </c>
      <c r="F1820" t="inlineStr"/>
      <c r="G1820" t="inlineStr"/>
      <c r="H1820" t="inlineStr"/>
    </row>
    <row r="1821">
      <c r="A1821" t="inlineStr">
        <is>
          <t>6ededdfd-0e72-4d18-a656-0733021a50bb.jpg</t>
        </is>
      </c>
      <c r="B1821">
        <f>HYPERLINK("Объекты недвижимости, не соответствующие градостроительным нормам_00-022_Август/6ededdfd-0e72-4d18-a656-0733021a50bb.jpg","open")</f>
        <v/>
      </c>
      <c r="C1821" t="inlineStr">
        <is>
          <t>8cde1fd0-eca1-4510-86ab-3c743b65fdfc</t>
        </is>
      </c>
      <c r="D1821" t="n">
        <v>55.67615</v>
      </c>
      <c r="E1821" t="n">
        <v>37.73306</v>
      </c>
      <c r="F1821" t="inlineStr"/>
      <c r="G1821" t="inlineStr"/>
      <c r="H1821" t="inlineStr"/>
    </row>
    <row r="1822">
      <c r="A1822" t="inlineStr">
        <is>
          <t>d5cc758b-931d-4673-90e8-40a4a7d0882b.jpg</t>
        </is>
      </c>
      <c r="B1822">
        <f>HYPERLINK("Объекты недвижимости, не соответствующие градостроительным нормам_00-022_Август/d5cc758b-931d-4673-90e8-40a4a7d0882b.jpg","open")</f>
        <v/>
      </c>
      <c r="C1822" t="inlineStr">
        <is>
          <t>8cde1fd0-eca1-4510-86ab-3c743b65fdfc</t>
        </is>
      </c>
      <c r="D1822" t="n">
        <v>55.67632</v>
      </c>
      <c r="E1822" t="n">
        <v>37.73309</v>
      </c>
      <c r="F1822" t="inlineStr"/>
      <c r="G1822" t="inlineStr"/>
      <c r="H1822" t="inlineStr"/>
    </row>
    <row r="1823">
      <c r="A1823" t="inlineStr">
        <is>
          <t>086708fd-4bec-408c-9bad-54dbcc67f049.jpg</t>
        </is>
      </c>
      <c r="B1823">
        <f>HYPERLINK("Объекты недвижимости, не соответствующие градостроительным нормам_00-022_Август/086708fd-4bec-408c-9bad-54dbcc67f049.jpg","open")</f>
        <v/>
      </c>
      <c r="C1823" t="inlineStr">
        <is>
          <t>8cde1fd0-eca1-4510-86ab-3c743b65fdfc</t>
        </is>
      </c>
      <c r="D1823" t="n">
        <v>55.67669</v>
      </c>
      <c r="E1823" t="n">
        <v>37.73317</v>
      </c>
      <c r="F1823" t="inlineStr"/>
      <c r="G1823" t="inlineStr"/>
      <c r="H1823" t="inlineStr"/>
    </row>
    <row r="1824">
      <c r="A1824" t="inlineStr">
        <is>
          <t>c3aa74d8-e498-428d-a322-c596f7666cee.jpg</t>
        </is>
      </c>
      <c r="B1824">
        <f>HYPERLINK("Объекты недвижимости, не соответствующие градостроительным нормам_00-022_Август/c3aa74d8-e498-428d-a322-c596f7666cee.jpg","open")</f>
        <v/>
      </c>
      <c r="C1824" t="inlineStr">
        <is>
          <t>8cde1fd0-eca1-4510-86ab-3c743b65fdfc</t>
        </is>
      </c>
      <c r="D1824" t="n">
        <v>55.67687</v>
      </c>
      <c r="E1824" t="n">
        <v>37.7332</v>
      </c>
      <c r="F1824" t="inlineStr"/>
      <c r="G1824" t="inlineStr"/>
      <c r="H1824" t="inlineStr"/>
    </row>
    <row r="1825">
      <c r="A1825" t="inlineStr">
        <is>
          <t>c29aa0c7-4daf-4e56-af5e-e956ed0db537.jpg</t>
        </is>
      </c>
      <c r="B1825">
        <f>HYPERLINK("Объекты недвижимости, не соответствующие градостроительным нормам_00-022_Август/c29aa0c7-4daf-4e56-af5e-e956ed0db537.jpg","open")</f>
        <v/>
      </c>
      <c r="C1825" t="inlineStr">
        <is>
          <t>1c951e11-4940-43c6-a447-394097e5609a</t>
        </is>
      </c>
      <c r="D1825" t="n">
        <v>55.67692</v>
      </c>
      <c r="E1825" t="n">
        <v>37.73321</v>
      </c>
      <c r="F1825" t="inlineStr"/>
      <c r="G1825" t="inlineStr"/>
      <c r="H1825" t="inlineStr"/>
    </row>
    <row r="1826">
      <c r="A1826" t="inlineStr">
        <is>
          <t>5fcb77a2-596f-4bc3-aedc-1cc8103c2625.jpg</t>
        </is>
      </c>
      <c r="B1826">
        <f>HYPERLINK("Объекты недвижимости, не соответствующие градостроительным нормам_00-022_Август/5fcb77a2-596f-4bc3-aedc-1cc8103c2625.jpg","open")</f>
        <v/>
      </c>
      <c r="C1826" t="inlineStr">
        <is>
          <t>8cde1fd0-eca1-4510-86ab-3c743b65fdfc</t>
        </is>
      </c>
      <c r="D1826" t="n">
        <v>55.67896</v>
      </c>
      <c r="E1826" t="n">
        <v>37.73361</v>
      </c>
      <c r="F1826" t="inlineStr"/>
      <c r="G1826" t="inlineStr"/>
      <c r="H1826" t="inlineStr"/>
    </row>
    <row r="1827">
      <c r="A1827" t="inlineStr">
        <is>
          <t>2413f6db-1972-4213-a476-8bdace93267d.jpg</t>
        </is>
      </c>
      <c r="B1827">
        <f>HYPERLINK("Объекты недвижимости, не соответствующие градостроительным нормам_00-022_Август/2413f6db-1972-4213-a476-8bdace93267d.jpg","open")</f>
        <v/>
      </c>
      <c r="C1827" t="inlineStr">
        <is>
          <t>8cde1fd0-eca1-4510-86ab-3c743b65fdfc</t>
        </is>
      </c>
      <c r="D1827" t="n">
        <v>55.67916</v>
      </c>
      <c r="E1827" t="n">
        <v>37.73388</v>
      </c>
      <c r="F1827" t="inlineStr"/>
      <c r="G1827" t="inlineStr"/>
      <c r="H1827" t="inlineStr"/>
    </row>
    <row r="1828">
      <c r="A1828" t="inlineStr">
        <is>
          <t>bd528142-dce3-4ab2-810c-b8a451f64b0b.jpg</t>
        </is>
      </c>
      <c r="B1828">
        <f>HYPERLINK("Объекты недвижимости, не соответствующие градостроительным нормам_00-022_Август/bd528142-dce3-4ab2-810c-b8a451f64b0b.jpg","open")</f>
        <v/>
      </c>
      <c r="C1828" t="inlineStr">
        <is>
          <t>8cde1fd0-eca1-4510-86ab-3c743b65fdfc</t>
        </is>
      </c>
      <c r="D1828" t="n">
        <v>55.67223</v>
      </c>
      <c r="E1828" t="n">
        <v>37.73222</v>
      </c>
      <c r="F1828" t="inlineStr"/>
      <c r="G1828" t="inlineStr"/>
      <c r="H1828" t="inlineStr"/>
    </row>
    <row r="1829">
      <c r="A1829" t="inlineStr">
        <is>
          <t>b0e83ffe-a231-4a28-84a1-e419078a5cb8.jpg</t>
        </is>
      </c>
      <c r="B1829">
        <f>HYPERLINK("Объекты недвижимости, не соответствующие градостроительным нормам_00-022_Август/b0e83ffe-a231-4a28-84a1-e419078a5cb8.jpg","open")</f>
        <v/>
      </c>
      <c r="C1829" t="inlineStr">
        <is>
          <t>1c951e11-4940-43c6-a447-394097e5609a</t>
        </is>
      </c>
      <c r="D1829" t="n">
        <v>55.67233</v>
      </c>
      <c r="E1829" t="n">
        <v>37.7322</v>
      </c>
      <c r="F1829" t="inlineStr"/>
      <c r="G1829" t="inlineStr"/>
      <c r="H1829" t="inlineStr"/>
    </row>
    <row r="1830">
      <c r="A1830" t="inlineStr">
        <is>
          <t>291aa2a9-74d6-400c-b0fa-c154349d69ed.jpg</t>
        </is>
      </c>
      <c r="B1830">
        <f>HYPERLINK("Объекты недвижимости, не соответствующие градостроительным нормам_00-022_Август/291aa2a9-74d6-400c-b0fa-c154349d69ed.jpg","open")</f>
        <v/>
      </c>
      <c r="C1830" t="inlineStr">
        <is>
          <t>8cde1fd0-eca1-4510-86ab-3c743b65fdfc</t>
        </is>
      </c>
      <c r="D1830" t="n">
        <v>55.67241</v>
      </c>
      <c r="E1830" t="n">
        <v>37.73222</v>
      </c>
      <c r="F1830" t="inlineStr"/>
      <c r="G1830" t="inlineStr"/>
      <c r="H1830" t="inlineStr"/>
    </row>
    <row r="1831">
      <c r="A1831" t="inlineStr">
        <is>
          <t>1dc99445-8b45-4c7f-8672-139eb6ea3f91.jpg</t>
        </is>
      </c>
      <c r="B1831">
        <f>HYPERLINK("Объекты недвижимости, не соответствующие градостроительным нормам_00-022_Август/1dc99445-8b45-4c7f-8672-139eb6ea3f91.jpg","open")</f>
        <v/>
      </c>
      <c r="C1831" t="inlineStr">
        <is>
          <t>ab4e767f-65c0-455b-af20-a5527124fd21</t>
        </is>
      </c>
      <c r="D1831" t="n">
        <v>55.98981</v>
      </c>
      <c r="E1831" t="n">
        <v>37.47178</v>
      </c>
      <c r="F1831" t="inlineStr"/>
      <c r="G1831" t="inlineStr"/>
      <c r="H1831" t="inlineStr"/>
    </row>
    <row r="1832">
      <c r="A1832" t="inlineStr">
        <is>
          <t>53fc2aa8-c9d1-41e3-9de6-5a497b450e99.jpg</t>
        </is>
      </c>
      <c r="B1832">
        <f>HYPERLINK("Объекты недвижимости, не соответствующие градостроительным нормам_00-022_Август/53fc2aa8-c9d1-41e3-9de6-5a497b450e99.jpg","open")</f>
        <v/>
      </c>
      <c r="C1832" t="inlineStr">
        <is>
          <t>ab4e767f-65c0-455b-af20-a5527124fd21</t>
        </is>
      </c>
      <c r="D1832" t="n">
        <v>55.98981</v>
      </c>
      <c r="E1832" t="n">
        <v>37.47178</v>
      </c>
      <c r="F1832" t="inlineStr"/>
      <c r="G1832" t="inlineStr"/>
      <c r="H1832" t="inlineStr"/>
    </row>
    <row r="1833">
      <c r="A1833" t="inlineStr">
        <is>
          <t>799a7ab7-c09d-445b-895d-39bda38fe135.jpg</t>
        </is>
      </c>
      <c r="B1833">
        <f>HYPERLINK("Объекты недвижимости, не соответствующие градостроительным нормам_00-022_Август/799a7ab7-c09d-445b-895d-39bda38fe135.jpg","open")</f>
        <v/>
      </c>
      <c r="C1833" t="inlineStr">
        <is>
          <t>8cde1fd0-eca1-4510-86ab-3c743b65fdfc</t>
        </is>
      </c>
      <c r="D1833" t="n">
        <v>55.67326</v>
      </c>
      <c r="E1833" t="n">
        <v>37.73568</v>
      </c>
      <c r="F1833" t="inlineStr"/>
      <c r="G1833" t="inlineStr"/>
      <c r="H1833" t="inlineStr"/>
    </row>
    <row r="1834">
      <c r="A1834" t="inlineStr">
        <is>
          <t>7a602923-1fe1-4678-bf7c-61dbc15d03d0.jpg</t>
        </is>
      </c>
      <c r="B1834">
        <f>HYPERLINK("Объекты недвижимости, не соответствующие градостроительным нормам_00-022_Август/7a602923-1fe1-4678-bf7c-61dbc15d03d0.jpg","open")</f>
        <v/>
      </c>
      <c r="C1834" t="inlineStr">
        <is>
          <t>ab4e767f-65c0-455b-af20-a5527124fd21</t>
        </is>
      </c>
      <c r="D1834" t="n">
        <v>55.98981</v>
      </c>
      <c r="E1834" t="n">
        <v>37.47178</v>
      </c>
      <c r="F1834" t="inlineStr"/>
      <c r="G1834" t="inlineStr"/>
      <c r="H1834" t="inlineStr"/>
    </row>
    <row r="1835">
      <c r="A1835" t="inlineStr">
        <is>
          <t>51e683b3-109b-4b54-b987-e1f979ecb17b.jpg</t>
        </is>
      </c>
      <c r="B1835">
        <f>HYPERLINK("Объекты недвижимости, не соответствующие градостроительным нормам_00-022_Август/51e683b3-109b-4b54-b987-e1f979ecb17b.jpg","open")</f>
        <v/>
      </c>
      <c r="C1835" t="inlineStr">
        <is>
          <t>8cde1fd0-eca1-4510-86ab-3c743b65fdfc</t>
        </is>
      </c>
      <c r="D1835" t="n">
        <v>55.67272</v>
      </c>
      <c r="E1835" t="n">
        <v>37.73564</v>
      </c>
      <c r="F1835" t="inlineStr"/>
      <c r="G1835" t="inlineStr"/>
      <c r="H1835" t="inlineStr"/>
    </row>
    <row r="1836">
      <c r="A1836" t="inlineStr">
        <is>
          <t>ca93e8fb-d4bd-443e-b9e9-19632d2460c5.jpg</t>
        </is>
      </c>
      <c r="B1836">
        <f>HYPERLINK("Объекты недвижимости, не соответствующие градостроительным нормам_00-022_Август/ca93e8fb-d4bd-443e-b9e9-19632d2460c5.jpg","open")</f>
        <v/>
      </c>
      <c r="C1836" t="inlineStr">
        <is>
          <t>8cde1fd0-eca1-4510-86ab-3c743b65fdfc</t>
        </is>
      </c>
      <c r="D1836" t="n">
        <v>55.67004</v>
      </c>
      <c r="E1836" t="n">
        <v>37.73305</v>
      </c>
      <c r="F1836" t="inlineStr"/>
      <c r="G1836" t="inlineStr"/>
      <c r="H1836" t="inlineStr"/>
    </row>
    <row r="1837">
      <c r="A1837" t="inlineStr">
        <is>
          <t>541ea57e-0cbe-4a56-84fa-8bf210b45b30.jpg</t>
        </is>
      </c>
      <c r="B1837">
        <f>HYPERLINK("Объекты недвижимости, не соответствующие градостроительным нормам_00-022_Август/541ea57e-0cbe-4a56-84fa-8bf210b45b30.jpg","open")</f>
        <v/>
      </c>
      <c r="C1837" t="inlineStr">
        <is>
          <t>1c951e11-4940-43c6-a447-394097e5609a</t>
        </is>
      </c>
      <c r="D1837" t="n">
        <v>55.67</v>
      </c>
      <c r="E1837" t="n">
        <v>37.733</v>
      </c>
      <c r="F1837" t="inlineStr"/>
      <c r="G1837" t="inlineStr"/>
      <c r="H1837" t="inlineStr"/>
    </row>
    <row r="1838">
      <c r="A1838" t="inlineStr">
        <is>
          <t>6b41d4fb-680a-4e9d-a508-bf6cf8c5009f.jpg</t>
        </is>
      </c>
      <c r="B1838">
        <f>HYPERLINK("Объекты недвижимости, не соответствующие градостроительным нормам_00-022_Август/6b41d4fb-680a-4e9d-a508-bf6cf8c5009f.jpg","open")</f>
        <v/>
      </c>
      <c r="C1838" t="inlineStr">
        <is>
          <t>ab4e767f-65c0-455b-af20-a5527124fd21</t>
        </is>
      </c>
      <c r="D1838" t="n">
        <v>55.98981</v>
      </c>
      <c r="E1838" t="n">
        <v>37.47178</v>
      </c>
      <c r="F1838" t="inlineStr"/>
      <c r="G1838" t="inlineStr"/>
      <c r="H1838" t="inlineStr"/>
    </row>
    <row r="1839">
      <c r="A1839" t="inlineStr">
        <is>
          <t>e103303d-1cbc-43e5-98ce-973114b34c64.jpg</t>
        </is>
      </c>
      <c r="B1839">
        <f>HYPERLINK("Объекты недвижимости, не соответствующие градостроительным нормам_00-022_Август/e103303d-1cbc-43e5-98ce-973114b34c64.jpg","open")</f>
        <v/>
      </c>
      <c r="C1839" t="inlineStr">
        <is>
          <t>8cde1fd0-eca1-4510-86ab-3c743b65fdfc</t>
        </is>
      </c>
      <c r="D1839" t="n">
        <v>55.6693</v>
      </c>
      <c r="E1839" t="n">
        <v>37.73207</v>
      </c>
      <c r="F1839" t="inlineStr"/>
      <c r="G1839" t="inlineStr"/>
      <c r="H1839" t="inlineStr"/>
    </row>
    <row r="1840">
      <c r="A1840" t="inlineStr">
        <is>
          <t>0c992157-1b6f-4a85-a60e-53b8a76a03dd.jpg</t>
        </is>
      </c>
      <c r="B1840">
        <f>HYPERLINK("Объекты недвижимости, не соответствующие градостроительным нормам_00-022_Август/0c992157-1b6f-4a85-a60e-53b8a76a03dd.jpg","open")</f>
        <v/>
      </c>
      <c r="C1840" t="inlineStr">
        <is>
          <t>8cde1fd0-eca1-4510-86ab-3c743b65fdfc</t>
        </is>
      </c>
      <c r="D1840" t="n">
        <v>55.66894</v>
      </c>
      <c r="E1840" t="n">
        <v>37.7318</v>
      </c>
      <c r="F1840" t="inlineStr"/>
      <c r="G1840" t="inlineStr"/>
      <c r="H1840" t="inlineStr"/>
    </row>
    <row r="1841">
      <c r="A1841" t="inlineStr">
        <is>
          <t>1debdb0b-9952-4d07-89d2-7f988e1e3b0b.jpg</t>
        </is>
      </c>
      <c r="B1841">
        <f>HYPERLINK("Объекты недвижимости, не соответствующие градостроительным нормам_00-022_Август/1debdb0b-9952-4d07-89d2-7f988e1e3b0b.jpg","open")</f>
        <v/>
      </c>
      <c r="C1841" t="inlineStr">
        <is>
          <t>8cde1fd0-eca1-4510-86ab-3c743b65fdfc</t>
        </is>
      </c>
      <c r="D1841" t="n">
        <v>55.66845</v>
      </c>
      <c r="E1841" t="n">
        <v>37.73143</v>
      </c>
      <c r="F1841" t="inlineStr"/>
      <c r="G1841" t="inlineStr"/>
      <c r="H1841" t="inlineStr"/>
    </row>
    <row r="1842">
      <c r="A1842" t="inlineStr">
        <is>
          <t>31b4418f-dd2e-438b-9ab1-ff92fe940028.jpg</t>
        </is>
      </c>
      <c r="B1842">
        <f>HYPERLINK("Объекты недвижимости, не соответствующие градостроительным нормам_00-022_Август/31b4418f-dd2e-438b-9ab1-ff92fe940028.jpg","open")</f>
        <v/>
      </c>
      <c r="C1842" t="inlineStr">
        <is>
          <t>8cde1fd0-eca1-4510-86ab-3c743b65fdfc</t>
        </is>
      </c>
      <c r="D1842" t="n">
        <v>55.66845</v>
      </c>
      <c r="E1842" t="n">
        <v>37.73142</v>
      </c>
      <c r="F1842" t="inlineStr"/>
      <c r="G1842" t="inlineStr"/>
      <c r="H1842" t="inlineStr"/>
    </row>
    <row r="1843">
      <c r="A1843" t="inlineStr">
        <is>
          <t>a7eadad7-b0c5-41b4-9e7a-e245c16afaf4.jpg</t>
        </is>
      </c>
      <c r="B1843">
        <f>HYPERLINK("Объекты недвижимости, не соответствующие градостроительным нормам_00-022_Август/a7eadad7-b0c5-41b4-9e7a-e245c16afaf4.jpg","open")</f>
        <v/>
      </c>
      <c r="C1843" t="inlineStr">
        <is>
          <t>8cde1fd0-eca1-4510-86ab-3c743b65fdfc</t>
        </is>
      </c>
      <c r="D1843" t="n">
        <v>55.66957</v>
      </c>
      <c r="E1843" t="n">
        <v>37.73273</v>
      </c>
      <c r="F1843" t="inlineStr"/>
      <c r="G1843" t="inlineStr"/>
      <c r="H1843" t="inlineStr"/>
    </row>
    <row r="1844">
      <c r="A1844" t="inlineStr">
        <is>
          <t>d9c56073-41ed-4111-8011-acefca7f6c27.jpg</t>
        </is>
      </c>
      <c r="B1844">
        <f>HYPERLINK("Объекты недвижимости, не соответствующие градостроительным нормам_00-022_Август/d9c56073-41ed-4111-8011-acefca7f6c27.jpg","open")</f>
        <v/>
      </c>
      <c r="C1844" t="inlineStr">
        <is>
          <t>8cde1fd0-eca1-4510-86ab-3c743b65fdfc</t>
        </is>
      </c>
      <c r="D1844" t="n">
        <v>55.66937</v>
      </c>
      <c r="E1844" t="n">
        <v>37.7335</v>
      </c>
      <c r="F1844" t="inlineStr"/>
      <c r="G1844" t="inlineStr"/>
      <c r="H1844" t="inlineStr"/>
    </row>
    <row r="1845">
      <c r="A1845" t="inlineStr">
        <is>
          <t>e67a4a95-cfbe-441c-98f2-7abee7368561.jpg</t>
        </is>
      </c>
      <c r="B1845">
        <f>HYPERLINK("Объекты недвижимости, не соответствующие градостроительным нормам_00-022_Август/e67a4a95-cfbe-441c-98f2-7abee7368561.jpg","open")</f>
        <v/>
      </c>
      <c r="C1845" t="inlineStr">
        <is>
          <t>8cde1fd0-eca1-4510-86ab-3c743b65fdfc</t>
        </is>
      </c>
      <c r="D1845" t="n">
        <v>55.67056</v>
      </c>
      <c r="E1845" t="n">
        <v>37.73376</v>
      </c>
      <c r="F1845" t="inlineStr"/>
      <c r="G1845" t="inlineStr"/>
      <c r="H1845" t="inlineStr"/>
    </row>
    <row r="1846">
      <c r="A1846" t="inlineStr">
        <is>
          <t>3ef7d9de-429d-40bf-90dd-365199ca1ddd.jpg</t>
        </is>
      </c>
      <c r="B1846">
        <f>HYPERLINK("Объекты недвижимости, не соответствующие градостроительным нормам_00-022_Август/3ef7d9de-429d-40bf-90dd-365199ca1ddd.jpg","open")</f>
        <v/>
      </c>
      <c r="C1846" t="inlineStr">
        <is>
          <t>8cde1fd0-eca1-4510-86ab-3c743b65fdfc</t>
        </is>
      </c>
      <c r="D1846" t="n">
        <v>55.67499</v>
      </c>
      <c r="E1846" t="n">
        <v>37.7361</v>
      </c>
      <c r="F1846" t="inlineStr"/>
      <c r="G1846" t="inlineStr"/>
      <c r="H1846" t="inlineStr"/>
    </row>
    <row r="1847">
      <c r="A1847" t="inlineStr">
        <is>
          <t>b58ed12e-fd70-492c-a110-33e8f0da5060.jpg</t>
        </is>
      </c>
      <c r="B1847">
        <f>HYPERLINK("Объекты недвижимости, не соответствующие градостроительным нормам_00-022_Август/b58ed12e-fd70-492c-a110-33e8f0da5060.jpg","open")</f>
        <v/>
      </c>
      <c r="C1847" t="inlineStr">
        <is>
          <t>fb40ed24-21ef-458a-a239-038ab19932cc</t>
        </is>
      </c>
      <c r="D1847" t="n">
        <v>55.75848</v>
      </c>
      <c r="E1847" t="n">
        <v>37.73964</v>
      </c>
      <c r="F1847" t="inlineStr"/>
      <c r="G1847" t="inlineStr"/>
      <c r="H1847" t="inlineStr"/>
    </row>
    <row r="1848">
      <c r="A1848" t="inlineStr">
        <is>
          <t>7e08e772-8454-42bd-ab0c-325e9d218179.jpg</t>
        </is>
      </c>
      <c r="B1848">
        <f>HYPERLINK("Объекты недвижимости, не соответствующие градостроительным нормам_00-022_Август/7e08e772-8454-42bd-ab0c-325e9d218179.jpg","open")</f>
        <v/>
      </c>
      <c r="C1848" t="inlineStr">
        <is>
          <t>8cde1fd0-eca1-4510-86ab-3c743b65fdfc</t>
        </is>
      </c>
      <c r="D1848" t="n">
        <v>55.66049</v>
      </c>
      <c r="E1848" t="n">
        <v>37.72014</v>
      </c>
      <c r="F1848" t="inlineStr"/>
      <c r="G1848" t="inlineStr"/>
      <c r="H1848" t="inlineStr"/>
    </row>
    <row r="1849">
      <c r="A1849" t="inlineStr">
        <is>
          <t>fb0e6b36-59b7-4f7f-84dc-4954647619dd.jpg</t>
        </is>
      </c>
      <c r="B1849">
        <f>HYPERLINK("Объекты недвижимости, не соответствующие градостроительным нормам_00-022_Август/fb0e6b36-59b7-4f7f-84dc-4954647619dd.jpg","open")</f>
        <v/>
      </c>
      <c r="C1849" t="inlineStr">
        <is>
          <t>8cde1fd0-eca1-4510-86ab-3c743b65fdfc</t>
        </is>
      </c>
      <c r="D1849" t="n">
        <v>55.66109</v>
      </c>
      <c r="E1849" t="n">
        <v>37.72051</v>
      </c>
      <c r="F1849" t="inlineStr"/>
      <c r="G1849" t="inlineStr"/>
      <c r="H1849" t="inlineStr"/>
    </row>
    <row r="1850">
      <c r="A1850" t="inlineStr">
        <is>
          <t>038be863-c7d9-41cb-a0fb-ecd9098f0366.jpg</t>
        </is>
      </c>
      <c r="B1850">
        <f>HYPERLINK("Объекты недвижимости, не соответствующие градостроительным нормам_00-022_Август/038be863-c7d9-41cb-a0fb-ecd9098f0366.jpg","open")</f>
        <v/>
      </c>
      <c r="C1850" t="inlineStr">
        <is>
          <t>9c930d0e-e445-452d-a046-325646b21ab7</t>
        </is>
      </c>
      <c r="D1850" t="n">
        <v>55.79117</v>
      </c>
      <c r="E1850" t="n">
        <v>37.61116</v>
      </c>
      <c r="F1850" t="inlineStr"/>
      <c r="G1850" t="inlineStr"/>
      <c r="H1850" t="inlineStr"/>
    </row>
    <row r="1851">
      <c r="A1851" t="inlineStr">
        <is>
          <t>a9282a88-48fc-4a6b-a5f7-3649b8ff70fb.jpg</t>
        </is>
      </c>
      <c r="B1851">
        <f>HYPERLINK("Объекты недвижимости, не соответствующие градостроительным нормам_00-022_Август/a9282a88-48fc-4a6b-a5f7-3649b8ff70fb.jpg","open")</f>
        <v/>
      </c>
      <c r="C1851" t="inlineStr">
        <is>
          <t>8cde1fd0-eca1-4510-86ab-3c743b65fdfc</t>
        </is>
      </c>
      <c r="D1851" t="n">
        <v>55.66119</v>
      </c>
      <c r="E1851" t="n">
        <v>37.72075</v>
      </c>
      <c r="F1851" t="inlineStr"/>
      <c r="G1851" t="inlineStr"/>
      <c r="H1851" t="inlineStr"/>
    </row>
    <row r="1852">
      <c r="A1852" t="inlineStr">
        <is>
          <t>b02edaf8-7ebe-41e8-89de-9966723e8873.jpg</t>
        </is>
      </c>
      <c r="B1852">
        <f>HYPERLINK("Объекты недвижимости, не соответствующие градостроительным нормам_00-022_Август/b02edaf8-7ebe-41e8-89de-9966723e8873.jpg","open")</f>
        <v/>
      </c>
      <c r="C1852" t="inlineStr">
        <is>
          <t>8cde1fd0-eca1-4510-86ab-3c743b65fdfc</t>
        </is>
      </c>
      <c r="D1852" t="n">
        <v>55.6589</v>
      </c>
      <c r="E1852" t="n">
        <v>37.71695</v>
      </c>
      <c r="F1852" t="inlineStr"/>
      <c r="G1852" t="inlineStr"/>
      <c r="H1852" t="inlineStr"/>
    </row>
    <row r="1853">
      <c r="A1853" t="inlineStr">
        <is>
          <t>bc64def8-8158-4aa1-b191-85fa69ef08b1.jpg</t>
        </is>
      </c>
      <c r="B1853">
        <f>HYPERLINK("Объекты недвижимости, не соответствующие градостроительным нормам_00-022_Август/bc64def8-8158-4aa1-b191-85fa69ef08b1.jpg","open")</f>
        <v/>
      </c>
      <c r="C1853" t="inlineStr">
        <is>
          <t>ab4e767f-65c0-455b-af20-a5527124fd21</t>
        </is>
      </c>
      <c r="D1853" t="n">
        <v>55.75062</v>
      </c>
      <c r="E1853" t="n">
        <v>37.64624</v>
      </c>
      <c r="F1853" t="inlineStr"/>
      <c r="G1853" t="inlineStr"/>
      <c r="H1853" t="inlineStr"/>
    </row>
    <row r="1854">
      <c r="A1854" t="inlineStr">
        <is>
          <t>2d249e9c-ff20-4c83-966a-21422a07047b.jpg</t>
        </is>
      </c>
      <c r="B1854">
        <f>HYPERLINK("Объекты недвижимости, не соответствующие градостроительным нормам_00-022_Август/2d249e9c-ff20-4c83-966a-21422a07047b.jpg","open")</f>
        <v/>
      </c>
      <c r="C1854" t="inlineStr">
        <is>
          <t>8cde1fd0-eca1-4510-86ab-3c743b65fdfc</t>
        </is>
      </c>
      <c r="D1854" t="n">
        <v>55.65979</v>
      </c>
      <c r="E1854" t="n">
        <v>37.73623</v>
      </c>
      <c r="F1854" t="inlineStr"/>
      <c r="G1854" t="inlineStr"/>
      <c r="H1854" t="inlineStr"/>
    </row>
    <row r="1855">
      <c r="A1855" t="inlineStr">
        <is>
          <t>13786aed-086f-46d8-8ce1-ad50cb7bdf46.jpg</t>
        </is>
      </c>
      <c r="B1855">
        <f>HYPERLINK("Объекты недвижимости, не соответствующие градостроительным нормам_00-022_Август/13786aed-086f-46d8-8ce1-ad50cb7bdf46.jpg","open")</f>
        <v/>
      </c>
      <c r="C1855" t="inlineStr">
        <is>
          <t>8cde1fd0-eca1-4510-86ab-3c743b65fdfc</t>
        </is>
      </c>
      <c r="D1855" t="n">
        <v>55.65997</v>
      </c>
      <c r="E1855" t="n">
        <v>37.7369</v>
      </c>
      <c r="F1855" t="inlineStr"/>
      <c r="G1855" t="inlineStr"/>
      <c r="H1855" t="inlineStr"/>
    </row>
    <row r="1856">
      <c r="A1856" t="inlineStr">
        <is>
          <t>675c240d-2c62-4f23-a053-0f0bb015a185.jpg</t>
        </is>
      </c>
      <c r="B1856">
        <f>HYPERLINK("Объекты недвижимости, не соответствующие градостроительным нормам_00-022_Август/675c240d-2c62-4f23-a053-0f0bb015a185.jpg","open")</f>
        <v/>
      </c>
      <c r="C1856" t="inlineStr">
        <is>
          <t>1c951e11-4940-43c6-a447-394097e5609a</t>
        </is>
      </c>
      <c r="D1856" t="n">
        <v>55.67072</v>
      </c>
      <c r="E1856" t="n">
        <v>37.74293</v>
      </c>
      <c r="F1856" t="inlineStr"/>
      <c r="G1856" t="inlineStr"/>
      <c r="H1856" t="inlineStr"/>
    </row>
    <row r="1857">
      <c r="A1857" t="inlineStr">
        <is>
          <t>f2020380-b905-4e99-b35e-ff5c23142ad2.jpg</t>
        </is>
      </c>
      <c r="B1857">
        <f>HYPERLINK("Объекты недвижимости, не соответствующие градостроительным нормам_00-022_Август/f2020380-b905-4e99-b35e-ff5c23142ad2.jpg","open")</f>
        <v/>
      </c>
      <c r="C1857" t="inlineStr">
        <is>
          <t>8cde1fd0-eca1-4510-86ab-3c743b65fdfc</t>
        </is>
      </c>
      <c r="D1857" t="n">
        <v>55.67072</v>
      </c>
      <c r="E1857" t="n">
        <v>37.74292</v>
      </c>
      <c r="F1857" t="inlineStr"/>
      <c r="G1857" t="inlineStr"/>
      <c r="H1857" t="inlineStr"/>
    </row>
    <row r="1858">
      <c r="A1858" t="inlineStr">
        <is>
          <t>e9ed9813-47e7-4af5-b793-2070a30c9d9b.jpg</t>
        </is>
      </c>
      <c r="B1858">
        <f>HYPERLINK("Объекты недвижимости, не соответствующие градостроительным нормам_00-022_Август/e9ed9813-47e7-4af5-b793-2070a30c9d9b.jpg","open")</f>
        <v/>
      </c>
      <c r="C1858" t="inlineStr">
        <is>
          <t>db8b536c-32f2-4d9a-ae08-679d227e61f1</t>
        </is>
      </c>
      <c r="D1858" t="n">
        <v>55.68901</v>
      </c>
      <c r="E1858" t="n">
        <v>37.57485</v>
      </c>
      <c r="F1858" t="inlineStr"/>
      <c r="G1858" t="inlineStr"/>
      <c r="H1858" t="inlineStr"/>
    </row>
    <row r="1859">
      <c r="A1859" t="inlineStr">
        <is>
          <t>2f9f5b97-d973-4156-9d14-8a4f1169beef.jpg</t>
        </is>
      </c>
      <c r="B1859">
        <f>HYPERLINK("Объекты недвижимости, не соответствующие градостроительным нормам_00-022_Август/2f9f5b97-d973-4156-9d14-8a4f1169beef.jpg","open")</f>
        <v/>
      </c>
      <c r="C1859" t="inlineStr">
        <is>
          <t>dd48f742-b338-42e2-bbaf-b3a9701b437c</t>
        </is>
      </c>
      <c r="D1859" t="n">
        <v>55.79288</v>
      </c>
      <c r="E1859" t="n">
        <v>37.54347</v>
      </c>
      <c r="F1859" t="inlineStr"/>
      <c r="G1859" t="inlineStr"/>
      <c r="H1859" t="inlineStr"/>
    </row>
    <row r="1860">
      <c r="A1860" t="inlineStr">
        <is>
          <t>e5a45179-fdaa-4fef-954b-ba60a0f3ed11.jpg</t>
        </is>
      </c>
      <c r="B1860">
        <f>HYPERLINK("Объекты недвижимости, не соответствующие градостроительным нормам_00-022_Август/e5a45179-fdaa-4fef-954b-ba60a0f3ed11.jpg","open")</f>
        <v/>
      </c>
      <c r="C1860" t="inlineStr">
        <is>
          <t>8cde1fd0-eca1-4510-86ab-3c743b65fdfc</t>
        </is>
      </c>
      <c r="D1860" t="n">
        <v>55.67248</v>
      </c>
      <c r="E1860" t="n">
        <v>37.74196</v>
      </c>
      <c r="F1860" t="inlineStr"/>
      <c r="G1860" t="inlineStr"/>
      <c r="H1860" t="inlineStr"/>
    </row>
    <row r="1861">
      <c r="A1861" t="inlineStr">
        <is>
          <t>3d989b6d-0af2-4d39-abe4-74fc62e3c078.jpg</t>
        </is>
      </c>
      <c r="B1861">
        <f>HYPERLINK("Объекты недвижимости, не соответствующие градостроительным нормам_00-022_Август/3d989b6d-0af2-4d39-abe4-74fc62e3c078.jpg","open")</f>
        <v/>
      </c>
      <c r="C1861" t="inlineStr">
        <is>
          <t>8cde1fd0-eca1-4510-86ab-3c743b65fdfc</t>
        </is>
      </c>
      <c r="D1861" t="n">
        <v>55.67257</v>
      </c>
      <c r="E1861" t="n">
        <v>37.73982</v>
      </c>
      <c r="F1861" t="inlineStr"/>
      <c r="G1861" t="inlineStr"/>
      <c r="H1861" t="inlineStr"/>
    </row>
    <row r="1862">
      <c r="A1862" t="inlineStr">
        <is>
          <t>9a0b3c3c-b97e-407e-ab00-92707a19a4ff.jpg</t>
        </is>
      </c>
      <c r="B1862">
        <f>HYPERLINK("Объекты недвижимости, не соответствующие градостроительным нормам_00-022_Август/9a0b3c3c-b97e-407e-ab00-92707a19a4ff.jpg","open")</f>
        <v/>
      </c>
      <c r="C1862" t="inlineStr">
        <is>
          <t>1c951e11-4940-43c6-a447-394097e5609a</t>
        </is>
      </c>
      <c r="D1862" t="n">
        <v>55.67469</v>
      </c>
      <c r="E1862" t="n">
        <v>37.74215</v>
      </c>
      <c r="F1862" t="inlineStr"/>
      <c r="G1862" t="inlineStr"/>
      <c r="H1862" t="inlineStr"/>
    </row>
    <row r="1863">
      <c r="A1863" t="inlineStr">
        <is>
          <t>0434abac-36dd-45a8-bcab-de40a7bb1013.jpg</t>
        </is>
      </c>
      <c r="B1863">
        <f>HYPERLINK("Объекты недвижимости, не соответствующие градостроительным нормам_00-022_Август/0434abac-36dd-45a8-bcab-de40a7bb1013.jpg","open")</f>
        <v/>
      </c>
      <c r="C1863" t="inlineStr">
        <is>
          <t>8cde1fd0-eca1-4510-86ab-3c743b65fdfc</t>
        </is>
      </c>
      <c r="D1863" t="n">
        <v>55.67469</v>
      </c>
      <c r="E1863" t="n">
        <v>37.74223</v>
      </c>
      <c r="F1863" t="inlineStr"/>
      <c r="G1863" t="inlineStr"/>
      <c r="H1863" t="inlineStr"/>
    </row>
    <row r="1864">
      <c r="A1864" t="inlineStr">
        <is>
          <t>203ecae4-61e0-44a1-a58a-1cc7b817979d.jpg</t>
        </is>
      </c>
      <c r="B1864">
        <f>HYPERLINK("Объекты недвижимости, не соответствующие градостроительным нормам_00-022_Август/203ecae4-61e0-44a1-a58a-1cc7b817979d.jpg","open")</f>
        <v/>
      </c>
      <c r="C1864" t="inlineStr">
        <is>
          <t>9c930d0e-e445-452d-a046-325646b21ab7</t>
        </is>
      </c>
      <c r="D1864" t="n">
        <v>55.78801</v>
      </c>
      <c r="E1864" t="n">
        <v>37.60979</v>
      </c>
      <c r="F1864" t="inlineStr"/>
      <c r="G1864" t="inlineStr"/>
      <c r="H1864" t="inlineStr"/>
    </row>
    <row r="1865">
      <c r="A1865" t="inlineStr">
        <is>
          <t>625ed73a-6958-40db-9d25-2a1670b20379.jpg</t>
        </is>
      </c>
      <c r="B1865">
        <f>HYPERLINK("Объекты недвижимости, не соответствующие градостроительным нормам_00-022_Август/625ed73a-6958-40db-9d25-2a1670b20379.jpg","open")</f>
        <v/>
      </c>
      <c r="C1865" t="inlineStr">
        <is>
          <t>9c930d0e-e445-452d-a046-325646b21ab7</t>
        </is>
      </c>
      <c r="D1865" t="n">
        <v>55.78801</v>
      </c>
      <c r="E1865" t="n">
        <v>37.60968</v>
      </c>
      <c r="F1865" t="inlineStr"/>
      <c r="G1865" t="inlineStr"/>
      <c r="H1865" t="inlineStr"/>
    </row>
    <row r="1866">
      <c r="A1866" t="inlineStr">
        <is>
          <t>95973b25-08a5-472a-811f-bb38e6cc8d76.jpg</t>
        </is>
      </c>
      <c r="B1866">
        <f>HYPERLINK("Объекты недвижимости, не соответствующие градостроительным нормам_00-022_Август/95973b25-08a5-472a-811f-bb38e6cc8d76.jpg","open")</f>
        <v/>
      </c>
      <c r="C1866" t="inlineStr">
        <is>
          <t>9c930d0e-e445-452d-a046-325646b21ab7</t>
        </is>
      </c>
      <c r="D1866" t="n">
        <v>55.788</v>
      </c>
      <c r="E1866" t="n">
        <v>37.60957</v>
      </c>
      <c r="F1866" t="inlineStr"/>
      <c r="G1866" t="inlineStr"/>
      <c r="H1866" t="inlineStr"/>
    </row>
    <row r="1867">
      <c r="A1867" t="inlineStr">
        <is>
          <t>054e30b0-10eb-4e56-9d8d-61ac8fd78ced.jpg</t>
        </is>
      </c>
      <c r="B1867">
        <f>HYPERLINK("Объекты недвижимости, не соответствующие градостроительным нормам_00-022_Август/054e30b0-10eb-4e56-9d8d-61ac8fd78ced.jpg","open")</f>
        <v/>
      </c>
      <c r="C1867" t="inlineStr">
        <is>
          <t>0dd30d74-4dbc-46a8-b638-91e1431bb398</t>
        </is>
      </c>
      <c r="D1867" t="n">
        <v>55.74495</v>
      </c>
      <c r="E1867" t="n">
        <v>37.69739</v>
      </c>
      <c r="F1867" t="inlineStr"/>
      <c r="G1867" t="inlineStr"/>
      <c r="H1867" t="inlineStr"/>
    </row>
    <row r="1868">
      <c r="A1868" t="inlineStr">
        <is>
          <t>6069c9f3-be29-407f-adc2-a5579a72d6cb.jpg</t>
        </is>
      </c>
      <c r="B1868">
        <f>HYPERLINK("Объекты недвижимости, не соответствующие градостроительным нормам_00-022_Август/6069c9f3-be29-407f-adc2-a5579a72d6cb.jpg","open")</f>
        <v/>
      </c>
      <c r="C1868" t="inlineStr">
        <is>
          <t>9c930d0e-e445-452d-a046-325646b21ab7</t>
        </is>
      </c>
      <c r="D1868" t="n">
        <v>55.78799</v>
      </c>
      <c r="E1868" t="n">
        <v>37.60953</v>
      </c>
      <c r="F1868" t="inlineStr"/>
      <c r="G1868" t="inlineStr"/>
      <c r="H1868" t="inlineStr"/>
    </row>
    <row r="1869">
      <c r="A1869" t="inlineStr">
        <is>
          <t>4c5d951d-bbb3-4d51-b19c-ca829392e769.jpg</t>
        </is>
      </c>
      <c r="B1869">
        <f>HYPERLINK("Объекты недвижимости, не соответствующие градостроительным нормам_00-022_Август/4c5d951d-bbb3-4d51-b19c-ca829392e769.jpg","open")</f>
        <v/>
      </c>
      <c r="C1869" t="inlineStr">
        <is>
          <t>8cde1fd0-eca1-4510-86ab-3c743b65fdfc</t>
        </is>
      </c>
      <c r="D1869" t="n">
        <v>55.67422</v>
      </c>
      <c r="E1869" t="n">
        <v>37.7581</v>
      </c>
      <c r="F1869" t="inlineStr"/>
      <c r="G1869" t="inlineStr"/>
      <c r="H1869" t="inlineStr"/>
    </row>
    <row r="1870">
      <c r="A1870" t="inlineStr">
        <is>
          <t>70658e8f-ae95-457b-a32b-cdf33ff413f8.jpg</t>
        </is>
      </c>
      <c r="B1870">
        <f>HYPERLINK("Объекты недвижимости, не соответствующие градостроительным нормам_00-022_Август/70658e8f-ae95-457b-a32b-cdf33ff413f8.jpg","open")</f>
        <v/>
      </c>
      <c r="C1870" t="inlineStr">
        <is>
          <t>9c930d0e-e445-452d-a046-325646b21ab7</t>
        </is>
      </c>
      <c r="D1870" t="n">
        <v>55.78796</v>
      </c>
      <c r="E1870" t="n">
        <v>37.60937</v>
      </c>
      <c r="F1870" t="inlineStr"/>
      <c r="G1870" t="inlineStr"/>
      <c r="H1870" t="inlineStr"/>
    </row>
    <row r="1871">
      <c r="A1871" t="inlineStr">
        <is>
          <t>68003530-62d0-4816-80d8-fcf2f21002af.jpg</t>
        </is>
      </c>
      <c r="B1871">
        <f>HYPERLINK("Объекты недвижимости, не соответствующие градостроительным нормам_00-022_Август/68003530-62d0-4816-80d8-fcf2f21002af.jpg","open")</f>
        <v/>
      </c>
      <c r="C1871" t="inlineStr">
        <is>
          <t>8cde1fd0-eca1-4510-86ab-3c743b65fdfc</t>
        </is>
      </c>
      <c r="D1871" t="n">
        <v>55.67795</v>
      </c>
      <c r="E1871" t="n">
        <v>37.75383</v>
      </c>
      <c r="F1871" t="inlineStr"/>
      <c r="G1871" t="inlineStr"/>
      <c r="H1871" t="inlineStr"/>
    </row>
    <row r="1872">
      <c r="A1872" t="inlineStr">
        <is>
          <t>033c1d2f-7f6c-430c-a219-443e10f5e9ec.jpg</t>
        </is>
      </c>
      <c r="B1872">
        <f>HYPERLINK("Объекты недвижимости, не соответствующие градостроительным нормам_00-022_Август/033c1d2f-7f6c-430c-a219-443e10f5e9ec.jpg","open")</f>
        <v/>
      </c>
      <c r="C1872" t="inlineStr">
        <is>
          <t>1c951e11-4940-43c6-a447-394097e5609a</t>
        </is>
      </c>
      <c r="D1872" t="n">
        <v>55.74265</v>
      </c>
      <c r="E1872" t="n">
        <v>37.69932</v>
      </c>
      <c r="F1872" t="inlineStr"/>
      <c r="G1872" t="inlineStr"/>
      <c r="H1872" t="inlineStr"/>
    </row>
    <row r="1873">
      <c r="A1873" t="inlineStr">
        <is>
          <t>ecdb0ced-2222-4548-a37c-97156abe4c97.jpg</t>
        </is>
      </c>
      <c r="B1873">
        <f>HYPERLINK("Объекты недвижимости, не соответствующие градостроительным нормам_00-022_Август/ecdb0ced-2222-4548-a37c-97156abe4c97.jpg","open")</f>
        <v/>
      </c>
      <c r="C1873" t="inlineStr">
        <is>
          <t>8cde1fd0-eca1-4510-86ab-3c743b65fdfc</t>
        </is>
      </c>
      <c r="D1873" t="n">
        <v>55.74352</v>
      </c>
      <c r="E1873" t="n">
        <v>37.69957</v>
      </c>
      <c r="F1873" t="inlineStr"/>
      <c r="G1873" t="inlineStr"/>
      <c r="H1873" t="inlineStr"/>
    </row>
    <row r="1874">
      <c r="A1874" t="inlineStr">
        <is>
          <t>e1d0d00e-8c26-49f6-b116-8bbb8c52b181.jpg</t>
        </is>
      </c>
      <c r="B1874">
        <f>HYPERLINK("Объекты недвижимости, не соответствующие градостроительным нормам_00-022_Август/e1d0d00e-8c26-49f6-b116-8bbb8c52b181.jpg","open")</f>
        <v/>
      </c>
      <c r="C1874" t="inlineStr">
        <is>
          <t>9c930d0e-e445-452d-a046-325646b21ab7</t>
        </is>
      </c>
      <c r="D1874" t="n">
        <v>55.84494</v>
      </c>
      <c r="E1874" t="n">
        <v>37.67027</v>
      </c>
      <c r="F1874" t="inlineStr"/>
      <c r="G1874" t="inlineStr"/>
      <c r="H1874" t="inlineStr"/>
    </row>
    <row r="1875">
      <c r="A1875" t="inlineStr">
        <is>
          <t>61df4689-49ab-4328-b459-cd1b29d42878.jpg</t>
        </is>
      </c>
      <c r="B1875">
        <f>HYPERLINK("Объекты недвижимости, не соответствующие градостроительным нормам_00-022_Август/61df4689-49ab-4328-b459-cd1b29d42878.jpg","open")</f>
        <v/>
      </c>
      <c r="C1875" t="inlineStr">
        <is>
          <t>e90a3ac0-5b70-4ede-abeb-382371713306</t>
        </is>
      </c>
      <c r="D1875" t="n">
        <v>55.7017</v>
      </c>
      <c r="E1875" t="n">
        <v>37.74636</v>
      </c>
      <c r="F1875" t="inlineStr"/>
      <c r="G1875" t="inlineStr"/>
      <c r="H1875" t="inlineStr"/>
    </row>
    <row r="1876">
      <c r="A1876" t="inlineStr">
        <is>
          <t>403fb4ab-b7fd-4e80-a4f1-9b459ee8b8ca.jpg</t>
        </is>
      </c>
      <c r="B1876">
        <f>HYPERLINK("Объекты недвижимости, не соответствующие градостроительным нормам_00-022_Август/403fb4ab-b7fd-4e80-a4f1-9b459ee8b8ca.jpg","open")</f>
        <v/>
      </c>
      <c r="C1876" t="inlineStr">
        <is>
          <t>f389b777-2837-46f0-983f-56af24850601</t>
        </is>
      </c>
      <c r="D1876" t="n">
        <v>55.97637</v>
      </c>
      <c r="E1876" t="n">
        <v>37.39988</v>
      </c>
      <c r="F1876" t="inlineStr"/>
      <c r="G1876" t="inlineStr"/>
      <c r="H1876" t="inlineStr"/>
    </row>
    <row r="1877">
      <c r="A1877" t="inlineStr">
        <is>
          <t>a514ac5c-d409-4caa-b916-d10e539dc3cc.jpg</t>
        </is>
      </c>
      <c r="B1877">
        <f>HYPERLINK("Объекты недвижимости, не соответствующие градостроительным нормам_00-022_Август/a514ac5c-d409-4caa-b916-d10e539dc3cc.jpg","open")</f>
        <v/>
      </c>
      <c r="C1877" t="inlineStr">
        <is>
          <t>cb4060b2-34d3-44a4-9f60-115fb1e9278e</t>
        </is>
      </c>
      <c r="D1877" t="n">
        <v>55.75316</v>
      </c>
      <c r="E1877" t="n">
        <v>37.5911</v>
      </c>
      <c r="F1877" t="inlineStr"/>
      <c r="G1877" t="inlineStr"/>
      <c r="H1877" t="inlineStr"/>
    </row>
    <row r="1878">
      <c r="A1878" t="inlineStr">
        <is>
          <t>6db44317-cddb-405b-ace6-99a098d08c63.jpg</t>
        </is>
      </c>
      <c r="B1878">
        <f>HYPERLINK("Объекты недвижимости, не соответствующие градостроительным нормам_00-022_Август/6db44317-cddb-405b-ace6-99a098d08c63.jpg","open")</f>
        <v/>
      </c>
      <c r="C1878" t="inlineStr">
        <is>
          <t>e26f5fc2-1353-4f29-85f3-87c56419161c</t>
        </is>
      </c>
      <c r="D1878" t="n">
        <v>55.74867</v>
      </c>
      <c r="E1878" t="n">
        <v>37.66291</v>
      </c>
      <c r="F1878" t="inlineStr"/>
      <c r="G1878" t="inlineStr"/>
      <c r="H1878" t="inlineStr"/>
    </row>
    <row r="1879">
      <c r="A1879" t="inlineStr">
        <is>
          <t>6b5b3a1a-c94b-4a77-8fd3-eb2c7cae9eb6.jpg</t>
        </is>
      </c>
      <c r="B1879">
        <f>HYPERLINK("Объекты недвижимости, не соответствующие градостроительным нормам_00-022_Август/6b5b3a1a-c94b-4a77-8fd3-eb2c7cae9eb6.jpg","open")</f>
        <v/>
      </c>
      <c r="C1879" t="inlineStr">
        <is>
          <t>e26f5fc2-1353-4f29-85f3-87c56419161c</t>
        </is>
      </c>
      <c r="D1879" t="n">
        <v>55.74867</v>
      </c>
      <c r="E1879" t="n">
        <v>37.66291</v>
      </c>
      <c r="F1879" t="inlineStr"/>
      <c r="G1879" t="inlineStr"/>
      <c r="H1879" t="inlineStr"/>
    </row>
    <row r="1880">
      <c r="A1880" t="inlineStr">
        <is>
          <t>27945e5a-f0c0-4dfb-9f80-f3b18cafb934.jpg</t>
        </is>
      </c>
      <c r="B1880">
        <f>HYPERLINK("Объекты недвижимости, не соответствующие градостроительным нормам_00-022_Август/27945e5a-f0c0-4dfb-9f80-f3b18cafb934.jpg","open")</f>
        <v/>
      </c>
      <c r="C1880" t="inlineStr">
        <is>
          <t>e26f5fc2-1353-4f29-85f3-87c56419161c</t>
        </is>
      </c>
      <c r="D1880" t="n">
        <v>55.74867</v>
      </c>
      <c r="E1880" t="n">
        <v>37.66291</v>
      </c>
      <c r="F1880" t="inlineStr"/>
      <c r="G1880" t="inlineStr"/>
      <c r="H1880" t="inlineStr"/>
    </row>
    <row r="1881">
      <c r="A1881" t="inlineStr">
        <is>
          <t>5f0f7ea1-ef7e-4048-bf37-2df44a47a32b.jpg</t>
        </is>
      </c>
      <c r="B1881">
        <f>HYPERLINK("Объекты недвижимости, не соответствующие градостроительным нормам_00-022_Август/5f0f7ea1-ef7e-4048-bf37-2df44a47a32b.jpg","open")</f>
        <v/>
      </c>
      <c r="C1881" t="inlineStr">
        <is>
          <t>e26f5fc2-1353-4f29-85f3-87c56419161c</t>
        </is>
      </c>
      <c r="D1881" t="n">
        <v>55.74867</v>
      </c>
      <c r="E1881" t="n">
        <v>37.66291</v>
      </c>
      <c r="F1881" t="inlineStr"/>
      <c r="G1881" t="inlineStr"/>
      <c r="H1881" t="inlineStr"/>
    </row>
    <row r="1882">
      <c r="A1882" t="inlineStr">
        <is>
          <t>359232c4-ad33-484a-a400-581b7357b1b1.jpg</t>
        </is>
      </c>
      <c r="B1882">
        <f>HYPERLINK("Объекты недвижимости, не соответствующие градостроительным нормам_00-022_Август/359232c4-ad33-484a-a400-581b7357b1b1.jpg","open")</f>
        <v/>
      </c>
      <c r="C1882" t="inlineStr">
        <is>
          <t>fce890a6-27da-4062-a046-08262a160ee6</t>
        </is>
      </c>
      <c r="D1882" t="n">
        <v>55.7662</v>
      </c>
      <c r="E1882" t="n">
        <v>37.6831</v>
      </c>
      <c r="F1882" t="inlineStr"/>
      <c r="G1882" t="inlineStr"/>
      <c r="H1882" t="inlineStr"/>
    </row>
    <row r="1883">
      <c r="A1883" t="inlineStr">
        <is>
          <t>34bc5bbb-ee73-489c-b3d5-f8ae98a2bc66.jpg</t>
        </is>
      </c>
      <c r="B1883">
        <f>HYPERLINK("Объекты недвижимости, не соответствующие градостроительным нормам_00-022_Август/34bc5bbb-ee73-489c-b3d5-f8ae98a2bc66.jpg","open")</f>
        <v/>
      </c>
      <c r="C1883" t="inlineStr">
        <is>
          <t>fce890a6-27da-4062-a046-08262a160ee6</t>
        </is>
      </c>
      <c r="D1883" t="n">
        <v>55.7662</v>
      </c>
      <c r="E1883" t="n">
        <v>37.6831</v>
      </c>
      <c r="F1883" t="inlineStr"/>
      <c r="G1883" t="inlineStr"/>
      <c r="H1883" t="inlineStr"/>
    </row>
    <row r="1884">
      <c r="A1884" t="inlineStr">
        <is>
          <t>bc81a3fc-ce23-4441-ab00-3d30e72b4e59.jpg</t>
        </is>
      </c>
      <c r="B1884">
        <f>HYPERLINK("Объекты недвижимости, не соответствующие градостроительным нормам_00-022_Август/bc81a3fc-ce23-4441-ab00-3d30e72b4e59.jpg","open")</f>
        <v/>
      </c>
      <c r="C1884" t="inlineStr">
        <is>
          <t>fce890a6-27da-4062-a046-08262a160ee6</t>
        </is>
      </c>
      <c r="D1884" t="n">
        <v>55.7662</v>
      </c>
      <c r="E1884" t="n">
        <v>37.6831</v>
      </c>
      <c r="F1884" t="inlineStr"/>
      <c r="G1884" t="inlineStr"/>
      <c r="H1884" t="inlineStr"/>
    </row>
    <row r="1885">
      <c r="A1885" t="inlineStr">
        <is>
          <t>20da935d-ac08-40a0-bdaf-10ea3ef8e372.jpg</t>
        </is>
      </c>
      <c r="B1885">
        <f>HYPERLINK("Объекты недвижимости, не соответствующие градостроительным нормам_00-022_Август/20da935d-ac08-40a0-bdaf-10ea3ef8e372.jpg","open")</f>
        <v/>
      </c>
      <c r="C1885" t="inlineStr">
        <is>
          <t>4cd87d14-7440-44b7-a5b2-a738e10006f7</t>
        </is>
      </c>
      <c r="D1885" t="n">
        <v>55.74867</v>
      </c>
      <c r="E1885" t="n">
        <v>37.66291</v>
      </c>
      <c r="F1885" t="inlineStr"/>
      <c r="G1885" t="inlineStr"/>
      <c r="H1885" t="inlineStr"/>
    </row>
    <row r="1886">
      <c r="A1886" t="inlineStr">
        <is>
          <t>0eebc8cb-1d8f-4560-be55-85bc32ac024c.jpg</t>
        </is>
      </c>
      <c r="B1886">
        <f>HYPERLINK("Объекты недвижимости, не соответствующие градостроительным нормам_00-022_Август/0eebc8cb-1d8f-4560-be55-85bc32ac024c.jpg","open")</f>
        <v/>
      </c>
      <c r="C1886" t="inlineStr">
        <is>
          <t>fce890a6-27da-4062-a046-08262a160ee6</t>
        </is>
      </c>
      <c r="D1886" t="n">
        <v>55.7662</v>
      </c>
      <c r="E1886" t="n">
        <v>37.6831</v>
      </c>
      <c r="F1886" t="inlineStr"/>
      <c r="G1886" t="inlineStr"/>
      <c r="H1886" t="inlineStr"/>
    </row>
    <row r="1887">
      <c r="A1887" t="inlineStr">
        <is>
          <t>4493fc74-de21-4660-8c77-af8ea25cc1c5.jpg</t>
        </is>
      </c>
      <c r="B1887">
        <f>HYPERLINK("Объекты недвижимости, не соответствующие градостроительным нормам_00-022_Август/4493fc74-de21-4660-8c77-af8ea25cc1c5.jpg","open")</f>
        <v/>
      </c>
      <c r="C1887" t="inlineStr">
        <is>
          <t>e26f5fc2-1353-4f29-85f3-87c56419161c</t>
        </is>
      </c>
      <c r="D1887" t="n">
        <v>55.74867</v>
      </c>
      <c r="E1887" t="n">
        <v>37.66291</v>
      </c>
      <c r="F1887" t="inlineStr"/>
      <c r="G1887" t="inlineStr"/>
      <c r="H1887" t="inlineStr"/>
    </row>
    <row r="1888">
      <c r="A1888" t="inlineStr">
        <is>
          <t>00eae865-9db1-428f-9481-1b27118885ee.jpg</t>
        </is>
      </c>
      <c r="B1888">
        <f>HYPERLINK("Объекты недвижимости, не соответствующие градостроительным нормам_00-022_Август/00eae865-9db1-428f-9481-1b27118885ee.jpg","open")</f>
        <v/>
      </c>
      <c r="C1888" t="inlineStr">
        <is>
          <t>4cd87d14-7440-44b7-a5b2-a738e10006f7</t>
        </is>
      </c>
      <c r="D1888" t="n">
        <v>55.74867</v>
      </c>
      <c r="E1888" t="n">
        <v>37.66291</v>
      </c>
      <c r="F1888" t="inlineStr"/>
      <c r="G1888" t="inlineStr"/>
      <c r="H1888" t="inlineStr"/>
    </row>
    <row r="1889">
      <c r="A1889" t="inlineStr">
        <is>
          <t>c3fc75bc-b526-4a7b-954d-0440fdf7c266.jpg</t>
        </is>
      </c>
      <c r="B1889">
        <f>HYPERLINK("Объекты недвижимости, не соответствующие градостроительным нормам_00-022_Август/c3fc75bc-b526-4a7b-954d-0440fdf7c266.jpg","open")</f>
        <v/>
      </c>
      <c r="C1889" t="inlineStr">
        <is>
          <t>4cd87d14-7440-44b7-a5b2-a738e10006f7</t>
        </is>
      </c>
      <c r="D1889" t="n">
        <v>55.74867</v>
      </c>
      <c r="E1889" t="n">
        <v>37.66291</v>
      </c>
      <c r="F1889" t="inlineStr"/>
      <c r="G1889" t="inlineStr"/>
      <c r="H1889" t="inlineStr"/>
    </row>
    <row r="1890">
      <c r="A1890" t="inlineStr">
        <is>
          <t>fcbd2411-ef05-408a-9916-81d6382b8766.jpg</t>
        </is>
      </c>
      <c r="B1890">
        <f>HYPERLINK("Объекты недвижимости, не соответствующие градостроительным нормам_00-022_Август/fcbd2411-ef05-408a-9916-81d6382b8766.jpg","open")</f>
        <v/>
      </c>
      <c r="C1890" t="inlineStr">
        <is>
          <t>e26f5fc2-1353-4f29-85f3-87c56419161c</t>
        </is>
      </c>
      <c r="D1890" t="n">
        <v>55.74867</v>
      </c>
      <c r="E1890" t="n">
        <v>37.66291</v>
      </c>
      <c r="F1890" t="inlineStr"/>
      <c r="G1890" t="inlineStr"/>
      <c r="H1890" t="inlineStr"/>
    </row>
    <row r="1891">
      <c r="A1891" t="inlineStr">
        <is>
          <t>176e8207-8e83-45c2-b059-e1253ba6cf60.jpg</t>
        </is>
      </c>
      <c r="B1891">
        <f>HYPERLINK("Объекты недвижимости, не соответствующие градостроительным нормам_00-022_Август/176e8207-8e83-45c2-b059-e1253ba6cf60.jpg","open")</f>
        <v/>
      </c>
      <c r="C1891" t="inlineStr">
        <is>
          <t>e26f5fc2-1353-4f29-85f3-87c56419161c</t>
        </is>
      </c>
      <c r="D1891" t="n">
        <v>55.74867</v>
      </c>
      <c r="E1891" t="n">
        <v>37.66291</v>
      </c>
      <c r="F1891" t="inlineStr"/>
      <c r="G1891" t="inlineStr"/>
      <c r="H1891" t="inlineStr"/>
    </row>
    <row r="1892">
      <c r="A1892" t="inlineStr">
        <is>
          <t>fdca305a-552b-4fca-a73a-5557b139b04f.jpg</t>
        </is>
      </c>
      <c r="B1892">
        <f>HYPERLINK("Объекты недвижимости, не соответствующие градостроительным нормам_00-022_Август/fdca305a-552b-4fca-a73a-5557b139b04f.jpg","open")</f>
        <v/>
      </c>
      <c r="C1892" t="inlineStr">
        <is>
          <t>db8b536c-32f2-4d9a-ae08-679d227e61f1</t>
        </is>
      </c>
      <c r="D1892" t="n">
        <v>55.69105</v>
      </c>
      <c r="E1892" t="n">
        <v>37.58998</v>
      </c>
      <c r="F1892" t="inlineStr"/>
      <c r="G1892" t="inlineStr"/>
      <c r="H1892" t="inlineStr"/>
    </row>
    <row r="1893">
      <c r="A1893" t="inlineStr">
        <is>
          <t>912a48bc-ecbd-4b97-953c-0c89b8b5364f.jpg</t>
        </is>
      </c>
      <c r="B1893">
        <f>HYPERLINK("Объекты недвижимости, не соответствующие градостроительным нормам_00-022_Август/912a48bc-ecbd-4b97-953c-0c89b8b5364f.jpg","open")</f>
        <v/>
      </c>
      <c r="C1893" t="inlineStr">
        <is>
          <t>57812597-37e6-414c-8b11-8c661dbfeb70</t>
        </is>
      </c>
      <c r="D1893" t="n">
        <v>55.78856</v>
      </c>
      <c r="E1893" t="n">
        <v>37.63292</v>
      </c>
      <c r="F1893" t="inlineStr"/>
      <c r="G1893" t="inlineStr"/>
      <c r="H1893" t="inlineStr"/>
    </row>
    <row r="1894">
      <c r="A1894" t="inlineStr">
        <is>
          <t>4d21c711-da5e-4d5e-8799-adc117b24766.jpg</t>
        </is>
      </c>
      <c r="B1894">
        <f>HYPERLINK("Объекты недвижимости, не соответствующие градостроительным нормам_00-022_Август/4d21c711-da5e-4d5e-8799-adc117b24766.jpg","open")</f>
        <v/>
      </c>
      <c r="C1894" t="inlineStr">
        <is>
          <t>fce890a6-27da-4062-a046-08262a160ee6</t>
        </is>
      </c>
      <c r="D1894" t="n">
        <v>55.7662</v>
      </c>
      <c r="E1894" t="n">
        <v>37.6831</v>
      </c>
      <c r="F1894" t="inlineStr"/>
      <c r="G1894" t="inlineStr"/>
      <c r="H1894" t="inlineStr"/>
    </row>
    <row r="1895">
      <c r="A1895" t="inlineStr">
        <is>
          <t>ad4bf810-1c08-44ed-87ae-e00008dc8d41.jpg</t>
        </is>
      </c>
      <c r="B1895">
        <f>HYPERLINK("Объекты недвижимости, не соответствующие градостроительным нормам_00-022_Август/ad4bf810-1c08-44ed-87ae-e00008dc8d41.jpg","open")</f>
        <v/>
      </c>
      <c r="C1895" t="inlineStr">
        <is>
          <t>9f88688f-4c81-42a8-b76a-3c3e7edf869e</t>
        </is>
      </c>
      <c r="D1895" t="n">
        <v>55.7662</v>
      </c>
      <c r="E1895" t="n">
        <v>37.6831</v>
      </c>
      <c r="F1895" t="inlineStr"/>
      <c r="G1895" t="inlineStr"/>
      <c r="H1895" t="inlineStr"/>
    </row>
    <row r="1896">
      <c r="A1896" t="inlineStr">
        <is>
          <t>baf7e088-159e-4902-872a-b5eca31532fb.jpg</t>
        </is>
      </c>
      <c r="B1896">
        <f>HYPERLINK("Объекты недвижимости, не соответствующие градостроительным нормам_00-022_Август/baf7e088-159e-4902-872a-b5eca31532fb.jpg","open")</f>
        <v/>
      </c>
      <c r="C1896" t="inlineStr">
        <is>
          <t>fce890a6-27da-4062-a046-08262a160ee6</t>
        </is>
      </c>
      <c r="D1896" t="n">
        <v>55.7662</v>
      </c>
      <c r="E1896" t="n">
        <v>37.6831</v>
      </c>
      <c r="F1896" t="inlineStr"/>
      <c r="G1896" t="inlineStr"/>
      <c r="H1896" t="inlineStr"/>
    </row>
    <row r="1897">
      <c r="A1897" t="inlineStr">
        <is>
          <t>eb56f5d0-faae-4f03-8094-8dffd403e60f.jpg</t>
        </is>
      </c>
      <c r="B1897">
        <f>HYPERLINK("Объекты недвижимости, не соответствующие градостроительным нормам_00-022_Август/eb56f5d0-faae-4f03-8094-8dffd403e60f.jpg","open")</f>
        <v/>
      </c>
      <c r="C1897" t="inlineStr">
        <is>
          <t>9f88688f-4c81-42a8-b76a-3c3e7edf869e</t>
        </is>
      </c>
      <c r="D1897" t="n">
        <v>55.7662</v>
      </c>
      <c r="E1897" t="n">
        <v>37.6831</v>
      </c>
      <c r="F1897" t="inlineStr"/>
      <c r="G1897" t="inlineStr"/>
      <c r="H1897" t="inlineStr"/>
    </row>
    <row r="1898">
      <c r="A1898" t="inlineStr">
        <is>
          <t>e73100fa-40c4-4965-b2f7-50bcb5cf674c.jpg</t>
        </is>
      </c>
      <c r="B1898">
        <f>HYPERLINK("Объекты недвижимости, не соответствующие градостроительным нормам_00-022_Август/e73100fa-40c4-4965-b2f7-50bcb5cf674c.jpg","open")</f>
        <v/>
      </c>
      <c r="C1898" t="inlineStr">
        <is>
          <t>5e5b9944-4f9e-4223-bf96-0bc0c8a93dfa</t>
        </is>
      </c>
      <c r="D1898" t="n">
        <v>55.97651</v>
      </c>
      <c r="E1898" t="n">
        <v>37.43026</v>
      </c>
      <c r="F1898" t="inlineStr"/>
      <c r="G1898" t="inlineStr"/>
      <c r="H1898" t="inlineStr"/>
    </row>
    <row r="1899">
      <c r="A1899" t="inlineStr">
        <is>
          <t>4d18a081-e6e3-4db1-ae6b-c7eed237ce8c.jpg</t>
        </is>
      </c>
      <c r="B1899">
        <f>HYPERLINK("Объекты недвижимости, не соответствующие градостроительным нормам_00-022_Август/4d18a081-e6e3-4db1-ae6b-c7eed237ce8c.jpg","open")</f>
        <v/>
      </c>
      <c r="C1899" t="inlineStr">
        <is>
          <t>ab4e767f-65c0-455b-af20-a5527124fd21</t>
        </is>
      </c>
      <c r="D1899" t="n">
        <v>55.7225</v>
      </c>
      <c r="E1899" t="n">
        <v>37.66323</v>
      </c>
      <c r="F1899" t="inlineStr"/>
      <c r="G1899" t="inlineStr"/>
      <c r="H1899" t="inlineStr"/>
    </row>
    <row r="1900">
      <c r="A1900" t="inlineStr">
        <is>
          <t>2f34e8a1-f334-4d9c-9ad8-0e21ec285102.jpg</t>
        </is>
      </c>
      <c r="B1900">
        <f>HYPERLINK("Объекты недвижимости, не соответствующие градостроительным нормам_00-022_Август/2f34e8a1-f334-4d9c-9ad8-0e21ec285102.jpg","open")</f>
        <v/>
      </c>
      <c r="C1900" t="inlineStr">
        <is>
          <t>b0b7ea82-53be-40d0-b992-e2fd18611d5c</t>
        </is>
      </c>
      <c r="D1900" t="n">
        <v>55.81435</v>
      </c>
      <c r="E1900" t="n">
        <v>37.67568</v>
      </c>
      <c r="F1900" t="inlineStr"/>
      <c r="G1900" t="inlineStr"/>
      <c r="H1900" t="inlineStr"/>
    </row>
    <row r="1901">
      <c r="A1901" t="inlineStr">
        <is>
          <t>7b051663-5398-4359-977c-2c333727e485.jpg</t>
        </is>
      </c>
      <c r="B1901">
        <f>HYPERLINK("Объекты недвижимости, не соответствующие градостроительным нормам_00-022_Август/7b051663-5398-4359-977c-2c333727e485.jpg","open")</f>
        <v/>
      </c>
      <c r="C1901" t="inlineStr">
        <is>
          <t>750bf7e4-0f0f-4f1a-96af-607dc8c1f1c9</t>
        </is>
      </c>
      <c r="D1901" t="n">
        <v>55.75014</v>
      </c>
      <c r="E1901" t="n">
        <v>37.64281</v>
      </c>
      <c r="F1901" t="inlineStr"/>
      <c r="G1901" t="inlineStr"/>
      <c r="H1901" t="inlineStr"/>
    </row>
    <row r="1902">
      <c r="A1902" t="inlineStr">
        <is>
          <t>cf7700c6-da9b-49a5-921e-b1d8fc15ce78.jpg</t>
        </is>
      </c>
      <c r="B1902">
        <f>HYPERLINK("Объекты недвижимости, не соответствующие градостроительным нормам_00-022_Август/cf7700c6-da9b-49a5-921e-b1d8fc15ce78.jpg","open")</f>
        <v/>
      </c>
      <c r="C1902" t="inlineStr">
        <is>
          <t>750bf7e4-0f0f-4f1a-96af-607dc8c1f1c9</t>
        </is>
      </c>
      <c r="D1902" t="n">
        <v>55.75014</v>
      </c>
      <c r="E1902" t="n">
        <v>37.64281</v>
      </c>
      <c r="F1902" t="inlineStr"/>
      <c r="G1902" t="inlineStr"/>
      <c r="H1902" t="inlineStr"/>
    </row>
    <row r="1903">
      <c r="A1903" t="inlineStr">
        <is>
          <t>36d52dea-9e4c-49ba-99f5-b1676bfeadcf.jpg</t>
        </is>
      </c>
      <c r="B1903">
        <f>HYPERLINK("Объекты недвижимости, не соответствующие градостроительным нормам_00-022_Август/36d52dea-9e4c-49ba-99f5-b1676bfeadcf.jpg","open")</f>
        <v/>
      </c>
      <c r="C1903" t="inlineStr">
        <is>
          <t>789f6c51-64ee-4078-b7bd-443af8b8b68a</t>
        </is>
      </c>
      <c r="D1903" t="n">
        <v>51.89038</v>
      </c>
      <c r="E1903" t="n">
        <v>38.18009</v>
      </c>
      <c r="F1903" t="inlineStr"/>
      <c r="G1903" t="inlineStr"/>
      <c r="H1903" t="inlineStr"/>
    </row>
    <row r="1904">
      <c r="A1904" t="inlineStr">
        <is>
          <t>63626d99-c647-4537-ae25-83ed85b1aa08.jpg</t>
        </is>
      </c>
      <c r="B1904">
        <f>HYPERLINK("Объекты недвижимости, не соответствующие градостроительным нормам_00-022_Август/63626d99-c647-4537-ae25-83ed85b1aa08.jpg","open")</f>
        <v/>
      </c>
      <c r="C1904" t="inlineStr">
        <is>
          <t>57aae8a4-582b-4309-8045-c8127a9f86ae</t>
        </is>
      </c>
      <c r="D1904" t="n">
        <v>55.75246</v>
      </c>
      <c r="E1904" t="n">
        <v>37.64272</v>
      </c>
      <c r="F1904" t="inlineStr"/>
      <c r="G1904" t="inlineStr"/>
      <c r="H1904" t="inlineStr"/>
    </row>
    <row r="1905">
      <c r="A1905" t="inlineStr">
        <is>
          <t>de11bb92-89ff-4ee5-b696-c6b34791263f.jpg</t>
        </is>
      </c>
      <c r="B1905">
        <f>HYPERLINK("Объекты недвижимости, не соответствующие градостроительным нормам_00-022_Август/de11bb92-89ff-4ee5-b696-c6b34791263f.jpg","open")</f>
        <v/>
      </c>
      <c r="C1905" t="inlineStr">
        <is>
          <t>789f6c51-64ee-4078-b7bd-443af8b8b68a</t>
        </is>
      </c>
      <c r="D1905" t="n">
        <v>51.89038</v>
      </c>
      <c r="E1905" t="n">
        <v>38.18009</v>
      </c>
      <c r="F1905" t="inlineStr"/>
      <c r="G1905" t="inlineStr"/>
      <c r="H1905" t="inlineStr"/>
    </row>
    <row r="1906">
      <c r="A1906" t="inlineStr">
        <is>
          <t>07929261-5a7c-42c7-9835-03586bed499e.jpg</t>
        </is>
      </c>
      <c r="B1906">
        <f>HYPERLINK("Объекты недвижимости, не соответствующие градостроительным нормам_00-022_Август/07929261-5a7c-42c7-9835-03586bed499e.jpg","open")</f>
        <v/>
      </c>
      <c r="C1906" t="inlineStr">
        <is>
          <t>2acfb2da-e3f6-464c-bd17-4b713522c142</t>
        </is>
      </c>
      <c r="D1906" t="n">
        <v>51.89038</v>
      </c>
      <c r="E1906" t="n">
        <v>38.18009</v>
      </c>
      <c r="F1906" t="inlineStr"/>
      <c r="G1906" t="inlineStr"/>
      <c r="H1906" t="inlineStr"/>
    </row>
    <row r="1907">
      <c r="A1907" t="inlineStr">
        <is>
          <t>50d61d31-544b-4f9c-83ed-2f7d92602724.jpg</t>
        </is>
      </c>
      <c r="B1907">
        <f>HYPERLINK("Объекты недвижимости, не соответствующие градостроительным нормам_00-022_Август/50d61d31-544b-4f9c-83ed-2f7d92602724.jpg","open")</f>
        <v/>
      </c>
      <c r="C1907" t="inlineStr">
        <is>
          <t>b0429a31-0c70-4b9f-8ea5-73929d82f89e</t>
        </is>
      </c>
      <c r="D1907" t="n">
        <v>55.75262</v>
      </c>
      <c r="E1907" t="n">
        <v>37.64305</v>
      </c>
      <c r="F1907" t="inlineStr"/>
      <c r="G1907" t="inlineStr"/>
      <c r="H1907" t="inlineStr"/>
    </row>
    <row r="1908">
      <c r="A1908" t="inlineStr">
        <is>
          <t>e7eac405-114a-48e8-931d-58050f5c148f.jpg</t>
        </is>
      </c>
      <c r="B1908">
        <f>HYPERLINK("Объекты недвижимости, не соответствующие градостроительным нормам_00-022_Август/e7eac405-114a-48e8-931d-58050f5c148f.jpg","open")</f>
        <v/>
      </c>
      <c r="C1908" t="inlineStr">
        <is>
          <t>29ad9edb-d533-4272-a986-be24eb004851</t>
        </is>
      </c>
      <c r="D1908" t="n">
        <v>55.72266</v>
      </c>
      <c r="E1908" t="n">
        <v>37.60957</v>
      </c>
      <c r="F1908" t="inlineStr"/>
      <c r="G1908" t="inlineStr"/>
      <c r="H1908" t="inlineStr"/>
    </row>
    <row r="1909">
      <c r="A1909" t="inlineStr">
        <is>
          <t>106f7866-7a28-4fd5-bb89-70b9cde2360d.jpg</t>
        </is>
      </c>
      <c r="B1909">
        <f>HYPERLINK("Объекты недвижимости, не соответствующие градостроительным нормам_00-022_Август/106f7866-7a28-4fd5-bb89-70b9cde2360d.jpg","open")</f>
        <v/>
      </c>
      <c r="C1909" t="inlineStr">
        <is>
          <t>8cde1fd0-eca1-4510-86ab-3c743b65fdfc</t>
        </is>
      </c>
      <c r="D1909" t="n">
        <v>55.75059</v>
      </c>
      <c r="E1909" t="n">
        <v>37.6992</v>
      </c>
      <c r="F1909" t="inlineStr"/>
      <c r="G1909" t="inlineStr"/>
      <c r="H1909" t="inlineStr"/>
    </row>
    <row r="1910">
      <c r="A1910" t="inlineStr">
        <is>
          <t>6174fb3f-3ecc-473a-aafe-977ba3a8314e.jpg</t>
        </is>
      </c>
      <c r="B1910">
        <f>HYPERLINK("Объекты недвижимости, не соответствующие градостроительным нормам_00-022_Август/6174fb3f-3ecc-473a-aafe-977ba3a8314e.jpg","open")</f>
        <v/>
      </c>
      <c r="C1910" t="inlineStr">
        <is>
          <t>acedacc2-0d8b-4fc1-9622-25621a89d071</t>
        </is>
      </c>
      <c r="D1910" t="n">
        <v>55.75246</v>
      </c>
      <c r="E1910" t="n">
        <v>37.64272</v>
      </c>
      <c r="F1910" t="inlineStr"/>
      <c r="G1910" t="inlineStr"/>
      <c r="H1910" t="inlineStr"/>
    </row>
    <row r="1911">
      <c r="A1911" t="inlineStr">
        <is>
          <t>3e7a047d-24d0-4d2a-90b1-77fe7b564c7e.jpg</t>
        </is>
      </c>
      <c r="B1911">
        <f>HYPERLINK("Объекты недвижимости, не соответствующие градостроительным нормам_00-022_Август/3e7a047d-24d0-4d2a-90b1-77fe7b564c7e.jpg","open")</f>
        <v/>
      </c>
      <c r="C1911" t="inlineStr">
        <is>
          <t>8cde1fd0-eca1-4510-86ab-3c743b65fdfc</t>
        </is>
      </c>
      <c r="D1911" t="n">
        <v>55.75059</v>
      </c>
      <c r="E1911" t="n">
        <v>37.6992</v>
      </c>
      <c r="F1911" t="inlineStr"/>
      <c r="G1911" t="inlineStr"/>
      <c r="H1911" t="inlineStr"/>
    </row>
    <row r="1912">
      <c r="A1912" t="inlineStr">
        <is>
          <t>088f41ce-9977-4b64-aca1-ba61ca4b2422.jpg</t>
        </is>
      </c>
      <c r="B1912">
        <f>HYPERLINK("Объекты недвижимости, не соответствующие градостроительным нормам_00-022_Август/088f41ce-9977-4b64-aca1-ba61ca4b2422.jpg","open")</f>
        <v/>
      </c>
      <c r="C1912" t="inlineStr">
        <is>
          <t>61936922-4d4b-458e-80ea-6d4c450aa1d5</t>
        </is>
      </c>
      <c r="D1912" t="n">
        <v>55.75203</v>
      </c>
      <c r="E1912" t="n">
        <v>37.64303</v>
      </c>
      <c r="F1912" t="inlineStr"/>
      <c r="G1912" t="inlineStr"/>
      <c r="H1912" t="inlineStr"/>
    </row>
    <row r="1913">
      <c r="A1913" t="inlineStr">
        <is>
          <t>b08dd6a1-4b15-47bb-8437-fda71fa3ca15.jpg</t>
        </is>
      </c>
      <c r="B1913">
        <f>HYPERLINK("Объекты недвижимости, не соответствующие градостроительным нормам_00-022_Август/b08dd6a1-4b15-47bb-8437-fda71fa3ca15.jpg","open")</f>
        <v/>
      </c>
      <c r="C1913" t="inlineStr">
        <is>
          <t>61936922-4d4b-458e-80ea-6d4c450aa1d5</t>
        </is>
      </c>
      <c r="D1913" t="n">
        <v>55.83387</v>
      </c>
      <c r="E1913" t="n">
        <v>37.65026</v>
      </c>
      <c r="F1913" t="inlineStr"/>
      <c r="G1913" t="inlineStr"/>
      <c r="H1913" t="inlineStr"/>
    </row>
    <row r="1914">
      <c r="A1914" t="inlineStr">
        <is>
          <t>2a0880ea-ea49-485b-9121-3d9d9a0bc173.jpg</t>
        </is>
      </c>
      <c r="B1914">
        <f>HYPERLINK("Объекты недвижимости, не соответствующие градостроительным нормам_00-022_Август/2a0880ea-ea49-485b-9121-3d9d9a0bc173.jpg","open")</f>
        <v/>
      </c>
      <c r="C1914" t="inlineStr">
        <is>
          <t>31a713a9-b910-424b-b847-e0eaa2f70c70</t>
        </is>
      </c>
      <c r="D1914" t="n">
        <v>55.75913</v>
      </c>
      <c r="E1914" t="n">
        <v>37.81637</v>
      </c>
      <c r="F1914" t="inlineStr"/>
      <c r="G1914" t="inlineStr"/>
      <c r="H1914" t="inlineStr"/>
    </row>
    <row r="1915">
      <c r="A1915" t="inlineStr">
        <is>
          <t>e208ecb5-6a73-43b2-a7dc-b1d8aca2e935.jpg</t>
        </is>
      </c>
      <c r="B1915">
        <f>HYPERLINK("Объекты недвижимости, не соответствующие градостроительным нормам_00-022_Август/e208ecb5-6a73-43b2-a7dc-b1d8aca2e935.jpg","open")</f>
        <v/>
      </c>
      <c r="C1915" t="inlineStr">
        <is>
          <t>dd48f742-b338-42e2-bbaf-b3a9701b437c</t>
        </is>
      </c>
      <c r="D1915" t="n">
        <v>55.79163</v>
      </c>
      <c r="E1915" t="n">
        <v>37.63236</v>
      </c>
      <c r="F1915" t="inlineStr"/>
      <c r="G1915" t="inlineStr"/>
      <c r="H1915" t="inlineStr"/>
    </row>
    <row r="1916">
      <c r="A1916" t="inlineStr">
        <is>
          <t>638faf8e-421f-462d-b2db-5981448a8e6b.jpg</t>
        </is>
      </c>
      <c r="B1916">
        <f>HYPERLINK("Объекты недвижимости, не соответствующие градостроительным нормам_00-022_Август/638faf8e-421f-462d-b2db-5981448a8e6b.jpg","open")</f>
        <v/>
      </c>
      <c r="C1916" t="inlineStr">
        <is>
          <t>8cde1fd0-eca1-4510-86ab-3c743b65fdfc</t>
        </is>
      </c>
      <c r="D1916" t="n">
        <v>55.71225</v>
      </c>
      <c r="E1916" t="n">
        <v>37.83286</v>
      </c>
      <c r="F1916" t="inlineStr"/>
      <c r="G1916" t="inlineStr"/>
      <c r="H1916" t="inlineStr"/>
    </row>
    <row r="1917">
      <c r="A1917" t="inlineStr">
        <is>
          <t>5b601c9a-b6b5-49c5-b54f-78aa233bfd41.jpg</t>
        </is>
      </c>
      <c r="B1917">
        <f>HYPERLINK("Объекты недвижимости, не соответствующие градостроительным нормам_00-022_Август/5b601c9a-b6b5-49c5-b54f-78aa233bfd41.jpg","open")</f>
        <v/>
      </c>
      <c r="C1917" t="inlineStr">
        <is>
          <t>f9ad0a8f-1e33-4fca-bdfe-5b844d3ee381</t>
        </is>
      </c>
      <c r="D1917" t="n">
        <v>55.81368</v>
      </c>
      <c r="E1917" t="n">
        <v>37.47292</v>
      </c>
      <c r="F1917" t="inlineStr"/>
      <c r="G1917" t="inlineStr"/>
      <c r="H1917" t="inlineStr"/>
    </row>
    <row r="1918">
      <c r="A1918" t="inlineStr">
        <is>
          <t>25357792-5e7d-4d4d-988a-0869805641f2.jpg</t>
        </is>
      </c>
      <c r="B1918">
        <f>HYPERLINK("Объекты недвижимости, не соответствующие градостроительным нормам_00-022_Август/25357792-5e7d-4d4d-988a-0869805641f2.jpg","open")</f>
        <v/>
      </c>
      <c r="C1918" t="inlineStr">
        <is>
          <t>2acfb2da-e3f6-464c-bd17-4b713522c142</t>
        </is>
      </c>
      <c r="D1918" t="n">
        <v>55.83465</v>
      </c>
      <c r="E1918" t="n">
        <v>37.65547</v>
      </c>
      <c r="F1918" t="inlineStr"/>
      <c r="G1918" t="inlineStr"/>
      <c r="H1918" t="inlineStr"/>
    </row>
    <row r="1919">
      <c r="A1919" t="inlineStr">
        <is>
          <t>a0e3080c-d685-454c-8bd7-67ff05df9610.jpg</t>
        </is>
      </c>
      <c r="B1919">
        <f>HYPERLINK("Объекты недвижимости, не соответствующие градостроительным нормам_00-022_Август/a0e3080c-d685-454c-8bd7-67ff05df9610.jpg","open")</f>
        <v/>
      </c>
      <c r="C1919" t="inlineStr">
        <is>
          <t>2acfb2da-e3f6-464c-bd17-4b713522c142</t>
        </is>
      </c>
      <c r="D1919" t="n">
        <v>55.83465</v>
      </c>
      <c r="E1919" t="n">
        <v>37.65547</v>
      </c>
      <c r="F1919" t="inlineStr"/>
      <c r="G1919" t="inlineStr"/>
      <c r="H1919" t="inlineStr"/>
    </row>
    <row r="1920">
      <c r="A1920" t="inlineStr">
        <is>
          <t>53a12000-53d0-4fc8-abea-4c40232a9fc7.jpg</t>
        </is>
      </c>
      <c r="B1920">
        <f>HYPERLINK("Объекты недвижимости, не соответствующие градостроительным нормам_00-022_Август/53a12000-53d0-4fc8-abea-4c40232a9fc7.jpg","open")</f>
        <v/>
      </c>
      <c r="C1920" t="inlineStr">
        <is>
          <t>789f6c51-64ee-4078-b7bd-443af8b8b68a</t>
        </is>
      </c>
      <c r="D1920" t="n">
        <v>55.83465</v>
      </c>
      <c r="E1920" t="n">
        <v>37.65547</v>
      </c>
      <c r="F1920" t="inlineStr"/>
      <c r="G1920" t="inlineStr"/>
      <c r="H1920" t="inlineStr"/>
    </row>
    <row r="1921">
      <c r="A1921" t="inlineStr">
        <is>
          <t>dd26acb2-59ef-4b0c-884c-115b0cdb45b5.jpg</t>
        </is>
      </c>
      <c r="B1921">
        <f>HYPERLINK("Объекты недвижимости, не соответствующие градостроительным нормам_00-022_Август/dd26acb2-59ef-4b0c-884c-115b0cdb45b5.jpg","open")</f>
        <v/>
      </c>
      <c r="C1921" t="inlineStr">
        <is>
          <t>2acfb2da-e3f6-464c-bd17-4b713522c142</t>
        </is>
      </c>
      <c r="D1921" t="n">
        <v>55.83465</v>
      </c>
      <c r="E1921" t="n">
        <v>37.65547</v>
      </c>
      <c r="F1921" t="inlineStr"/>
      <c r="G1921" t="inlineStr"/>
      <c r="H1921" t="inlineStr"/>
    </row>
    <row r="1922">
      <c r="A1922" t="inlineStr">
        <is>
          <t>1a7ffdb1-00fc-424f-b34a-737ce0401a29.jpg</t>
        </is>
      </c>
      <c r="B1922">
        <f>HYPERLINK("Объекты недвижимости, не соответствующие градостроительным нормам_00-022_Август/1a7ffdb1-00fc-424f-b34a-737ce0401a29.jpg","open")</f>
        <v/>
      </c>
      <c r="C1922" t="inlineStr">
        <is>
          <t>8cde1fd0-eca1-4510-86ab-3c743b65fdfc</t>
        </is>
      </c>
      <c r="D1922" t="n">
        <v>55.72875</v>
      </c>
      <c r="E1922" t="n">
        <v>37.8406</v>
      </c>
      <c r="F1922" t="inlineStr"/>
      <c r="G1922" t="inlineStr"/>
      <c r="H1922" t="inlineStr"/>
    </row>
    <row r="1923">
      <c r="A1923" t="inlineStr">
        <is>
          <t>9cf3899b-2c25-4af5-91f8-77a49255c7e7.jpg</t>
        </is>
      </c>
      <c r="B1923">
        <f>HYPERLINK("Объекты недвижимости, не соответствующие градостроительным нормам_00-022_Август/9cf3899b-2c25-4af5-91f8-77a49255c7e7.jpg","open")</f>
        <v/>
      </c>
      <c r="C1923" t="inlineStr">
        <is>
          <t>caa4772d-6278-4484-a046-ee25514bf521</t>
        </is>
      </c>
      <c r="D1923" t="n">
        <v>55.87861</v>
      </c>
      <c r="E1923" t="n">
        <v>37.43409</v>
      </c>
      <c r="F1923" t="inlineStr"/>
      <c r="G1923" t="inlineStr"/>
      <c r="H1923" t="inlineStr"/>
    </row>
    <row r="1924">
      <c r="A1924" t="inlineStr">
        <is>
          <t>69681735-c68d-4bb6-97d6-b183cd70d1d7.jpg</t>
        </is>
      </c>
      <c r="B1924">
        <f>HYPERLINK("Объекты недвижимости, не соответствующие градостроительным нормам_00-022_Август/69681735-c68d-4bb6-97d6-b183cd70d1d7.jpg","open")</f>
        <v/>
      </c>
      <c r="C1924" t="inlineStr">
        <is>
          <t>c008bda0-324b-4c90-9c2f-36cfc930e0b5</t>
        </is>
      </c>
      <c r="D1924" t="n">
        <v>55.72266</v>
      </c>
      <c r="E1924" t="n">
        <v>37.60957</v>
      </c>
      <c r="F1924" t="inlineStr"/>
      <c r="G1924" t="inlineStr"/>
      <c r="H1924" t="inlineStr"/>
    </row>
    <row r="1925">
      <c r="A1925" t="inlineStr">
        <is>
          <t>e6604e8a-e806-4534-96e8-54a594db540d.jpg</t>
        </is>
      </c>
      <c r="B1925">
        <f>HYPERLINK("Объекты недвижимости, не соответствующие градостроительным нормам_00-022_Август/e6604e8a-e806-4534-96e8-54a594db540d.jpg","open")</f>
        <v/>
      </c>
      <c r="C1925" t="inlineStr">
        <is>
          <t>29ad9edb-d533-4272-a986-be24eb004851</t>
        </is>
      </c>
      <c r="D1925" t="n">
        <v>55.72266</v>
      </c>
      <c r="E1925" t="n">
        <v>37.60957</v>
      </c>
      <c r="F1925" t="inlineStr"/>
      <c r="G1925" t="inlineStr"/>
      <c r="H1925" t="inlineStr"/>
    </row>
    <row r="1926">
      <c r="A1926" t="inlineStr">
        <is>
          <t>1c043c62-1c93-4d1e-bdc5-9822dc753542.jpg</t>
        </is>
      </c>
      <c r="B1926">
        <f>HYPERLINK("Объекты недвижимости, не соответствующие градостроительным нормам_00-022_Август/1c043c62-1c93-4d1e-bdc5-9822dc753542.jpg","open")</f>
        <v/>
      </c>
      <c r="C1926" t="inlineStr">
        <is>
          <t>c008bda0-324b-4c90-9c2f-36cfc930e0b5</t>
        </is>
      </c>
      <c r="D1926" t="n">
        <v>55.72266</v>
      </c>
      <c r="E1926" t="n">
        <v>37.60957</v>
      </c>
      <c r="F1926" t="inlineStr"/>
      <c r="G1926" t="inlineStr"/>
      <c r="H1926" t="inlineStr"/>
    </row>
    <row r="1927">
      <c r="A1927" t="inlineStr">
        <is>
          <t>69a8bb2d-76a3-4fd2-8b0a-8d1b588afa16.jpg</t>
        </is>
      </c>
      <c r="B1927">
        <f>HYPERLINK("Объекты недвижимости, не соответствующие градостроительным нормам_00-022_Август/69a8bb2d-76a3-4fd2-8b0a-8d1b588afa16.jpg","open")</f>
        <v/>
      </c>
      <c r="C1927" t="inlineStr">
        <is>
          <t>9fb3d110-951f-48da-9d90-cfd7e1b5800d</t>
        </is>
      </c>
      <c r="D1927" t="n">
        <v>55.76625</v>
      </c>
      <c r="E1927" t="n">
        <v>37.63951</v>
      </c>
      <c r="F1927" t="inlineStr"/>
      <c r="G1927" t="inlineStr"/>
      <c r="H1927" t="inlineStr"/>
    </row>
    <row r="1928">
      <c r="A1928" t="inlineStr">
        <is>
          <t>211a0ecf-7eba-487e-8473-26b6f4d8dc24.jpg</t>
        </is>
      </c>
      <c r="B1928">
        <f>HYPERLINK("Объекты недвижимости, не соответствующие градостроительным нормам_00-022_Август/211a0ecf-7eba-487e-8473-26b6f4d8dc24.jpg","open")</f>
        <v/>
      </c>
      <c r="C1928" t="inlineStr">
        <is>
          <t>f6f80c84-5569-48fd-b627-6f41ce4c61c4</t>
        </is>
      </c>
      <c r="D1928" t="n">
        <v>55.88671</v>
      </c>
      <c r="E1928" t="n">
        <v>37.40485</v>
      </c>
      <c r="F1928" t="inlineStr"/>
      <c r="G1928" t="inlineStr"/>
      <c r="H1928" t="inlineStr"/>
    </row>
    <row r="1929">
      <c r="A1929" t="inlineStr">
        <is>
          <t>9fe8a687-a5c4-42d4-848c-44d1920398eb.jpg</t>
        </is>
      </c>
      <c r="B1929">
        <f>HYPERLINK("Объекты недвижимости, не соответствующие градостроительным нормам_00-022_Август/9fe8a687-a5c4-42d4-848c-44d1920398eb.jpg","open")</f>
        <v/>
      </c>
      <c r="C1929" t="inlineStr">
        <is>
          <t>caa4772d-6278-4484-a046-ee25514bf521</t>
        </is>
      </c>
      <c r="D1929" t="n">
        <v>55.8875</v>
      </c>
      <c r="E1929" t="n">
        <v>37.40423</v>
      </c>
      <c r="F1929" t="inlineStr"/>
      <c r="G1929" t="inlineStr"/>
      <c r="H1929" t="inlineStr"/>
    </row>
    <row r="1930">
      <c r="A1930" t="inlineStr">
        <is>
          <t>8c853f71-8144-40be-a5da-937d1c00998c.jpg</t>
        </is>
      </c>
      <c r="B1930">
        <f>HYPERLINK("Объекты недвижимости, не соответствующие градостроительным нормам_00-022_Август/8c853f71-8144-40be-a5da-937d1c00998c.jpg","open")</f>
        <v/>
      </c>
      <c r="C1930" t="inlineStr">
        <is>
          <t>5adecbcf-6742-48b8-951f-8e3abc9509e4</t>
        </is>
      </c>
      <c r="D1930" t="n">
        <v>55.97651</v>
      </c>
      <c r="E1930" t="n">
        <v>37.43026</v>
      </c>
      <c r="F1930" t="inlineStr"/>
      <c r="G1930" t="inlineStr"/>
      <c r="H1930" t="inlineStr"/>
    </row>
    <row r="1931">
      <c r="A1931" t="inlineStr">
        <is>
          <t>1ef4be43-220c-4d59-857e-24e38f6e9ffe.jpg</t>
        </is>
      </c>
      <c r="B1931">
        <f>HYPERLINK("Объекты недвижимости, не соответствующие градостроительным нормам_00-022_Август/1ef4be43-220c-4d59-857e-24e38f6e9ffe.jpg","open")</f>
        <v/>
      </c>
      <c r="C1931" t="inlineStr">
        <is>
          <t>57812597-37e6-414c-8b11-8c661dbfeb70</t>
        </is>
      </c>
      <c r="D1931" t="n">
        <v>55.77167</v>
      </c>
      <c r="E1931" t="n">
        <v>37.6437</v>
      </c>
      <c r="F1931" t="inlineStr"/>
      <c r="G1931" t="inlineStr"/>
      <c r="H1931" t="inlineStr"/>
    </row>
    <row r="1932">
      <c r="A1932" t="inlineStr">
        <is>
          <t>17e6ab56-5ebb-4bad-a7c3-88fb01bdba5a.jpg</t>
        </is>
      </c>
      <c r="B1932">
        <f>HYPERLINK("Объекты недвижимости, не соответствующие градостроительным нормам_00-022_Август/17e6ab56-5ebb-4bad-a7c3-88fb01bdba5a.jpg","open")</f>
        <v/>
      </c>
      <c r="C1932" t="inlineStr">
        <is>
          <t>57812597-37e6-414c-8b11-8c661dbfeb70</t>
        </is>
      </c>
      <c r="D1932" t="n">
        <v>55.77167</v>
      </c>
      <c r="E1932" t="n">
        <v>37.6437</v>
      </c>
      <c r="F1932" t="inlineStr"/>
      <c r="G1932" t="inlineStr"/>
      <c r="H1932" t="inlineStr"/>
    </row>
    <row r="1933">
      <c r="A1933" t="inlineStr">
        <is>
          <t>e53d1469-105a-448a-9616-ab886db17dae.jpg</t>
        </is>
      </c>
      <c r="B1933">
        <f>HYPERLINK("Объекты недвижимости, не соответствующие градостроительным нормам_00-022_Август/e53d1469-105a-448a-9616-ab886db17dae.jpg","open")</f>
        <v/>
      </c>
      <c r="C1933" t="inlineStr">
        <is>
          <t>57812597-37e6-414c-8b11-8c661dbfeb70</t>
        </is>
      </c>
      <c r="D1933" t="n">
        <v>55.77167</v>
      </c>
      <c r="E1933" t="n">
        <v>37.6437</v>
      </c>
      <c r="F1933" t="inlineStr"/>
      <c r="G1933" t="inlineStr"/>
      <c r="H1933" t="inlineStr"/>
    </row>
    <row r="1934">
      <c r="A1934" t="inlineStr">
        <is>
          <t>1e7bc285-5a7a-401d-b210-65bfc404ce14.jpg</t>
        </is>
      </c>
      <c r="B1934">
        <f>HYPERLINK("Объекты недвижимости, не соответствующие градостроительным нормам_00-022_Август/1e7bc285-5a7a-401d-b210-65bfc404ce14.jpg","open")</f>
        <v/>
      </c>
      <c r="C1934" t="inlineStr">
        <is>
          <t>1c951e11-4940-43c6-a447-394097e5609a</t>
        </is>
      </c>
      <c r="D1934" t="n">
        <v>55.74212</v>
      </c>
      <c r="E1934" t="n">
        <v>37.84806</v>
      </c>
      <c r="F1934" t="inlineStr"/>
      <c r="G1934" t="inlineStr"/>
      <c r="H1934" t="inlineStr"/>
    </row>
    <row r="1935">
      <c r="A1935" t="inlineStr">
        <is>
          <t>b79350f9-1486-40c7-b162-1a6b9bbae877.jpg</t>
        </is>
      </c>
      <c r="B1935">
        <f>HYPERLINK("Объекты недвижимости, не соответствующие градостроительным нормам_00-022_Август/b79350f9-1486-40c7-b162-1a6b9bbae877.jpg","open")</f>
        <v/>
      </c>
      <c r="C1935" t="inlineStr">
        <is>
          <t>f389b777-2837-46f0-983f-56af24850601</t>
        </is>
      </c>
      <c r="D1935" t="n">
        <v>55.77167</v>
      </c>
      <c r="E1935" t="n">
        <v>37.6437</v>
      </c>
      <c r="F1935" t="inlineStr"/>
      <c r="G1935" t="inlineStr"/>
      <c r="H1935" t="inlineStr"/>
    </row>
    <row r="1936">
      <c r="A1936" t="inlineStr">
        <is>
          <t>9af92ade-0502-4fe1-816f-312f9cfe0e58.jpg</t>
        </is>
      </c>
      <c r="B1936">
        <f>HYPERLINK("Объекты недвижимости, не соответствующие градостроительным нормам_00-022_Август/9af92ade-0502-4fe1-816f-312f9cfe0e58.jpg","open")</f>
        <v/>
      </c>
      <c r="C1936" t="inlineStr">
        <is>
          <t>57812597-37e6-414c-8b11-8c661dbfeb70</t>
        </is>
      </c>
      <c r="D1936" t="n">
        <v>55.77167</v>
      </c>
      <c r="E1936" t="n">
        <v>37.6437</v>
      </c>
      <c r="F1936" t="inlineStr"/>
      <c r="G1936" t="inlineStr"/>
      <c r="H1936" t="inlineStr"/>
    </row>
    <row r="1937">
      <c r="A1937" t="inlineStr">
        <is>
          <t>72f017dc-5af6-409a-9925-0e8526c1007b.jpg</t>
        </is>
      </c>
      <c r="B1937">
        <f>HYPERLINK("Объекты недвижимости, не соответствующие градостроительным нормам_00-022_Август/72f017dc-5af6-409a-9925-0e8526c1007b.jpg","open")</f>
        <v/>
      </c>
      <c r="C1937" t="inlineStr">
        <is>
          <t>f389b777-2837-46f0-983f-56af24850601</t>
        </is>
      </c>
      <c r="D1937" t="n">
        <v>55.77167</v>
      </c>
      <c r="E1937" t="n">
        <v>37.6437</v>
      </c>
      <c r="F1937" t="inlineStr"/>
      <c r="G1937" t="inlineStr"/>
      <c r="H1937" t="inlineStr"/>
    </row>
    <row r="1938">
      <c r="A1938" t="inlineStr">
        <is>
          <t>8c9c7de4-cad2-4807-8b47-0ab91b3369b5.jpg</t>
        </is>
      </c>
      <c r="B1938">
        <f>HYPERLINK("Объекты недвижимости, не соответствующие градостроительным нормам_00-022_Август/8c9c7de4-cad2-4807-8b47-0ab91b3369b5.jpg","open")</f>
        <v/>
      </c>
      <c r="C1938" t="inlineStr">
        <is>
          <t>ad64e6b9-1ed5-44d7-a101-4945a1f9dec6</t>
        </is>
      </c>
      <c r="D1938" t="n">
        <v>55.99046</v>
      </c>
      <c r="E1938" t="n">
        <v>37.83747</v>
      </c>
      <c r="F1938" t="inlineStr"/>
      <c r="G1938" t="inlineStr"/>
      <c r="H1938" t="inlineStr"/>
    </row>
    <row r="1939">
      <c r="A1939" t="inlineStr">
        <is>
          <t>09f412b2-793b-46cd-9629-b96a150c8f01.jpg</t>
        </is>
      </c>
      <c r="B1939">
        <f>HYPERLINK("Объекты недвижимости, не соответствующие градостроительным нормам_00-022_Август/09f412b2-793b-46cd-9629-b96a150c8f01.jpg","open")</f>
        <v/>
      </c>
      <c r="C1939" t="inlineStr">
        <is>
          <t>12e795ad-2aa7-49de-b2da-2c6aa35a4559</t>
        </is>
      </c>
      <c r="D1939" t="n">
        <v>55.99046</v>
      </c>
      <c r="E1939" t="n">
        <v>37.83747</v>
      </c>
      <c r="F1939" t="inlineStr"/>
      <c r="G1939" t="inlineStr"/>
      <c r="H1939" t="inlineStr"/>
    </row>
    <row r="1940">
      <c r="A1940" t="inlineStr">
        <is>
          <t>87ad866f-501d-4a44-aa6e-c0b677486830.jpg</t>
        </is>
      </c>
      <c r="B1940">
        <f>HYPERLINK("Объекты недвижимости, не соответствующие градостроительным нормам_00-022_Август/87ad866f-501d-4a44-aa6e-c0b677486830.jpg","open")</f>
        <v/>
      </c>
      <c r="C1940" t="inlineStr">
        <is>
          <t>57812597-37e6-414c-8b11-8c661dbfeb70</t>
        </is>
      </c>
      <c r="D1940" t="n">
        <v>55.77167</v>
      </c>
      <c r="E1940" t="n">
        <v>37.6437</v>
      </c>
      <c r="F1940" t="inlineStr"/>
      <c r="G1940" t="inlineStr"/>
      <c r="H1940" t="inlineStr"/>
    </row>
    <row r="1941">
      <c r="A1941" t="inlineStr">
        <is>
          <t>b3125d5c-5e58-4942-acd1-bad6037fbea5.jpg</t>
        </is>
      </c>
      <c r="B1941">
        <f>HYPERLINK("Объекты недвижимости, не соответствующие градостроительным нормам_00-022_Август/b3125d5c-5e58-4942-acd1-bad6037fbea5.jpg","open")</f>
        <v/>
      </c>
      <c r="C1941" t="inlineStr">
        <is>
          <t>caa4772d-6278-4484-a046-ee25514bf521</t>
        </is>
      </c>
      <c r="D1941" t="n">
        <v>55.90785</v>
      </c>
      <c r="E1941" t="n">
        <v>37.38969</v>
      </c>
      <c r="F1941" t="inlineStr"/>
      <c r="G1941" t="inlineStr"/>
      <c r="H1941" t="inlineStr"/>
    </row>
    <row r="1942">
      <c r="A1942" t="inlineStr">
        <is>
          <t>e544a5fe-98d9-4b44-ab3a-833ba6c731d4.jpg</t>
        </is>
      </c>
      <c r="B1942">
        <f>HYPERLINK("Объекты недвижимости, не соответствующие градостроительным нормам_00-022_Август/e544a5fe-98d9-4b44-ab3a-833ba6c731d4.jpg","open")</f>
        <v/>
      </c>
      <c r="C1942" t="inlineStr">
        <is>
          <t>8b2675e2-7f40-47a9-a462-7c9feecd299c</t>
        </is>
      </c>
      <c r="D1942" t="n">
        <v>55.71003</v>
      </c>
      <c r="E1942" t="n">
        <v>37.66489</v>
      </c>
      <c r="F1942" t="inlineStr"/>
      <c r="G1942" t="inlineStr"/>
      <c r="H1942" t="inlineStr"/>
    </row>
    <row r="1943">
      <c r="A1943" t="inlineStr">
        <is>
          <t>105be0a2-4f79-41f0-b394-16455a24a44f.jpg</t>
        </is>
      </c>
      <c r="B1943">
        <f>HYPERLINK("Объекты недвижимости, не соответствующие градостроительным нормам_00-022_Август/105be0a2-4f79-41f0-b394-16455a24a44f.jpg","open")</f>
        <v/>
      </c>
      <c r="C1943" t="inlineStr">
        <is>
          <t>b0429a31-0c70-4b9f-8ea5-73929d82f89e</t>
        </is>
      </c>
      <c r="D1943" t="n">
        <v>55.82874</v>
      </c>
      <c r="E1943" t="n">
        <v>37.64186</v>
      </c>
      <c r="F1943" t="inlineStr"/>
      <c r="G1943" t="inlineStr"/>
      <c r="H1943" t="inlineStr"/>
    </row>
    <row r="1944">
      <c r="A1944" t="inlineStr">
        <is>
          <t>8eaa1c91-8f70-4980-97d5-a374e65f6781.jpg</t>
        </is>
      </c>
      <c r="B1944">
        <f>HYPERLINK("Объекты недвижимости, не соответствующие градостроительным нормам_00-022_Август/8eaa1c91-8f70-4980-97d5-a374e65f6781.jpg","open")</f>
        <v/>
      </c>
      <c r="C1944" t="inlineStr">
        <is>
          <t>93848fc8-17e7-4748-9ebc-c7e379e11d2f</t>
        </is>
      </c>
      <c r="D1944" t="n">
        <v>55.74436</v>
      </c>
      <c r="E1944" t="n">
        <v>37.64417</v>
      </c>
      <c r="F1944" t="inlineStr"/>
      <c r="G1944" t="inlineStr"/>
      <c r="H1944" t="inlineStr"/>
    </row>
    <row r="1945">
      <c r="A1945" t="inlineStr">
        <is>
          <t>79b12a06-8e2d-498f-867b-1939ca1ff3ec.jpg</t>
        </is>
      </c>
      <c r="B1945">
        <f>HYPERLINK("Объекты недвижимости, не соответствующие градостроительным нормам_00-022_Август/79b12a06-8e2d-498f-867b-1939ca1ff3ec.jpg","open")</f>
        <v/>
      </c>
      <c r="C1945" t="inlineStr">
        <is>
          <t>acedacc2-0d8b-4fc1-9622-25621a89d071</t>
        </is>
      </c>
      <c r="D1945" t="n">
        <v>55.80895</v>
      </c>
      <c r="E1945" t="n">
        <v>37.72885</v>
      </c>
      <c r="F1945" t="inlineStr"/>
      <c r="G1945" t="inlineStr"/>
      <c r="H1945" t="inlineStr"/>
    </row>
    <row r="1946">
      <c r="A1946" t="inlineStr">
        <is>
          <t>b5bba6c7-9cda-4775-8851-d28681594c3c.jpg</t>
        </is>
      </c>
      <c r="B1946">
        <f>HYPERLINK("Объекты недвижимости, не соответствующие градостроительным нормам_00-022_Август/b5bba6c7-9cda-4775-8851-d28681594c3c.jpg","open")</f>
        <v/>
      </c>
      <c r="C1946" t="inlineStr">
        <is>
          <t>93848fc8-17e7-4748-9ebc-c7e379e11d2f</t>
        </is>
      </c>
      <c r="D1946" t="n">
        <v>55.74814</v>
      </c>
      <c r="E1946" t="n">
        <v>37.64284</v>
      </c>
      <c r="F1946" t="inlineStr"/>
      <c r="G1946" t="inlineStr"/>
      <c r="H1946" t="inlineStr"/>
    </row>
    <row r="1947">
      <c r="A1947" t="inlineStr">
        <is>
          <t>bff8996f-3bb6-443e-82cc-ffe8cd0134bb.jpg</t>
        </is>
      </c>
      <c r="B1947">
        <f>HYPERLINK("Объекты недвижимости, не соответствующие градостроительным нормам_00-022_Август/bff8996f-3bb6-443e-82cc-ffe8cd0134bb.jpg","open")</f>
        <v/>
      </c>
      <c r="C1947" t="inlineStr">
        <is>
          <t>93848fc8-17e7-4748-9ebc-c7e379e11d2f</t>
        </is>
      </c>
      <c r="D1947" t="n">
        <v>55.83328</v>
      </c>
      <c r="E1947" t="n">
        <v>37.65058</v>
      </c>
      <c r="F1947" t="inlineStr"/>
      <c r="G1947" t="inlineStr"/>
      <c r="H1947" t="inlineStr"/>
    </row>
    <row r="1948">
      <c r="A1948" t="inlineStr">
        <is>
          <t>eb4f916b-bb7b-4115-bcda-02d5e29f8e54.jpg</t>
        </is>
      </c>
      <c r="B1948">
        <f>HYPERLINK("Объекты недвижимости, не соответствующие градостроительным нормам_00-022_Август/eb4f916b-bb7b-4115-bcda-02d5e29f8e54.jpg","open")</f>
        <v/>
      </c>
      <c r="C1948" t="inlineStr">
        <is>
          <t>036c664f-5408-4fd0-b479-342c00468eeb</t>
        </is>
      </c>
      <c r="D1948" t="n">
        <v>55.63759</v>
      </c>
      <c r="E1948" t="n">
        <v>37.60526</v>
      </c>
      <c r="F1948" t="inlineStr"/>
      <c r="G1948" t="inlineStr"/>
      <c r="H1948" t="inlineStr"/>
    </row>
    <row r="1949">
      <c r="A1949" t="inlineStr">
        <is>
          <t>6eabb9ba-3a56-4fd8-93c7-1309f2c2f02a.jpg</t>
        </is>
      </c>
      <c r="B1949">
        <f>HYPERLINK("Объекты недвижимости, не соответствующие градостроительным нормам_00-022_Август/6eabb9ba-3a56-4fd8-93c7-1309f2c2f02a.jpg","open")</f>
        <v/>
      </c>
      <c r="C1949" t="inlineStr">
        <is>
          <t>2acfb2da-e3f6-464c-bd17-4b713522c142</t>
        </is>
      </c>
      <c r="D1949" t="n">
        <v>55.83218</v>
      </c>
      <c r="E1949" t="n">
        <v>37.68457</v>
      </c>
      <c r="F1949" t="inlineStr"/>
      <c r="G1949" t="inlineStr"/>
      <c r="H1949" t="inlineStr"/>
    </row>
    <row r="1950">
      <c r="A1950" t="inlineStr">
        <is>
          <t>cb148502-e7e1-45db-a9cd-948b7ecafbfa.jpg</t>
        </is>
      </c>
      <c r="B1950">
        <f>HYPERLINK("Объекты недвижимости, не соответствующие градостроительным нормам_00-022_Август/cb148502-e7e1-45db-a9cd-948b7ecafbfa.jpg","open")</f>
        <v/>
      </c>
      <c r="C1950" t="inlineStr">
        <is>
          <t>789f6c51-64ee-4078-b7bd-443af8b8b68a</t>
        </is>
      </c>
      <c r="D1950" t="n">
        <v>55.83216</v>
      </c>
      <c r="E1950" t="n">
        <v>37.68457</v>
      </c>
      <c r="F1950" t="inlineStr"/>
      <c r="G1950" t="inlineStr"/>
      <c r="H1950" t="inlineStr"/>
    </row>
    <row r="1951">
      <c r="A1951" t="inlineStr">
        <is>
          <t>ef4756ea-6102-4360-a557-971e816c1c48.jpg</t>
        </is>
      </c>
      <c r="B1951">
        <f>HYPERLINK("Объекты недвижимости, не соответствующие градостроительным нормам_00-022_Август/ef4756ea-6102-4360-a557-971e816c1c48.jpg","open")</f>
        <v/>
      </c>
      <c r="C1951" t="inlineStr">
        <is>
          <t>31a713a9-b910-424b-b847-e0eaa2f70c70</t>
        </is>
      </c>
      <c r="D1951" t="n">
        <v>55.75047</v>
      </c>
      <c r="E1951" t="n">
        <v>37.82495</v>
      </c>
      <c r="F1951" t="inlineStr"/>
      <c r="G1951" t="inlineStr"/>
      <c r="H1951" t="inlineStr"/>
    </row>
    <row r="1952">
      <c r="A1952" t="inlineStr">
        <is>
          <t>6ce5c3a1-0969-4e14-9b14-a8c1757afba1.jpg</t>
        </is>
      </c>
      <c r="B1952">
        <f>HYPERLINK("Объекты недвижимости, не соответствующие градостроительным нормам_00-022_Август/6ce5c3a1-0969-4e14-9b14-a8c1757afba1.jpg","open")</f>
        <v/>
      </c>
      <c r="C1952" t="inlineStr">
        <is>
          <t>789f6c51-64ee-4078-b7bd-443af8b8b68a</t>
        </is>
      </c>
      <c r="D1952" t="n">
        <v>55.83159</v>
      </c>
      <c r="E1952" t="n">
        <v>37.68721</v>
      </c>
      <c r="F1952" t="inlineStr"/>
      <c r="G1952" t="inlineStr"/>
      <c r="H1952" t="inlineStr"/>
    </row>
    <row r="1953">
      <c r="A1953" t="inlineStr">
        <is>
          <t>be9c6ea5-ff6b-4f8a-b982-ace138a3645a.jpg</t>
        </is>
      </c>
      <c r="B1953">
        <f>HYPERLINK("Объекты недвижимости, не соответствующие градостроительным нормам_00-022_Август/be9c6ea5-ff6b-4f8a-b982-ace138a3645a.jpg","open")</f>
        <v/>
      </c>
      <c r="C1953" t="inlineStr">
        <is>
          <t>ffd931da-542f-43e9-979f-5552b17fe3dc</t>
        </is>
      </c>
      <c r="D1953" t="n">
        <v>55.80508</v>
      </c>
      <c r="E1953" t="n">
        <v>37.72731</v>
      </c>
      <c r="F1953" t="inlineStr"/>
      <c r="G1953" t="inlineStr"/>
      <c r="H1953" t="inlineStr"/>
    </row>
    <row r="1954">
      <c r="A1954" t="inlineStr">
        <is>
          <t>e4b718f9-654d-4334-8f61-67cbc8ce0c7d.jpg</t>
        </is>
      </c>
      <c r="B1954">
        <f>HYPERLINK("Объекты недвижимости, не соответствующие градостроительным нормам_00-022_Август/e4b718f9-654d-4334-8f61-67cbc8ce0c7d.jpg","open")</f>
        <v/>
      </c>
      <c r="C1954" t="inlineStr">
        <is>
          <t>f60286ac-55e7-4099-85bd-cc599a7a0c65</t>
        </is>
      </c>
      <c r="D1954" t="n">
        <v>55.80507</v>
      </c>
      <c r="E1954" t="n">
        <v>37.72729</v>
      </c>
      <c r="F1954" t="inlineStr"/>
      <c r="G1954" t="inlineStr"/>
      <c r="H1954" t="inlineStr"/>
    </row>
    <row r="1955">
      <c r="A1955" t="inlineStr">
        <is>
          <t>e23b1551-ae2f-49e1-a94b-83f24657dcc9.jpg</t>
        </is>
      </c>
      <c r="B1955">
        <f>HYPERLINK("Объекты недвижимости, не соответствующие градостроительным нормам_00-022_Август/e23b1551-ae2f-49e1-a94b-83f24657dcc9.jpg","open")</f>
        <v/>
      </c>
      <c r="C1955" t="inlineStr">
        <is>
          <t>ffd931da-542f-43e9-979f-5552b17fe3dc</t>
        </is>
      </c>
      <c r="D1955" t="n">
        <v>55.80503</v>
      </c>
      <c r="E1955" t="n">
        <v>37.72723</v>
      </c>
      <c r="F1955" t="inlineStr"/>
      <c r="G1955" t="inlineStr"/>
      <c r="H1955" t="inlineStr"/>
    </row>
    <row r="1956">
      <c r="A1956" t="inlineStr">
        <is>
          <t>6c968ead-8f91-430b-b51e-5f972af6e355.jpg</t>
        </is>
      </c>
      <c r="B1956">
        <f>HYPERLINK("Объекты недвижимости, не соответствующие градостроительным нормам_00-022_Август/6c968ead-8f91-430b-b51e-5f972af6e355.jpg","open")</f>
        <v/>
      </c>
      <c r="C1956" t="inlineStr">
        <is>
          <t>b0b7ea82-53be-40d0-b992-e2fd18611d5c</t>
        </is>
      </c>
      <c r="D1956" t="n">
        <v>55.65432</v>
      </c>
      <c r="E1956" t="n">
        <v>37.71762</v>
      </c>
      <c r="F1956" t="inlineStr"/>
      <c r="G1956" t="inlineStr"/>
      <c r="H1956" t="inlineStr"/>
    </row>
    <row r="1957">
      <c r="A1957" t="inlineStr">
        <is>
          <t>49907777-91d8-4183-9a28-759cf8c37849.jpg</t>
        </is>
      </c>
      <c r="B1957">
        <f>HYPERLINK("Объекты недвижимости, не соответствующие градостроительным нормам_00-022_Август/49907777-91d8-4183-9a28-759cf8c37849.jpg","open")</f>
        <v/>
      </c>
      <c r="C1957" t="inlineStr">
        <is>
          <t>57aae8a4-582b-4309-8045-c8127a9f86ae</t>
        </is>
      </c>
      <c r="D1957" t="n">
        <v>55.8128</v>
      </c>
      <c r="E1957" t="n">
        <v>37.70705</v>
      </c>
      <c r="F1957" t="inlineStr"/>
      <c r="G1957" t="inlineStr"/>
      <c r="H1957" t="inlineStr"/>
    </row>
    <row r="1958">
      <c r="A1958" t="inlineStr">
        <is>
          <t>2f1ee227-c6d2-4740-b80a-fe62a6e3e7cb.jpg</t>
        </is>
      </c>
      <c r="B1958">
        <f>HYPERLINK("Объекты недвижимости, не соответствующие градостроительным нормам_00-022_Август/2f1ee227-c6d2-4740-b80a-fe62a6e3e7cb.jpg","open")</f>
        <v/>
      </c>
      <c r="C1958" t="inlineStr">
        <is>
          <t>b0b7ea82-53be-40d0-b992-e2fd18611d5c</t>
        </is>
      </c>
      <c r="D1958" t="n">
        <v>55.65432</v>
      </c>
      <c r="E1958" t="n">
        <v>37.71762</v>
      </c>
      <c r="F1958" t="inlineStr"/>
      <c r="G1958" t="inlineStr"/>
      <c r="H1958" t="inlineStr"/>
    </row>
    <row r="1959">
      <c r="A1959" t="inlineStr">
        <is>
          <t>0410369b-8fda-4170-bb38-a4d8d89b177a.jpg</t>
        </is>
      </c>
      <c r="B1959">
        <f>HYPERLINK("Объекты недвижимости, не соответствующие градостроительным нормам_00-022_Август/0410369b-8fda-4170-bb38-a4d8d89b177a.jpg","open")</f>
        <v/>
      </c>
      <c r="C1959" t="inlineStr">
        <is>
          <t>f20fbc2b-b369-4734-bb66-92af02fbb0d1</t>
        </is>
      </c>
      <c r="D1959" t="n">
        <v>55.65432</v>
      </c>
      <c r="E1959" t="n">
        <v>37.71762</v>
      </c>
      <c r="F1959" t="inlineStr"/>
      <c r="G1959" t="inlineStr"/>
      <c r="H1959" t="inlineStr"/>
    </row>
    <row r="1960">
      <c r="A1960" t="inlineStr">
        <is>
          <t>149a80b7-a7a0-4f50-9149-462d716b7450.jpg</t>
        </is>
      </c>
      <c r="B1960">
        <f>HYPERLINK("Объекты недвижимости, не соответствующие градостроительным нормам_00-022_Август/149a80b7-a7a0-4f50-9149-462d716b7450.jpg","open")</f>
        <v/>
      </c>
      <c r="C1960" t="inlineStr">
        <is>
          <t>b0b7ea82-53be-40d0-b992-e2fd18611d5c</t>
        </is>
      </c>
      <c r="D1960" t="n">
        <v>55.65432</v>
      </c>
      <c r="E1960" t="n">
        <v>37.71762</v>
      </c>
      <c r="F1960" t="inlineStr"/>
      <c r="G1960" t="inlineStr"/>
      <c r="H1960" t="inlineStr"/>
    </row>
    <row r="1961">
      <c r="A1961" t="inlineStr">
        <is>
          <t>e1f2cfe2-f5de-4bb7-8b79-7028a0767605.jpg</t>
        </is>
      </c>
      <c r="B1961">
        <f>HYPERLINK("Объекты недвижимости, не соответствующие градостроительным нормам_00-022_Август/e1f2cfe2-f5de-4bb7-8b79-7028a0767605.jpg","open")</f>
        <v/>
      </c>
      <c r="C1961" t="inlineStr">
        <is>
          <t>8cde1fd0-eca1-4510-86ab-3c743b65fdfc</t>
        </is>
      </c>
      <c r="D1961" t="n">
        <v>55.74121</v>
      </c>
      <c r="E1961" t="n">
        <v>37.84236</v>
      </c>
      <c r="F1961" t="inlineStr"/>
      <c r="G1961" t="inlineStr"/>
      <c r="H1961" t="inlineStr"/>
    </row>
    <row r="1962">
      <c r="A1962" t="inlineStr">
        <is>
          <t>e1f48b7c-a762-460b-9961-0994f96fa7b3.jpg</t>
        </is>
      </c>
      <c r="B1962">
        <f>HYPERLINK("Объекты недвижимости, не соответствующие градостроительным нормам_00-022_Август/e1f48b7c-a762-460b-9961-0994f96fa7b3.jpg","open")</f>
        <v/>
      </c>
      <c r="C1962" t="inlineStr">
        <is>
          <t>8cde1fd0-eca1-4510-86ab-3c743b65fdfc</t>
        </is>
      </c>
      <c r="D1962" t="n">
        <v>55.74352</v>
      </c>
      <c r="E1962" t="n">
        <v>37.84681</v>
      </c>
      <c r="F1962" t="inlineStr"/>
      <c r="G1962" t="inlineStr"/>
      <c r="H1962" t="inlineStr"/>
    </row>
    <row r="1963">
      <c r="A1963" t="inlineStr">
        <is>
          <t>aeac21e5-ea2b-442e-8648-08d399b27708.jpg</t>
        </is>
      </c>
      <c r="B1963">
        <f>HYPERLINK("Объекты недвижимости, не соответствующие градостроительным нормам_00-022_Август/aeac21e5-ea2b-442e-8648-08d399b27708.jpg","open")</f>
        <v/>
      </c>
      <c r="C1963" t="inlineStr">
        <is>
          <t>f6f80c84-5569-48fd-b627-6f41ce4c61c4</t>
        </is>
      </c>
      <c r="D1963" t="n">
        <v>55.8983</v>
      </c>
      <c r="E1963" t="n">
        <v>37.37497</v>
      </c>
      <c r="F1963" t="inlineStr"/>
      <c r="G1963" t="inlineStr"/>
      <c r="H1963" t="inlineStr"/>
    </row>
    <row r="1964">
      <c r="A1964" t="inlineStr">
        <is>
          <t>7b0acc19-a411-4c02-96a6-5b5e261f2d76.jpg</t>
        </is>
      </c>
      <c r="B1964">
        <f>HYPERLINK("Объекты недвижимости, не соответствующие градостроительным нормам_00-022_Август/7b0acc19-a411-4c02-96a6-5b5e261f2d76.jpg","open")</f>
        <v/>
      </c>
      <c r="C1964" t="inlineStr">
        <is>
          <t>f9ad0a8f-1e33-4fca-bdfe-5b844d3ee381</t>
        </is>
      </c>
      <c r="D1964" t="n">
        <v>55.9824</v>
      </c>
      <c r="E1964" t="n">
        <v>37.41445</v>
      </c>
      <c r="F1964" t="inlineStr"/>
      <c r="G1964" t="inlineStr"/>
      <c r="H1964" t="inlineStr"/>
    </row>
    <row r="1965">
      <c r="A1965" t="inlineStr">
        <is>
          <t>1f551566-a6c5-456e-bff3-506a5bba131f.jpg</t>
        </is>
      </c>
      <c r="B1965">
        <f>HYPERLINK("Объекты недвижимости, не соответствующие градостроительным нормам_00-022_Август/1f551566-a6c5-456e-bff3-506a5bba131f.jpg","open")</f>
        <v/>
      </c>
      <c r="C1965" t="inlineStr">
        <is>
          <t>ab4e767f-65c0-455b-af20-a5527124fd21</t>
        </is>
      </c>
      <c r="D1965" t="n">
        <v>55.97456</v>
      </c>
      <c r="E1965" t="n">
        <v>37.43106</v>
      </c>
      <c r="F1965" t="inlineStr"/>
      <c r="G1965" t="inlineStr"/>
      <c r="H1965" t="inlineStr"/>
    </row>
    <row r="1966">
      <c r="A1966" t="inlineStr">
        <is>
          <t>890a6a49-200c-4743-940d-c0b408a31bee.jpg</t>
        </is>
      </c>
      <c r="B1966">
        <f>HYPERLINK("Объекты недвижимости, не соответствующие градостроительным нормам_00-022_Август/890a6a49-200c-4743-940d-c0b408a31bee.jpg","open")</f>
        <v/>
      </c>
      <c r="C1966" t="inlineStr">
        <is>
          <t>8b2675e2-7f40-47a9-a462-7c9feecd299c</t>
        </is>
      </c>
      <c r="D1966" t="n">
        <v>55.70576</v>
      </c>
      <c r="E1966" t="n">
        <v>37.59238</v>
      </c>
      <c r="F1966" t="inlineStr"/>
      <c r="G1966" t="inlineStr"/>
      <c r="H1966" t="inlineStr"/>
    </row>
    <row r="1967">
      <c r="A1967" t="inlineStr">
        <is>
          <t>a08a4f43-94b3-4e7a-b142-da7108cf2dcb.jpg</t>
        </is>
      </c>
      <c r="B1967">
        <f>HYPERLINK("Объекты недвижимости, не соответствующие градостроительным нормам_00-022_Август/a08a4f43-94b3-4e7a-b142-da7108cf2dcb.jpg","open")</f>
        <v/>
      </c>
      <c r="C1967" t="inlineStr">
        <is>
          <t>8cde1fd0-eca1-4510-86ab-3c743b65fdfc</t>
        </is>
      </c>
      <c r="D1967" t="n">
        <v>55.73093</v>
      </c>
      <c r="E1967" t="n">
        <v>37.85646</v>
      </c>
      <c r="F1967" t="inlineStr"/>
      <c r="G1967" t="inlineStr"/>
      <c r="H1967" t="inlineStr"/>
    </row>
    <row r="1968">
      <c r="A1968" t="inlineStr">
        <is>
          <t>9fa49c2c-71a7-4b91-aa7e-068271918456.jpg</t>
        </is>
      </c>
      <c r="B1968">
        <f>HYPERLINK("Объекты недвижимости, не соответствующие градостроительным нормам_00-022_Август/9fa49c2c-71a7-4b91-aa7e-068271918456.jpg","open")</f>
        <v/>
      </c>
      <c r="C1968" t="inlineStr">
        <is>
          <t>b0429a31-0c70-4b9f-8ea5-73929d82f89e</t>
        </is>
      </c>
      <c r="D1968" t="n">
        <v>55.82874</v>
      </c>
      <c r="E1968" t="n">
        <v>37.64186</v>
      </c>
      <c r="F1968" t="inlineStr"/>
      <c r="G1968" t="inlineStr"/>
      <c r="H1968" t="inlineStr"/>
    </row>
    <row r="1969">
      <c r="A1969" t="inlineStr">
        <is>
          <t>8b0fa47f-62ed-4b09-8b05-fb5a47df8130.jpg</t>
        </is>
      </c>
      <c r="B1969">
        <f>HYPERLINK("Объекты недвижимости, не соответствующие градостроительным нормам_00-022_Август/8b0fa47f-62ed-4b09-8b05-fb5a47df8130.jpg","open")</f>
        <v/>
      </c>
      <c r="C1969" t="inlineStr">
        <is>
          <t>8cde1fd0-eca1-4510-86ab-3c743b65fdfc</t>
        </is>
      </c>
      <c r="D1969" t="n">
        <v>55.74374</v>
      </c>
      <c r="E1969" t="n">
        <v>37.88081</v>
      </c>
      <c r="F1969" t="inlineStr"/>
      <c r="G1969" t="inlineStr"/>
      <c r="H1969" t="inlineStr"/>
    </row>
    <row r="1970">
      <c r="A1970" t="inlineStr">
        <is>
          <t>66b9ad7e-0278-4312-ac6b-a1e0d1da91a7.jpg</t>
        </is>
      </c>
      <c r="B1970">
        <f>HYPERLINK("Объекты недвижимости, не соответствующие градостроительным нормам_00-022_Август/66b9ad7e-0278-4312-ac6b-a1e0d1da91a7.jpg","open")</f>
        <v/>
      </c>
      <c r="C1970" t="inlineStr">
        <is>
          <t>8cde1fd0-eca1-4510-86ab-3c743b65fdfc</t>
        </is>
      </c>
      <c r="D1970" t="n">
        <v>55.7431</v>
      </c>
      <c r="E1970" t="n">
        <v>37.88236</v>
      </c>
      <c r="F1970" t="inlineStr"/>
      <c r="G1970" t="inlineStr"/>
      <c r="H1970" t="inlineStr"/>
    </row>
    <row r="1971">
      <c r="A1971" t="inlineStr">
        <is>
          <t>f7abc705-9dce-4368-8fe4-11795edabdec.jpg</t>
        </is>
      </c>
      <c r="B1971">
        <f>HYPERLINK("Объекты недвижимости, не соответствующие градостроительным нормам_00-022_Август/f7abc705-9dce-4368-8fe4-11795edabdec.jpg","open")</f>
        <v/>
      </c>
      <c r="C1971" t="inlineStr">
        <is>
          <t>8cde1fd0-eca1-4510-86ab-3c743b65fdfc</t>
        </is>
      </c>
      <c r="D1971" t="n">
        <v>55.743</v>
      </c>
      <c r="E1971" t="n">
        <v>37.88268</v>
      </c>
      <c r="F1971" t="inlineStr"/>
      <c r="G1971" t="inlineStr"/>
      <c r="H1971" t="inlineStr"/>
    </row>
    <row r="1972">
      <c r="A1972" t="inlineStr">
        <is>
          <t>03265182-e2cf-4ecd-b4e4-4ff682fbcd36.jpg</t>
        </is>
      </c>
      <c r="B1972">
        <f>HYPERLINK("Объекты недвижимости, не соответствующие градостроительным нормам_00-022_Август/03265182-e2cf-4ecd-b4e4-4ff682fbcd36.jpg","open")</f>
        <v/>
      </c>
      <c r="C1972" t="inlineStr">
        <is>
          <t>8cde1fd0-eca1-4510-86ab-3c743b65fdfc</t>
        </is>
      </c>
      <c r="D1972" t="n">
        <v>55.74292</v>
      </c>
      <c r="E1972" t="n">
        <v>37.883</v>
      </c>
      <c r="F1972" t="inlineStr"/>
      <c r="G1972" t="inlineStr"/>
      <c r="H1972" t="inlineStr"/>
    </row>
    <row r="1973">
      <c r="A1973" t="inlineStr">
        <is>
          <t>9949c325-93fd-44a8-ab0f-df0a9bef6b29.jpg</t>
        </is>
      </c>
      <c r="B1973">
        <f>HYPERLINK("Объекты недвижимости, не соответствующие градостроительным нормам_00-022_Август/9949c325-93fd-44a8-ab0f-df0a9bef6b29.jpg","open")</f>
        <v/>
      </c>
      <c r="C1973" t="inlineStr">
        <is>
          <t>8cde1fd0-eca1-4510-86ab-3c743b65fdfc</t>
        </is>
      </c>
      <c r="D1973" t="n">
        <v>55.74286</v>
      </c>
      <c r="E1973" t="n">
        <v>37.88335</v>
      </c>
      <c r="F1973" t="inlineStr"/>
      <c r="G1973" t="inlineStr"/>
      <c r="H1973" t="inlineStr"/>
    </row>
    <row r="1974">
      <c r="A1974" t="inlineStr">
        <is>
          <t>0bea1fe2-e0c4-49f3-af7f-79093b4db657.jpg</t>
        </is>
      </c>
      <c r="B1974">
        <f>HYPERLINK("Объекты недвижимости, не соответствующие градостроительным нормам_00-022_Август/0bea1fe2-e0c4-49f3-af7f-79093b4db657.jpg","open")</f>
        <v/>
      </c>
      <c r="C1974" t="inlineStr">
        <is>
          <t>99f3abba-c55b-49f0-9de5-9f88e9597cc0</t>
        </is>
      </c>
      <c r="D1974" t="n">
        <v>55.82874</v>
      </c>
      <c r="E1974" t="n">
        <v>37.64186</v>
      </c>
      <c r="F1974" t="inlineStr"/>
      <c r="G1974" t="inlineStr"/>
      <c r="H1974" t="inlineStr"/>
    </row>
    <row r="1975">
      <c r="A1975" t="inlineStr">
        <is>
          <t>ccb1fb9f-4e2d-45f2-ad9b-0ba43d6435e5.jpg</t>
        </is>
      </c>
      <c r="B1975">
        <f>HYPERLINK("Объекты недвижимости, не соответствующие градостроительным нормам_00-022_Август/ccb1fb9f-4e2d-45f2-ad9b-0ba43d6435e5.jpg","open")</f>
        <v/>
      </c>
      <c r="C1975" t="inlineStr">
        <is>
          <t>b0429a31-0c70-4b9f-8ea5-73929d82f89e</t>
        </is>
      </c>
      <c r="D1975" t="n">
        <v>55.82874</v>
      </c>
      <c r="E1975" t="n">
        <v>37.64186</v>
      </c>
      <c r="F1975" t="inlineStr"/>
      <c r="G1975" t="inlineStr"/>
      <c r="H1975" t="inlineStr"/>
    </row>
    <row r="1976">
      <c r="A1976" t="inlineStr">
        <is>
          <t>fc20c3c6-d791-4fb6-a3d2-7c6dea739500.jpg</t>
        </is>
      </c>
      <c r="B1976">
        <f>HYPERLINK("Объекты недвижимости, не соответствующие градостроительным нормам_00-022_Август/fc20c3c6-d791-4fb6-a3d2-7c6dea739500.jpg","open")</f>
        <v/>
      </c>
      <c r="C1976" t="inlineStr">
        <is>
          <t>99f3abba-c55b-49f0-9de5-9f88e9597cc0</t>
        </is>
      </c>
      <c r="D1976" t="n">
        <v>55.82874</v>
      </c>
      <c r="E1976" t="n">
        <v>37.64186</v>
      </c>
      <c r="F1976" t="inlineStr"/>
      <c r="G1976" t="inlineStr"/>
      <c r="H1976" t="inlineStr"/>
    </row>
    <row r="1977">
      <c r="A1977" t="inlineStr">
        <is>
          <t>1f7c04ec-1b10-44ba-a869-7d178c90e26b.jpg</t>
        </is>
      </c>
      <c r="B1977">
        <f>HYPERLINK("Объекты недвижимости, не соответствующие градостроительным нормам_00-022_Август/1f7c04ec-1b10-44ba-a869-7d178c90e26b.jpg","open")</f>
        <v/>
      </c>
      <c r="C1977" t="inlineStr">
        <is>
          <t>797901ad-53b1-41b8-99d1-d59d59c863d5</t>
        </is>
      </c>
      <c r="D1977" t="n">
        <v>55.79358</v>
      </c>
      <c r="E1977" t="n">
        <v>37.74411</v>
      </c>
      <c r="F1977" t="inlineStr"/>
      <c r="G1977" t="inlineStr"/>
      <c r="H1977" t="inlineStr"/>
    </row>
    <row r="1978">
      <c r="A1978" t="inlineStr">
        <is>
          <t>ba90d407-46b0-4d48-977d-81fcb39a4f82.jpg</t>
        </is>
      </c>
      <c r="B1978">
        <f>HYPERLINK("Объекты недвижимости, не соответствующие градостроительным нормам_00-022_Август/ba90d407-46b0-4d48-977d-81fcb39a4f82.jpg","open")</f>
        <v/>
      </c>
      <c r="C1978" t="inlineStr">
        <is>
          <t>57812597-37e6-414c-8b11-8c661dbfeb70</t>
        </is>
      </c>
      <c r="D1978" t="n">
        <v>55.77167</v>
      </c>
      <c r="E1978" t="n">
        <v>37.6437</v>
      </c>
      <c r="F1978" t="inlineStr"/>
      <c r="G1978" t="inlineStr"/>
      <c r="H1978" t="inlineStr"/>
    </row>
    <row r="1979">
      <c r="A1979" t="inlineStr">
        <is>
          <t>ed91e334-2ddb-4734-8b45-5ef3326f730a.jpg</t>
        </is>
      </c>
      <c r="B1979">
        <f>HYPERLINK("Объекты недвижимости, не соответствующие градостроительным нормам_00-022_Август/ed91e334-2ddb-4734-8b45-5ef3326f730a.jpg","open")</f>
        <v/>
      </c>
      <c r="C1979" t="inlineStr">
        <is>
          <t>f389b777-2837-46f0-983f-56af24850601</t>
        </is>
      </c>
      <c r="D1979" t="n">
        <v>55.77167</v>
      </c>
      <c r="E1979" t="n">
        <v>37.6437</v>
      </c>
      <c r="F1979" t="inlineStr"/>
      <c r="G1979" t="inlineStr"/>
      <c r="H1979" t="inlineStr"/>
    </row>
    <row r="1980">
      <c r="A1980" t="inlineStr">
        <is>
          <t>e30300c3-8f60-4c09-96ae-c4f843379d60.jpg</t>
        </is>
      </c>
      <c r="B1980">
        <f>HYPERLINK("Объекты недвижимости, не соответствующие градостроительным нормам_00-022_Август/e30300c3-8f60-4c09-96ae-c4f843379d60.jpg","open")</f>
        <v/>
      </c>
      <c r="C1980" t="inlineStr">
        <is>
          <t>797901ad-53b1-41b8-99d1-d59d59c863d5</t>
        </is>
      </c>
      <c r="D1980" t="n">
        <v>55.79358</v>
      </c>
      <c r="E1980" t="n">
        <v>37.74413</v>
      </c>
      <c r="F1980" t="inlineStr"/>
      <c r="G1980" t="inlineStr"/>
      <c r="H1980" t="inlineStr"/>
    </row>
    <row r="1981">
      <c r="A1981" t="inlineStr">
        <is>
          <t>34668789-04d5-49ad-9336-2d5b1957fb44.jpg</t>
        </is>
      </c>
      <c r="B1981">
        <f>HYPERLINK("Объекты недвижимости, не соответствующие градостроительным нормам_00-022_Август/34668789-04d5-49ad-9336-2d5b1957fb44.jpg","open")</f>
        <v/>
      </c>
      <c r="C1981" t="inlineStr">
        <is>
          <t>f389b777-2837-46f0-983f-56af24850601</t>
        </is>
      </c>
      <c r="D1981" t="n">
        <v>55.77167</v>
      </c>
      <c r="E1981" t="n">
        <v>37.6437</v>
      </c>
      <c r="F1981" t="inlineStr"/>
      <c r="G1981" t="inlineStr"/>
      <c r="H1981" t="inlineStr"/>
    </row>
    <row r="1982">
      <c r="A1982" t="inlineStr">
        <is>
          <t>59498db9-be04-4b10-a4ed-65409a93ddbd.jpg</t>
        </is>
      </c>
      <c r="B1982">
        <f>HYPERLINK("Объекты недвижимости, не соответствующие градостроительным нормам_00-022_Август/59498db9-be04-4b10-a4ed-65409a93ddbd.jpg","open")</f>
        <v/>
      </c>
      <c r="C1982" t="inlineStr">
        <is>
          <t>57aae8a4-582b-4309-8045-c8127a9f86ae</t>
        </is>
      </c>
      <c r="D1982" t="n">
        <v>55.81317</v>
      </c>
      <c r="E1982" t="n">
        <v>37.7155</v>
      </c>
      <c r="F1982" t="inlineStr"/>
      <c r="G1982" t="inlineStr"/>
      <c r="H1982" t="inlineStr"/>
    </row>
    <row r="1983">
      <c r="A1983" t="inlineStr">
        <is>
          <t>eb75204d-126b-4bdb-98d5-025018a1499a.jpg</t>
        </is>
      </c>
      <c r="B1983">
        <f>HYPERLINK("Объекты недвижимости, не соответствующие градостроительным нормам_00-022_Август/eb75204d-126b-4bdb-98d5-025018a1499a.jpg","open")</f>
        <v/>
      </c>
      <c r="C1983" t="inlineStr">
        <is>
          <t>685d9054-b74f-49ab-857b-109fd2cec80d</t>
        </is>
      </c>
      <c r="D1983" t="n">
        <v>55.83478</v>
      </c>
      <c r="E1983" t="n">
        <v>37.64667</v>
      </c>
      <c r="F1983" t="inlineStr"/>
      <c r="G1983" t="inlineStr"/>
      <c r="H1983" t="inlineStr"/>
    </row>
    <row r="1984">
      <c r="A1984" t="inlineStr">
        <is>
          <t>59e734a9-d9e9-442f-906c-687fadd03307.jpg</t>
        </is>
      </c>
      <c r="B1984">
        <f>HYPERLINK("Объекты недвижимости, не соответствующие градостроительным нормам_00-022_Август/59e734a9-d9e9-442f-906c-687fadd03307.jpg","open")</f>
        <v/>
      </c>
      <c r="C1984" t="inlineStr">
        <is>
          <t>797901ad-53b1-41b8-99d1-d59d59c863d5</t>
        </is>
      </c>
      <c r="D1984" t="n">
        <v>55.79368</v>
      </c>
      <c r="E1984" t="n">
        <v>37.74411</v>
      </c>
      <c r="F1984" t="inlineStr"/>
      <c r="G1984" t="inlineStr"/>
      <c r="H1984" t="inlineStr"/>
    </row>
    <row r="1985">
      <c r="A1985" t="inlineStr">
        <is>
          <t>1f8c074f-0145-478c-936c-967a4d3d954e.jpg</t>
        </is>
      </c>
      <c r="B1985">
        <f>HYPERLINK("Объекты недвижимости, не соответствующие градостроительным нормам_00-022_Август/1f8c074f-0145-478c-936c-967a4d3d954e.jpg","open")</f>
        <v/>
      </c>
      <c r="C1985" t="inlineStr">
        <is>
          <t>797901ad-53b1-41b8-99d1-d59d59c863d5</t>
        </is>
      </c>
      <c r="D1985" t="n">
        <v>55.7937</v>
      </c>
      <c r="E1985" t="n">
        <v>37.74412</v>
      </c>
      <c r="F1985" t="inlineStr"/>
      <c r="G1985" t="inlineStr"/>
      <c r="H1985" t="inlineStr"/>
    </row>
    <row r="1986">
      <c r="A1986" t="inlineStr">
        <is>
          <t>f3fd264f-5b0d-4b76-b3f7-01f76bafc653.jpg</t>
        </is>
      </c>
      <c r="B1986">
        <f>HYPERLINK("Объекты недвижимости, не соответствующие градостроительным нормам_00-022_Август/f3fd264f-5b0d-4b76-b3f7-01f76bafc653.jpg","open")</f>
        <v/>
      </c>
      <c r="C1986" t="inlineStr">
        <is>
          <t>1a55986c-2c3f-40c0-b3d1-014dce77832e</t>
        </is>
      </c>
      <c r="D1986" t="n">
        <v>55.98933</v>
      </c>
      <c r="E1986" t="n">
        <v>37.83819</v>
      </c>
      <c r="F1986" t="inlineStr"/>
      <c r="G1986" t="inlineStr"/>
      <c r="H1986" t="inlineStr"/>
    </row>
    <row r="1987">
      <c r="A1987" t="inlineStr">
        <is>
          <t>59f01d2a-1b34-40e9-8f88-cd10fe13b188.jpg</t>
        </is>
      </c>
      <c r="B1987">
        <f>HYPERLINK("Объекты недвижимости, не соответствующие градостроительным нормам_00-022_Август/59f01d2a-1b34-40e9-8f88-cd10fe13b188.jpg","open")</f>
        <v/>
      </c>
      <c r="C1987" t="inlineStr">
        <is>
          <t>ed2bf0f1-3a66-4913-896e-4420a9796c0b</t>
        </is>
      </c>
      <c r="D1987" t="n">
        <v>55.98932</v>
      </c>
      <c r="E1987" t="n">
        <v>37.83807</v>
      </c>
      <c r="F1987" t="inlineStr"/>
      <c r="G1987" t="inlineStr"/>
      <c r="H1987" t="inlineStr"/>
    </row>
    <row r="1988">
      <c r="A1988" t="inlineStr">
        <is>
          <t>8607ac58-6d91-469f-8ec3-7cd0636736e2.jpg</t>
        </is>
      </c>
      <c r="B1988">
        <f>HYPERLINK("Объекты недвижимости, не соответствующие градостроительным нормам_00-022_Август/8607ac58-6d91-469f-8ec3-7cd0636736e2.jpg","open")</f>
        <v/>
      </c>
      <c r="C1988" t="inlineStr">
        <is>
          <t>12e795ad-2aa7-49de-b2da-2c6aa35a4559</t>
        </is>
      </c>
      <c r="D1988" t="n">
        <v>56.86667</v>
      </c>
      <c r="E1988" t="n">
        <v>40.43618</v>
      </c>
      <c r="F1988" t="inlineStr"/>
      <c r="G1988" t="inlineStr"/>
      <c r="H1988" t="inlineStr"/>
    </row>
    <row r="1989">
      <c r="A1989" t="inlineStr">
        <is>
          <t>799eeb29-97ec-4b16-8866-aa06ebcaaee7.jpg</t>
        </is>
      </c>
      <c r="B1989">
        <f>HYPERLINK("Объекты недвижимости, не соответствующие градостроительным нормам_00-022_Август/799eeb29-97ec-4b16-8866-aa06ebcaaee7.jpg","open")</f>
        <v/>
      </c>
      <c r="C1989" t="inlineStr">
        <is>
          <t>ab4e767f-65c0-455b-af20-a5527124fd21</t>
        </is>
      </c>
      <c r="D1989" t="n">
        <v>55.97572</v>
      </c>
      <c r="E1989" t="n">
        <v>37.43023</v>
      </c>
      <c r="F1989" t="inlineStr"/>
      <c r="G1989" t="inlineStr"/>
      <c r="H1989" t="inlineStr"/>
    </row>
    <row r="1990">
      <c r="A1990" t="inlineStr">
        <is>
          <t>7111def8-1560-4e72-9e84-a7a87e59b95e.jpg</t>
        </is>
      </c>
      <c r="B1990">
        <f>HYPERLINK("Объекты недвижимости, не соответствующие градостроительным нормам_00-022_Август/7111def8-1560-4e72-9e84-a7a87e59b95e.jpg","open")</f>
        <v/>
      </c>
      <c r="C1990" t="inlineStr">
        <is>
          <t>f389b777-2837-46f0-983f-56af24850601</t>
        </is>
      </c>
      <c r="D1990" t="n">
        <v>55.77167</v>
      </c>
      <c r="E1990" t="n">
        <v>37.6437</v>
      </c>
      <c r="F1990" t="inlineStr"/>
      <c r="G1990" t="inlineStr"/>
      <c r="H1990" t="inlineStr"/>
    </row>
    <row r="1991">
      <c r="A1991" t="inlineStr">
        <is>
          <t>f6c15034-9ac2-413f-83f6-ee91a8816d80.jpg</t>
        </is>
      </c>
      <c r="B1991">
        <f>HYPERLINK("Объекты недвижимости, не соответствующие градостроительным нормам_00-022_Август/f6c15034-9ac2-413f-83f6-ee91a8816d80.jpg","open")</f>
        <v/>
      </c>
      <c r="C1991" t="inlineStr">
        <is>
          <t>57812597-37e6-414c-8b11-8c661dbfeb70</t>
        </is>
      </c>
      <c r="D1991" t="n">
        <v>55.77167</v>
      </c>
      <c r="E1991" t="n">
        <v>37.6437</v>
      </c>
      <c r="F1991" t="inlineStr"/>
      <c r="G1991" t="inlineStr"/>
      <c r="H1991" t="inlineStr"/>
    </row>
    <row r="1992">
      <c r="A1992" t="inlineStr">
        <is>
          <t>9d14b5e2-a344-4360-bbad-9acaa8fc119c.jpg</t>
        </is>
      </c>
      <c r="B1992">
        <f>HYPERLINK("Объекты недвижимости, не соответствующие градостроительным нормам_00-022_Август/9d14b5e2-a344-4360-bbad-9acaa8fc119c.jpg","open")</f>
        <v/>
      </c>
      <c r="C1992" t="inlineStr">
        <is>
          <t>1231bbc5-e64c-4dc7-9acc-77710f47607a</t>
        </is>
      </c>
      <c r="D1992" t="n">
        <v>56.17777</v>
      </c>
      <c r="E1992" t="n">
        <v>37.42902</v>
      </c>
      <c r="F1992" t="inlineStr"/>
      <c r="G1992" t="inlineStr"/>
      <c r="H1992" t="inlineStr"/>
    </row>
    <row r="1993">
      <c r="A1993" t="inlineStr">
        <is>
          <t>b217915a-0097-4bcf-a900-f212f158eb02.jpg</t>
        </is>
      </c>
      <c r="B1993">
        <f>HYPERLINK("Объекты недвижимости, не соответствующие градостроительным нормам_00-022_Август/b217915a-0097-4bcf-a900-f212f158eb02.jpg","open")</f>
        <v/>
      </c>
      <c r="C1993" t="inlineStr">
        <is>
          <t>1231bbc5-e64c-4dc7-9acc-77710f47607a</t>
        </is>
      </c>
      <c r="D1993" t="n">
        <v>56.18076</v>
      </c>
      <c r="E1993" t="n">
        <v>37.42886</v>
      </c>
      <c r="F1993" t="inlineStr"/>
      <c r="G1993" t="inlineStr"/>
      <c r="H1993" t="inlineStr"/>
    </row>
    <row r="1994">
      <c r="A1994" t="inlineStr">
        <is>
          <t>41d53ce5-64d6-4a2f-8558-72d69cbae539.jpg</t>
        </is>
      </c>
      <c r="B1994">
        <f>HYPERLINK("Объекты недвижимости, не соответствующие градостроительным нормам_00-022_Август/41d53ce5-64d6-4a2f-8558-72d69cbae539.jpg","open")</f>
        <v/>
      </c>
      <c r="C1994" t="inlineStr">
        <is>
          <t>685d9054-b74f-49ab-857b-109fd2cec80d</t>
        </is>
      </c>
      <c r="D1994" t="n">
        <v>56.18338</v>
      </c>
      <c r="E1994" t="n">
        <v>37.43285</v>
      </c>
      <c r="F1994" t="inlineStr"/>
      <c r="G1994" t="inlineStr"/>
      <c r="H1994" t="inlineStr"/>
    </row>
    <row r="1995">
      <c r="A1995" t="inlineStr">
        <is>
          <t>46511a3a-95f2-4274-8a13-1054d3d27828.jpg</t>
        </is>
      </c>
      <c r="B1995">
        <f>HYPERLINK("Объекты недвижимости, не соответствующие градостроительным нормам_00-022_Август/46511a3a-95f2-4274-8a13-1054d3d27828.jpg","open")</f>
        <v/>
      </c>
      <c r="C1995" t="inlineStr">
        <is>
          <t>b0429a31-0c70-4b9f-8ea5-73929d82f89e</t>
        </is>
      </c>
      <c r="D1995" t="n">
        <v>55.82874</v>
      </c>
      <c r="E1995" t="n">
        <v>37.64186</v>
      </c>
      <c r="F1995" t="inlineStr"/>
      <c r="G1995" t="inlineStr"/>
      <c r="H1995" t="inlineStr"/>
    </row>
    <row r="1996">
      <c r="A1996" t="inlineStr">
        <is>
          <t>e4b563e4-5768-4e3f-ab9e-ef62eacb6425.jpg</t>
        </is>
      </c>
      <c r="B1996">
        <f>HYPERLINK("Объекты недвижимости, не соответствующие градостроительным нормам_00-022_Август/e4b563e4-5768-4e3f-ab9e-ef62eacb6425.jpg","open")</f>
        <v/>
      </c>
      <c r="C1996" t="inlineStr">
        <is>
          <t>685d9054-b74f-49ab-857b-109fd2cec80d</t>
        </is>
      </c>
      <c r="D1996" t="n">
        <v>56.17888</v>
      </c>
      <c r="E1996" t="n">
        <v>37.42992</v>
      </c>
      <c r="F1996" t="inlineStr"/>
      <c r="G1996" t="inlineStr"/>
      <c r="H1996" t="inlineStr"/>
    </row>
    <row r="1997">
      <c r="A1997" t="inlineStr">
        <is>
          <t>0b090a12-6792-4be4-b1a9-3f479ec91c4e.jpg</t>
        </is>
      </c>
      <c r="B1997">
        <f>HYPERLINK("Объекты недвижимости, не соответствующие градостроительным нормам_00-022_Август/0b090a12-6792-4be4-b1a9-3f479ec91c4e.jpg","open")</f>
        <v/>
      </c>
      <c r="C1997" t="inlineStr">
        <is>
          <t>1231bbc5-e64c-4dc7-9acc-77710f47607a</t>
        </is>
      </c>
      <c r="D1997" t="n">
        <v>56.17897</v>
      </c>
      <c r="E1997" t="n">
        <v>37.42533</v>
      </c>
      <c r="F1997" t="inlineStr"/>
      <c r="G1997" t="inlineStr"/>
      <c r="H1997" t="inlineStr"/>
    </row>
    <row r="1998">
      <c r="A1998" t="inlineStr">
        <is>
          <t>3186ed3b-70fa-4f35-b364-55f10346b643.jpg</t>
        </is>
      </c>
      <c r="B1998">
        <f>HYPERLINK("Объекты недвижимости, не соответствующие градостроительным нормам_00-022_Август/3186ed3b-70fa-4f35-b364-55f10346b643.jpg","open")</f>
        <v/>
      </c>
      <c r="C1998" t="inlineStr">
        <is>
          <t>1231bbc5-e64c-4dc7-9acc-77710f47607a</t>
        </is>
      </c>
      <c r="D1998" t="n">
        <v>56.17888</v>
      </c>
      <c r="E1998" t="n">
        <v>37.42468</v>
      </c>
      <c r="F1998" t="inlineStr"/>
      <c r="G1998" t="inlineStr"/>
      <c r="H1998" t="inlineStr"/>
    </row>
    <row r="1999">
      <c r="A1999" t="inlineStr">
        <is>
          <t>612b34ee-29b4-4d36-ad8b-d8810d8fcd58.jpg</t>
        </is>
      </c>
      <c r="B1999">
        <f>HYPERLINK("Объекты недвижимости, не соответствующие градостроительным нормам_00-022_Август/612b34ee-29b4-4d36-ad8b-d8810d8fcd58.jpg","open")</f>
        <v/>
      </c>
      <c r="C1999" t="inlineStr">
        <is>
          <t>57812597-37e6-414c-8b11-8c661dbfeb70</t>
        </is>
      </c>
      <c r="D1999" t="n">
        <v>55.77167</v>
      </c>
      <c r="E1999" t="n">
        <v>37.6437</v>
      </c>
      <c r="F1999" t="inlineStr"/>
      <c r="G1999" t="inlineStr"/>
      <c r="H1999" t="inlineStr"/>
    </row>
    <row r="2000">
      <c r="A2000" t="inlineStr">
        <is>
          <t>33ed2ee0-6717-4920-8d02-474ce5efa0a2.jpg</t>
        </is>
      </c>
      <c r="B2000">
        <f>HYPERLINK("Объекты недвижимости, не соответствующие градостроительным нормам_00-022_Август/33ed2ee0-6717-4920-8d02-474ce5efa0a2.jpg","open")</f>
        <v/>
      </c>
      <c r="C2000" t="inlineStr">
        <is>
          <t>1231bbc5-e64c-4dc7-9acc-77710f47607a</t>
        </is>
      </c>
      <c r="D2000" t="n">
        <v>56.1787</v>
      </c>
      <c r="E2000" t="n">
        <v>37.42482</v>
      </c>
      <c r="F2000" t="inlineStr"/>
      <c r="G2000" t="inlineStr"/>
      <c r="H2000" t="inlineStr"/>
    </row>
    <row r="2001">
      <c r="A2001" t="inlineStr">
        <is>
          <t>4d0cde71-98ea-4a27-8571-83a3ffd7fbba.jpg</t>
        </is>
      </c>
      <c r="B2001">
        <f>HYPERLINK("Объекты недвижимости, не соответствующие градостроительным нормам_00-022_Август/4d0cde71-98ea-4a27-8571-83a3ffd7fbba.jpg","open")</f>
        <v/>
      </c>
      <c r="C2001" t="inlineStr">
        <is>
          <t>a28f597e-d1cd-4d3b-b572-c86d033412e9</t>
        </is>
      </c>
      <c r="D2001" t="n">
        <v>55.71067</v>
      </c>
      <c r="E2001" t="n">
        <v>37.47541</v>
      </c>
      <c r="F2001" t="inlineStr"/>
      <c r="G2001" t="inlineStr"/>
      <c r="H2001" t="inlineStr"/>
    </row>
    <row r="2002">
      <c r="A2002" t="inlineStr">
        <is>
          <t>e729d7db-573a-4bf7-8622-2cf83d8b6b18.jpg</t>
        </is>
      </c>
      <c r="B2002">
        <f>HYPERLINK("Объекты недвижимости, не соответствующие градостроительным нормам_00-022_Август/e729d7db-573a-4bf7-8622-2cf83d8b6b18.jpg","open")</f>
        <v/>
      </c>
      <c r="C2002" t="inlineStr">
        <is>
          <t>61936922-4d4b-458e-80ea-6d4c450aa1d5</t>
        </is>
      </c>
      <c r="D2002" t="n">
        <v>55.66695</v>
      </c>
      <c r="E2002" t="n">
        <v>37.45422</v>
      </c>
      <c r="F2002" t="inlineStr"/>
      <c r="G2002" t="inlineStr"/>
      <c r="H2002" t="inlineStr"/>
    </row>
    <row r="2003">
      <c r="A2003" t="inlineStr">
        <is>
          <t>20c60947-04b7-4547-b8fe-c332eef8ab02.jpg</t>
        </is>
      </c>
      <c r="B2003">
        <f>HYPERLINK("Объекты недвижимости, не соответствующие градостроительным нормам_00-022_Август/20c60947-04b7-4547-b8fe-c332eef8ab02.jpg","open")</f>
        <v/>
      </c>
      <c r="C2003" t="inlineStr">
        <is>
          <t>cbf95b01-f708-45a3-9ec0-3603469b538e</t>
        </is>
      </c>
      <c r="D2003" t="n">
        <v>55.7288</v>
      </c>
      <c r="E2003" t="n">
        <v>37.62587</v>
      </c>
      <c r="F2003" t="inlineStr"/>
      <c r="G2003" t="inlineStr"/>
      <c r="H2003" t="inlineStr"/>
    </row>
    <row r="2004">
      <c r="A2004" t="inlineStr">
        <is>
          <t>c21cc9ed-dae9-4de3-b73c-0c89f0e322ae.jpg</t>
        </is>
      </c>
      <c r="B2004">
        <f>HYPERLINK("Объекты недвижимости, не соответствующие градостроительным нормам_00-022_Август/c21cc9ed-dae9-4de3-b73c-0c89f0e322ae.jpg","open")</f>
        <v/>
      </c>
      <c r="C2004" t="inlineStr">
        <is>
          <t>57812597-37e6-414c-8b11-8c661dbfeb70</t>
        </is>
      </c>
      <c r="D2004" t="n">
        <v>55.77167</v>
      </c>
      <c r="E2004" t="n">
        <v>37.6437</v>
      </c>
      <c r="F2004" t="inlineStr"/>
      <c r="G2004" t="inlineStr"/>
      <c r="H2004" t="inlineStr"/>
    </row>
    <row r="2005">
      <c r="A2005" t="inlineStr">
        <is>
          <t>cd6f74a4-fef4-4c93-b782-e5c0876fc509.jpg</t>
        </is>
      </c>
      <c r="B2005">
        <f>HYPERLINK("Объекты недвижимости, не соответствующие градостроительным нормам_00-022_Август/cd6f74a4-fef4-4c93-b782-e5c0876fc509.jpg","open")</f>
        <v/>
      </c>
      <c r="C2005" t="inlineStr">
        <is>
          <t>685d9054-b74f-49ab-857b-109fd2cec80d</t>
        </is>
      </c>
      <c r="D2005" t="n">
        <v>56.1787</v>
      </c>
      <c r="E2005" t="n">
        <v>37.42482</v>
      </c>
      <c r="F2005" t="inlineStr"/>
      <c r="G2005" t="inlineStr"/>
      <c r="H2005" t="inlineStr"/>
    </row>
    <row r="2006">
      <c r="A2006" t="inlineStr">
        <is>
          <t>6f4a2bfa-7b61-4ad9-a027-9cac6f52984e.jpg</t>
        </is>
      </c>
      <c r="B2006">
        <f>HYPERLINK("Объекты недвижимости, не соответствующие градостроительным нормам_00-022_Август/6f4a2bfa-7b61-4ad9-a027-9cac6f52984e.jpg","open")</f>
        <v/>
      </c>
      <c r="C2006" t="inlineStr">
        <is>
          <t>cbf95b01-f708-45a3-9ec0-3603469b538e</t>
        </is>
      </c>
      <c r="D2006" t="n">
        <v>55.7288</v>
      </c>
      <c r="E2006" t="n">
        <v>37.62587</v>
      </c>
      <c r="F2006" t="inlineStr"/>
      <c r="G2006" t="inlineStr"/>
      <c r="H2006" t="inlineStr"/>
    </row>
    <row r="2007">
      <c r="A2007" t="inlineStr">
        <is>
          <t>5845445a-77ce-4861-ad22-22b60e8ab613.jpg</t>
        </is>
      </c>
      <c r="B2007">
        <f>HYPERLINK("Объекты недвижимости, не соответствующие градостроительным нормам_00-022_Август/5845445a-77ce-4861-ad22-22b60e8ab613.jpg","open")</f>
        <v/>
      </c>
      <c r="C2007" t="inlineStr">
        <is>
          <t>b0429a31-0c70-4b9f-8ea5-73929d82f89e</t>
        </is>
      </c>
      <c r="D2007" t="n">
        <v>55.82874</v>
      </c>
      <c r="E2007" t="n">
        <v>37.64186</v>
      </c>
      <c r="F2007" t="inlineStr"/>
      <c r="G2007" t="inlineStr"/>
      <c r="H2007" t="inlineStr"/>
    </row>
    <row r="2008">
      <c r="A2008" t="inlineStr">
        <is>
          <t>0fbe6b68-8fe8-4936-9ca5-164140ca623f.jpg</t>
        </is>
      </c>
      <c r="B2008">
        <f>HYPERLINK("Объекты недвижимости, не соответствующие градостроительным нормам_00-022_Август/0fbe6b68-8fe8-4936-9ca5-164140ca623f.jpg","open")</f>
        <v/>
      </c>
      <c r="C2008" t="inlineStr">
        <is>
          <t>cbf95b01-f708-45a3-9ec0-3603469b538e</t>
        </is>
      </c>
      <c r="D2008" t="n">
        <v>55.7288</v>
      </c>
      <c r="E2008" t="n">
        <v>37.62587</v>
      </c>
      <c r="F2008" t="inlineStr"/>
      <c r="G2008" t="inlineStr"/>
      <c r="H2008" t="inlineStr"/>
    </row>
    <row r="2009">
      <c r="A2009" t="inlineStr">
        <is>
          <t>1b7b7137-a2e0-45f4-a8c1-cda0fcef4a08.jpg</t>
        </is>
      </c>
      <c r="B2009">
        <f>HYPERLINK("Объекты недвижимости, не соответствующие градостроительным нормам_00-022_Август/1b7b7137-a2e0-45f4-a8c1-cda0fcef4a08.jpg","open")</f>
        <v/>
      </c>
      <c r="C2009" t="inlineStr">
        <is>
          <t>036c664f-5408-4fd0-b479-342c00468eeb</t>
        </is>
      </c>
      <c r="D2009" t="n">
        <v>55.71025</v>
      </c>
      <c r="E2009" t="n">
        <v>37.47661</v>
      </c>
      <c r="F2009" t="inlineStr"/>
      <c r="G2009" t="inlineStr"/>
      <c r="H2009" t="inlineStr"/>
    </row>
    <row r="2010">
      <c r="A2010" t="inlineStr">
        <is>
          <t>cfac328d-aa2c-4d81-aec3-75ba4e9916b9.jpg</t>
        </is>
      </c>
      <c r="B2010">
        <f>HYPERLINK("Объекты недвижимости, не соответствующие градостроительным нормам_00-022_Август/cfac328d-aa2c-4d81-aec3-75ba4e9916b9.jpg","open")</f>
        <v/>
      </c>
      <c r="C2010" t="inlineStr">
        <is>
          <t>cbf95b01-f708-45a3-9ec0-3603469b538e</t>
        </is>
      </c>
      <c r="D2010" t="n">
        <v>55.7288</v>
      </c>
      <c r="E2010" t="n">
        <v>37.62587</v>
      </c>
      <c r="F2010" t="inlineStr"/>
      <c r="G2010" t="inlineStr"/>
      <c r="H2010" t="inlineStr"/>
    </row>
    <row r="2011">
      <c r="A2011" t="inlineStr">
        <is>
          <t>d7b0f101-2811-48f0-ad8c-bb35de837d29.jpg</t>
        </is>
      </c>
      <c r="B2011">
        <f>HYPERLINK("Объекты недвижимости, не соответствующие градостроительным нормам_00-022_Август/d7b0f101-2811-48f0-ad8c-bb35de837d29.jpg","open")</f>
        <v/>
      </c>
      <c r="C2011" t="inlineStr">
        <is>
          <t>a1a9db89-3f74-42ef-8fad-ad69705102cd</t>
        </is>
      </c>
      <c r="D2011" t="n">
        <v>55.7288</v>
      </c>
      <c r="E2011" t="n">
        <v>37.62587</v>
      </c>
      <c r="F2011" t="inlineStr"/>
      <c r="G2011" t="inlineStr"/>
      <c r="H2011" t="inlineStr"/>
    </row>
    <row r="2012">
      <c r="A2012" t="inlineStr">
        <is>
          <t>13f69d30-ab71-4e15-a6e5-0bd0b561519c.jpg</t>
        </is>
      </c>
      <c r="B2012">
        <f>HYPERLINK("Объекты недвижимости, не соответствующие градостроительным нормам_00-022_Август/13f69d30-ab71-4e15-a6e5-0bd0b561519c.jpg","open")</f>
        <v/>
      </c>
      <c r="C2012" t="inlineStr">
        <is>
          <t>750bf7e4-0f0f-4f1a-96af-607dc8c1f1c9</t>
        </is>
      </c>
      <c r="D2012" t="n">
        <v>55.75045</v>
      </c>
      <c r="E2012" t="n">
        <v>37.80861</v>
      </c>
      <c r="F2012" t="inlineStr"/>
      <c r="G2012" t="inlineStr"/>
      <c r="H2012" t="inlineStr"/>
    </row>
    <row r="2013">
      <c r="A2013" t="inlineStr">
        <is>
          <t>3fa19c68-33fe-414c-bdfa-a48b95339ce3.jpg</t>
        </is>
      </c>
      <c r="B2013">
        <f>HYPERLINK("Объекты недвижимости, не соответствующие градостроительным нормам_00-022_Август/3fa19c68-33fe-414c-bdfa-a48b95339ce3.jpg","open")</f>
        <v/>
      </c>
      <c r="C2013" t="inlineStr">
        <is>
          <t>685d9054-b74f-49ab-857b-109fd2cec80d</t>
        </is>
      </c>
      <c r="D2013" t="n">
        <v>55.23473</v>
      </c>
      <c r="E2013" t="n">
        <v>36.29314</v>
      </c>
      <c r="F2013" t="inlineStr"/>
      <c r="G2013" t="inlineStr"/>
      <c r="H2013" t="inlineStr"/>
    </row>
    <row r="2014">
      <c r="A2014" t="inlineStr">
        <is>
          <t>a222afe4-1b5c-46fb-865c-b2655dac6bad.jpg</t>
        </is>
      </c>
      <c r="B2014">
        <f>HYPERLINK("Объекты недвижимости, не соответствующие градостроительным нормам_00-022_Август/a222afe4-1b5c-46fb-865c-b2655dac6bad.jpg","open")</f>
        <v/>
      </c>
      <c r="C2014" t="inlineStr">
        <is>
          <t>685d9054-b74f-49ab-857b-109fd2cec80d</t>
        </is>
      </c>
      <c r="D2014" t="n">
        <v>55.23473</v>
      </c>
      <c r="E2014" t="n">
        <v>36.29314</v>
      </c>
      <c r="F2014" t="inlineStr"/>
      <c r="G2014" t="inlineStr"/>
      <c r="H2014" t="inlineStr"/>
    </row>
    <row r="2015">
      <c r="A2015" t="inlineStr">
        <is>
          <t>ce60dfd8-e2b8-4621-8adc-f0ffb1ee5c5c.jpg</t>
        </is>
      </c>
      <c r="B2015">
        <f>HYPERLINK("Объекты недвижимости, не соответствующие градостроительным нормам_00-022_Август/ce60dfd8-e2b8-4621-8adc-f0ffb1ee5c5c.jpg","open")</f>
        <v/>
      </c>
      <c r="C2015" t="inlineStr">
        <is>
          <t>cbf95b01-f708-45a3-9ec0-3603469b538e</t>
        </is>
      </c>
      <c r="D2015" t="n">
        <v>55.7288</v>
      </c>
      <c r="E2015" t="n">
        <v>37.62587</v>
      </c>
      <c r="F2015" t="inlineStr"/>
      <c r="G2015" t="inlineStr"/>
      <c r="H2015" t="inlineStr"/>
    </row>
    <row r="2016">
      <c r="A2016" t="inlineStr">
        <is>
          <t>f62fc44e-0c6a-4926-8aeb-f575b4d752b1.jpg</t>
        </is>
      </c>
      <c r="B2016">
        <f>HYPERLINK("Объекты недвижимости, не соответствующие градостроительным нормам_00-022_Август/f62fc44e-0c6a-4926-8aeb-f575b4d752b1.jpg","open")</f>
        <v/>
      </c>
      <c r="C2016" t="inlineStr">
        <is>
          <t>a1a9db89-3f74-42ef-8fad-ad69705102cd</t>
        </is>
      </c>
      <c r="D2016" t="n">
        <v>55.7288</v>
      </c>
      <c r="E2016" t="n">
        <v>37.62587</v>
      </c>
      <c r="F2016" t="inlineStr"/>
      <c r="G2016" t="inlineStr"/>
      <c r="H2016" t="inlineStr"/>
    </row>
    <row r="2017">
      <c r="A2017" t="inlineStr">
        <is>
          <t>999153d4-0cc5-47b6-8a4f-1fde57a67250.jpg</t>
        </is>
      </c>
      <c r="B2017">
        <f>HYPERLINK("Объекты недвижимости, не соответствующие градостроительным нормам_00-022_Август/999153d4-0cc5-47b6-8a4f-1fde57a67250.jpg","open")</f>
        <v/>
      </c>
      <c r="C2017" t="inlineStr">
        <is>
          <t>a1a9db89-3f74-42ef-8fad-ad69705102cd</t>
        </is>
      </c>
      <c r="D2017" t="n">
        <v>55.7288</v>
      </c>
      <c r="E2017" t="n">
        <v>37.62587</v>
      </c>
      <c r="F2017" t="inlineStr"/>
      <c r="G2017" t="inlineStr"/>
      <c r="H2017" t="inlineStr"/>
    </row>
    <row r="2018">
      <c r="A2018" t="inlineStr">
        <is>
          <t>a5d10648-f961-4d88-b611-6071a1180512.jpg</t>
        </is>
      </c>
      <c r="B2018">
        <f>HYPERLINK("Объекты недвижимости, не соответствующие градостроительным нормам_00-022_Август/a5d10648-f961-4d88-b611-6071a1180512.jpg","open")</f>
        <v/>
      </c>
      <c r="C2018" t="inlineStr">
        <is>
          <t>cbf95b01-f708-45a3-9ec0-3603469b538e</t>
        </is>
      </c>
      <c r="D2018" t="n">
        <v>55.7288</v>
      </c>
      <c r="E2018" t="n">
        <v>37.62587</v>
      </c>
      <c r="F2018" t="inlineStr"/>
      <c r="G2018" t="inlineStr"/>
      <c r="H2018" t="inlineStr"/>
    </row>
    <row r="2019">
      <c r="A2019" t="inlineStr">
        <is>
          <t>a871daab-a631-4202-b197-ed30ab847b2a.jpg</t>
        </is>
      </c>
      <c r="B2019">
        <f>HYPERLINK("Объекты недвижимости, не соответствующие градостроительным нормам_00-022_Август/a871daab-a631-4202-b197-ed30ab847b2a.jpg","open")</f>
        <v/>
      </c>
      <c r="C2019" t="inlineStr">
        <is>
          <t>685d9054-b74f-49ab-857b-109fd2cec80d</t>
        </is>
      </c>
      <c r="D2019" t="n">
        <v>55.23087</v>
      </c>
      <c r="E2019" t="n">
        <v>36.36534</v>
      </c>
      <c r="F2019" t="inlineStr"/>
      <c r="G2019" t="inlineStr"/>
      <c r="H2019" t="inlineStr"/>
    </row>
    <row r="2020">
      <c r="A2020" t="inlineStr">
        <is>
          <t>9b64cf54-d51d-4ff6-96e1-3b3258fbb45d.jpg</t>
        </is>
      </c>
      <c r="B2020">
        <f>HYPERLINK("Объекты недвижимости, не соответствующие градостроительным нормам_00-022_Август/9b64cf54-d51d-4ff6-96e1-3b3258fbb45d.jpg","open")</f>
        <v/>
      </c>
      <c r="C2020" t="inlineStr">
        <is>
          <t>1231bbc5-e64c-4dc7-9acc-77710f47607a</t>
        </is>
      </c>
      <c r="D2020" t="n">
        <v>55.23022</v>
      </c>
      <c r="E2020" t="n">
        <v>36.36576</v>
      </c>
      <c r="F2020" t="inlineStr"/>
      <c r="G2020" t="inlineStr"/>
      <c r="H2020" t="inlineStr"/>
    </row>
    <row r="2021">
      <c r="A2021" t="inlineStr">
        <is>
          <t>64cf191f-2faf-4f19-95a7-f4bd8bb25c33.jpg</t>
        </is>
      </c>
      <c r="B2021">
        <f>HYPERLINK("Объекты недвижимости, не соответствующие градостроительным нормам_00-022_Август/64cf191f-2faf-4f19-95a7-f4bd8bb25c33.jpg","open")</f>
        <v/>
      </c>
      <c r="C2021" t="inlineStr">
        <is>
          <t>cbf95b01-f708-45a3-9ec0-3603469b538e</t>
        </is>
      </c>
      <c r="D2021" t="n">
        <v>55.7288</v>
      </c>
      <c r="E2021" t="n">
        <v>37.62587</v>
      </c>
      <c r="F2021" t="inlineStr"/>
      <c r="G2021" t="inlineStr"/>
      <c r="H2021" t="inlineStr"/>
    </row>
    <row r="2022">
      <c r="A2022" t="inlineStr">
        <is>
          <t>4c3cb0f6-f395-4c98-b6a3-15856f852d7b.jpg</t>
        </is>
      </c>
      <c r="B2022">
        <f>HYPERLINK("Объекты недвижимости, не соответствующие градостроительным нормам_00-022_Август/4c3cb0f6-f395-4c98-b6a3-15856f852d7b.jpg","open")</f>
        <v/>
      </c>
      <c r="C2022" t="inlineStr">
        <is>
          <t>a1a9db89-3f74-42ef-8fad-ad69705102cd</t>
        </is>
      </c>
      <c r="D2022" t="n">
        <v>55.7288</v>
      </c>
      <c r="E2022" t="n">
        <v>37.62587</v>
      </c>
      <c r="F2022" t="inlineStr"/>
      <c r="G2022" t="inlineStr"/>
      <c r="H2022" t="inlineStr"/>
    </row>
    <row r="2023">
      <c r="A2023" t="inlineStr">
        <is>
          <t>d1fcef18-d728-4ec3-86c2-674de59184d9.jpg</t>
        </is>
      </c>
      <c r="B2023">
        <f>HYPERLINK("Объекты недвижимости, не соответствующие градостроительным нормам_00-022_Август/d1fcef18-d728-4ec3-86c2-674de59184d9.jpg","open")</f>
        <v/>
      </c>
      <c r="C2023" t="inlineStr">
        <is>
          <t>cbf95b01-f708-45a3-9ec0-3603469b538e</t>
        </is>
      </c>
      <c r="D2023" t="n">
        <v>55.7288</v>
      </c>
      <c r="E2023" t="n">
        <v>37.62587</v>
      </c>
      <c r="F2023" t="inlineStr"/>
      <c r="G2023" t="inlineStr"/>
      <c r="H2023" t="inlineStr"/>
    </row>
    <row r="2024">
      <c r="A2024" t="inlineStr">
        <is>
          <t>7a2caa03-dcb9-48c0-a5a2-df237a83f934.jpg</t>
        </is>
      </c>
      <c r="B2024">
        <f>HYPERLINK("Объекты недвижимости, не соответствующие градостроительным нормам_00-022_Август/7a2caa03-dcb9-48c0-a5a2-df237a83f934.jpg","open")</f>
        <v/>
      </c>
      <c r="C2024" t="inlineStr">
        <is>
          <t>cbf95b01-f708-45a3-9ec0-3603469b538e</t>
        </is>
      </c>
      <c r="D2024" t="n">
        <v>55.7288</v>
      </c>
      <c r="E2024" t="n">
        <v>37.62587</v>
      </c>
      <c r="F2024" t="inlineStr"/>
      <c r="G2024" t="inlineStr"/>
      <c r="H2024" t="inlineStr"/>
    </row>
    <row r="2025">
      <c r="A2025" t="inlineStr">
        <is>
          <t>4150ef29-b2ae-4938-9c96-ef9a1683ffeb.jpg</t>
        </is>
      </c>
      <c r="B2025">
        <f>HYPERLINK("Объекты недвижимости, не соответствующие градостроительным нормам_00-022_Август/4150ef29-b2ae-4938-9c96-ef9a1683ffeb.jpg","open")</f>
        <v/>
      </c>
      <c r="C2025" t="inlineStr">
        <is>
          <t>a1a9db89-3f74-42ef-8fad-ad69705102cd</t>
        </is>
      </c>
      <c r="D2025" t="n">
        <v>55.7288</v>
      </c>
      <c r="E2025" t="n">
        <v>37.62587</v>
      </c>
      <c r="F2025" t="inlineStr"/>
      <c r="G2025" t="inlineStr"/>
      <c r="H2025" t="inlineStr"/>
    </row>
    <row r="2026">
      <c r="A2026" t="inlineStr">
        <is>
          <t>7f0415ef-56b2-4f09-8381-da9c77d436dd.jpg</t>
        </is>
      </c>
      <c r="B2026">
        <f>HYPERLINK("Объекты недвижимости, не соответствующие градостроительным нормам_00-022_Август/7f0415ef-56b2-4f09-8381-da9c77d436dd.jpg","open")</f>
        <v/>
      </c>
      <c r="C2026" t="inlineStr">
        <is>
          <t>a1a9db89-3f74-42ef-8fad-ad69705102cd</t>
        </is>
      </c>
      <c r="D2026" t="n">
        <v>55.7288</v>
      </c>
      <c r="E2026" t="n">
        <v>37.62587</v>
      </c>
      <c r="F2026" t="inlineStr"/>
      <c r="G2026" t="inlineStr"/>
      <c r="H2026" t="inlineStr"/>
    </row>
    <row r="2027">
      <c r="A2027" t="inlineStr">
        <is>
          <t>5012531f-6913-4752-bc40-627bf2f8da68.jpg</t>
        </is>
      </c>
      <c r="B2027">
        <f>HYPERLINK("Объекты недвижимости, не соответствующие градостроительным нормам_00-022_Август/5012531f-6913-4752-bc40-627bf2f8da68.jpg","open")</f>
        <v/>
      </c>
      <c r="C2027" t="inlineStr">
        <is>
          <t>a1a9db89-3f74-42ef-8fad-ad69705102cd</t>
        </is>
      </c>
      <c r="D2027" t="n">
        <v>55.7288</v>
      </c>
      <c r="E2027" t="n">
        <v>37.62587</v>
      </c>
      <c r="F2027" t="inlineStr"/>
      <c r="G2027" t="inlineStr"/>
      <c r="H2027" t="inlineStr"/>
    </row>
    <row r="2028">
      <c r="A2028" t="inlineStr">
        <is>
          <t>2a1c8ec7-e688-406c-91df-9034bf84a124.jpg</t>
        </is>
      </c>
      <c r="B2028">
        <f>HYPERLINK("Объекты недвижимости, не соответствующие градостроительным нормам_00-022_Август/2a1c8ec7-e688-406c-91df-9034bf84a124.jpg","open")</f>
        <v/>
      </c>
      <c r="C2028" t="inlineStr">
        <is>
          <t>6e2567a0-1fb9-40d5-a0e7-0adb480d2965</t>
        </is>
      </c>
      <c r="D2028" t="n">
        <v>55.78636</v>
      </c>
      <c r="E2028" t="n">
        <v>37.66173</v>
      </c>
      <c r="F2028" t="inlineStr"/>
      <c r="G2028" t="inlineStr"/>
      <c r="H2028" t="inlineStr"/>
    </row>
    <row r="2029">
      <c r="A2029" t="inlineStr">
        <is>
          <t>09817fbf-db61-42f5-ae2c-0fc370e87bcc.jpg</t>
        </is>
      </c>
      <c r="B2029">
        <f>HYPERLINK("Объекты недвижимости, не соответствующие градостроительным нормам_00-022_Август/09817fbf-db61-42f5-ae2c-0fc370e87bcc.jpg","open")</f>
        <v/>
      </c>
      <c r="C2029" t="inlineStr">
        <is>
          <t>91248771-2c4d-44f3-b3cf-d536bd4ae73c</t>
        </is>
      </c>
      <c r="D2029" t="n">
        <v>55.0089</v>
      </c>
      <c r="E2029" t="n">
        <v>82.65215000000001</v>
      </c>
      <c r="F2029" t="inlineStr"/>
      <c r="G2029" t="inlineStr"/>
      <c r="H2029" t="inlineStr"/>
    </row>
    <row r="2030">
      <c r="A2030" t="inlineStr">
        <is>
          <t>3f3b46a0-4034-4e9f-b1fb-57fe749a4119.jpg</t>
        </is>
      </c>
      <c r="B2030">
        <f>HYPERLINK("Объекты недвижимости, не соответствующие градостроительным нормам_00-022_Август/3f3b46a0-4034-4e9f-b1fb-57fe749a4119.jpg","open")</f>
        <v/>
      </c>
      <c r="C2030" t="inlineStr">
        <is>
          <t>a1a9db89-3f74-42ef-8fad-ad69705102cd</t>
        </is>
      </c>
      <c r="D2030" t="n">
        <v>55.7288</v>
      </c>
      <c r="E2030" t="n">
        <v>37.62587</v>
      </c>
      <c r="F2030" t="inlineStr"/>
      <c r="G2030" t="inlineStr"/>
      <c r="H2030" t="inlineStr"/>
    </row>
    <row r="2031">
      <c r="A2031" t="inlineStr">
        <is>
          <t>5cfeb396-ffd9-48a4-b9d6-26025c73b0f0.jpg</t>
        </is>
      </c>
      <c r="B2031">
        <f>HYPERLINK("Объекты недвижимости, не соответствующие градостроительным нормам_00-022_Август/5cfeb396-ffd9-48a4-b9d6-26025c73b0f0.jpg","open")</f>
        <v/>
      </c>
      <c r="C2031" t="inlineStr">
        <is>
          <t>cbf95b01-f708-45a3-9ec0-3603469b538e</t>
        </is>
      </c>
      <c r="D2031" t="n">
        <v>55.7288</v>
      </c>
      <c r="E2031" t="n">
        <v>37.62587</v>
      </c>
      <c r="F2031" t="inlineStr"/>
      <c r="G2031" t="inlineStr"/>
      <c r="H2031" t="inlineStr"/>
    </row>
    <row r="2032">
      <c r="A2032" t="inlineStr">
        <is>
          <t>70165459-8c46-43fe-aa7b-4a3522fbb2ec.jpg</t>
        </is>
      </c>
      <c r="B2032">
        <f>HYPERLINK("Объекты недвижимости, не соответствующие градостроительным нормам_00-022_Август/70165459-8c46-43fe-aa7b-4a3522fbb2ec.jpg","open")</f>
        <v/>
      </c>
      <c r="C2032" t="inlineStr">
        <is>
          <t>ffd931da-542f-43e9-979f-5552b17fe3dc</t>
        </is>
      </c>
      <c r="D2032" t="n">
        <v>55.80384</v>
      </c>
      <c r="E2032" t="n">
        <v>37.72559</v>
      </c>
      <c r="F2032" t="inlineStr"/>
      <c r="G2032" t="inlineStr"/>
      <c r="H2032" t="inlineStr"/>
    </row>
    <row r="2033">
      <c r="A2033" t="inlineStr">
        <is>
          <t>5763b1a3-b2e9-476b-96c8-14b1df360464.jpg</t>
        </is>
      </c>
      <c r="B2033">
        <f>HYPERLINK("Объекты недвижимости, не соответствующие градостроительным нормам_00-022_Август/5763b1a3-b2e9-476b-96c8-14b1df360464.jpg","open")</f>
        <v/>
      </c>
      <c r="C2033" t="inlineStr">
        <is>
          <t>e26f5fc2-1353-4f29-85f3-87c56419161c</t>
        </is>
      </c>
      <c r="D2033" t="n">
        <v>55.78226</v>
      </c>
      <c r="E2033" t="n">
        <v>37.67117</v>
      </c>
      <c r="F2033" t="inlineStr"/>
      <c r="G2033" t="inlineStr"/>
      <c r="H2033" t="inlineStr"/>
    </row>
    <row r="2034">
      <c r="A2034" t="inlineStr">
        <is>
          <t>88874627-fd77-4f1c-8c45-76318b830d2d.jpg</t>
        </is>
      </c>
      <c r="B2034">
        <f>HYPERLINK("Объекты недвижимости, не соответствующие градостроительным нормам_00-022_Август/88874627-fd77-4f1c-8c45-76318b830d2d.jpg","open")</f>
        <v/>
      </c>
      <c r="C2034" t="inlineStr">
        <is>
          <t>a1a9db89-3f74-42ef-8fad-ad69705102cd</t>
        </is>
      </c>
      <c r="D2034" t="n">
        <v>55.7288</v>
      </c>
      <c r="E2034" t="n">
        <v>37.62587</v>
      </c>
      <c r="F2034" t="inlineStr"/>
      <c r="G2034" t="inlineStr"/>
      <c r="H2034" t="inlineStr"/>
    </row>
    <row r="2035">
      <c r="A2035" t="inlineStr">
        <is>
          <t>a2fe6ecc-fce1-459d-969d-2d3c3820004e.jpg</t>
        </is>
      </c>
      <c r="B2035">
        <f>HYPERLINK("Объекты недвижимости, не соответствующие градостроительным нормам_00-022_Август/a2fe6ecc-fce1-459d-969d-2d3c3820004e.jpg","open")</f>
        <v/>
      </c>
      <c r="C2035" t="inlineStr">
        <is>
          <t>a1a9db89-3f74-42ef-8fad-ad69705102cd</t>
        </is>
      </c>
      <c r="D2035" t="n">
        <v>55.7288</v>
      </c>
      <c r="E2035" t="n">
        <v>37.62587</v>
      </c>
      <c r="F2035" t="inlineStr"/>
      <c r="G2035" t="inlineStr"/>
      <c r="H2035" t="inlineStr"/>
    </row>
    <row r="2036">
      <c r="A2036" t="inlineStr">
        <is>
          <t>883f03d8-1263-4d81-a147-62616864d296.jpg</t>
        </is>
      </c>
      <c r="B2036">
        <f>HYPERLINK("Объекты недвижимости, не соответствующие градостроительным нормам_00-022_Август/883f03d8-1263-4d81-a147-62616864d296.jpg","open")</f>
        <v/>
      </c>
      <c r="C2036" t="inlineStr">
        <is>
          <t>1231bbc5-e64c-4dc7-9acc-77710f47607a</t>
        </is>
      </c>
      <c r="D2036" t="n">
        <v>55.21796</v>
      </c>
      <c r="E2036" t="n">
        <v>36.50031</v>
      </c>
      <c r="F2036" t="inlineStr"/>
      <c r="G2036" t="inlineStr"/>
      <c r="H2036" t="inlineStr"/>
    </row>
    <row r="2037">
      <c r="A2037" t="inlineStr">
        <is>
          <t>4881f79c-ac95-4da5-93fd-a3633ac6a0bd.jpg</t>
        </is>
      </c>
      <c r="B2037">
        <f>HYPERLINK("Объекты недвижимости, не соответствующие градостроительным нормам_00-022_Август/4881f79c-ac95-4da5-93fd-a3633ac6a0bd.jpg","open")</f>
        <v/>
      </c>
      <c r="C2037" t="inlineStr">
        <is>
          <t>685d9054-b74f-49ab-857b-109fd2cec80d</t>
        </is>
      </c>
      <c r="D2037" t="n">
        <v>55.21796</v>
      </c>
      <c r="E2037" t="n">
        <v>36.50031</v>
      </c>
      <c r="F2037" t="inlineStr"/>
      <c r="G2037" t="inlineStr"/>
      <c r="H2037" t="inlineStr"/>
    </row>
    <row r="2038">
      <c r="A2038" t="inlineStr">
        <is>
          <t>ec19a2d0-a1f5-4ca0-a610-dd7735619123.jpg</t>
        </is>
      </c>
      <c r="B2038">
        <f>HYPERLINK("Объекты недвижимости, не соответствующие градостроительным нормам_00-022_Август/ec19a2d0-a1f5-4ca0-a610-dd7735619123.jpg","open")</f>
        <v/>
      </c>
      <c r="C2038" t="inlineStr">
        <is>
          <t>a1a9db89-3f74-42ef-8fad-ad69705102cd</t>
        </is>
      </c>
      <c r="D2038" t="n">
        <v>55.7288</v>
      </c>
      <c r="E2038" t="n">
        <v>37.62587</v>
      </c>
      <c r="F2038" t="inlineStr"/>
      <c r="G2038" t="inlineStr"/>
      <c r="H2038" t="inlineStr"/>
    </row>
    <row r="2039">
      <c r="A2039" t="inlineStr">
        <is>
          <t>006e1318-2b35-4f6f-ad8d-e8536c4077a2.jpg</t>
        </is>
      </c>
      <c r="B2039">
        <f>HYPERLINK("Объекты недвижимости, не соответствующие градостроительным нормам_00-022_Август/006e1318-2b35-4f6f-ad8d-e8536c4077a2.jpg","open")</f>
        <v/>
      </c>
      <c r="C2039" t="inlineStr">
        <is>
          <t>a1a9db89-3f74-42ef-8fad-ad69705102cd</t>
        </is>
      </c>
      <c r="D2039" t="n">
        <v>55.7288</v>
      </c>
      <c r="E2039" t="n">
        <v>37.62587</v>
      </c>
      <c r="F2039" t="inlineStr"/>
      <c r="G2039" t="inlineStr"/>
      <c r="H2039" t="inlineStr"/>
    </row>
    <row r="2040">
      <c r="A2040" t="inlineStr">
        <is>
          <t>cb61dfe2-925a-4ba5-8ce9-9b4d5f095af6.jpg</t>
        </is>
      </c>
      <c r="B2040">
        <f>HYPERLINK("Объекты недвижимости, не соответствующие градостроительным нормам_00-022_Август/cb61dfe2-925a-4ba5-8ce9-9b4d5f095af6.jpg","open")</f>
        <v/>
      </c>
      <c r="C2040" t="inlineStr">
        <is>
          <t>a1a9db89-3f74-42ef-8fad-ad69705102cd</t>
        </is>
      </c>
      <c r="D2040" t="n">
        <v>55.7288</v>
      </c>
      <c r="E2040" t="n">
        <v>37.62587</v>
      </c>
      <c r="F2040" t="inlineStr"/>
      <c r="G2040" t="inlineStr"/>
      <c r="H2040" t="inlineStr"/>
    </row>
    <row r="2041">
      <c r="A2041" t="inlineStr">
        <is>
          <t>05b6a544-5284-41ee-94e1-437bf10d8815.jpg</t>
        </is>
      </c>
      <c r="B2041">
        <f>HYPERLINK("Объекты недвижимости, не соответствующие градостроительным нормам_00-022_Август/05b6a544-5284-41ee-94e1-437bf10d8815.jpg","open")</f>
        <v/>
      </c>
      <c r="C2041" t="inlineStr">
        <is>
          <t>a1a9db89-3f74-42ef-8fad-ad69705102cd</t>
        </is>
      </c>
      <c r="D2041" t="n">
        <v>55.7288</v>
      </c>
      <c r="E2041" t="n">
        <v>37.62587</v>
      </c>
      <c r="F2041" t="inlineStr"/>
      <c r="G2041" t="inlineStr"/>
      <c r="H2041" t="inlineStr"/>
    </row>
    <row r="2042">
      <c r="A2042" t="inlineStr">
        <is>
          <t>fdbf0b00-2bd3-4d66-a2b8-0695c5650571.jpg</t>
        </is>
      </c>
      <c r="B2042">
        <f>HYPERLINK("Объекты недвижимости, не соответствующие градостроительным нормам_00-022_Август/fdbf0b00-2bd3-4d66-a2b8-0695c5650571.jpg","open")</f>
        <v/>
      </c>
      <c r="C2042" t="inlineStr">
        <is>
          <t>a1a9db89-3f74-42ef-8fad-ad69705102cd</t>
        </is>
      </c>
      <c r="D2042" t="n">
        <v>55.7288</v>
      </c>
      <c r="E2042" t="n">
        <v>37.62587</v>
      </c>
      <c r="F2042" t="inlineStr"/>
      <c r="G2042" t="inlineStr"/>
      <c r="H2042" t="inlineStr"/>
    </row>
    <row r="2043">
      <c r="A2043" t="inlineStr">
        <is>
          <t>9a81b78d-6c7f-4798-bf97-b802cfdba8b6.jpg</t>
        </is>
      </c>
      <c r="B2043">
        <f>HYPERLINK("Объекты недвижимости, не соответствующие градостроительным нормам_00-022_Август/9a81b78d-6c7f-4798-bf97-b802cfdba8b6.jpg","open")</f>
        <v/>
      </c>
      <c r="C2043" t="inlineStr">
        <is>
          <t>a1a9db89-3f74-42ef-8fad-ad69705102cd</t>
        </is>
      </c>
      <c r="D2043" t="n">
        <v>55.7288</v>
      </c>
      <c r="E2043" t="n">
        <v>37.62587</v>
      </c>
      <c r="F2043" t="inlineStr"/>
      <c r="G2043" t="inlineStr"/>
      <c r="H2043" t="inlineStr"/>
    </row>
    <row r="2044">
      <c r="A2044" t="inlineStr">
        <is>
          <t>dc27f9f9-a206-4344-9d0b-00c831bdf53f.jpg</t>
        </is>
      </c>
      <c r="B2044">
        <f>HYPERLINK("Объекты недвижимости, не соответствующие градостроительным нормам_00-022_Август/dc27f9f9-a206-4344-9d0b-00c831bdf53f.jpg","open")</f>
        <v/>
      </c>
      <c r="C2044" t="inlineStr">
        <is>
          <t>cbf95b01-f708-45a3-9ec0-3603469b538e</t>
        </is>
      </c>
      <c r="D2044" t="n">
        <v>55.7288</v>
      </c>
      <c r="E2044" t="n">
        <v>37.62587</v>
      </c>
      <c r="F2044" t="inlineStr"/>
      <c r="G2044" t="inlineStr"/>
      <c r="H2044" t="inlineStr"/>
    </row>
    <row r="2045">
      <c r="A2045" t="inlineStr">
        <is>
          <t>66dee4e5-2d4d-4275-846d-304472554c87.jpg</t>
        </is>
      </c>
      <c r="B2045">
        <f>HYPERLINK("Объекты недвижимости, не соответствующие градостроительным нормам_00-022_Август/66dee4e5-2d4d-4275-846d-304472554c87.jpg","open")</f>
        <v/>
      </c>
      <c r="C2045" t="inlineStr">
        <is>
          <t>1231bbc5-e64c-4dc7-9acc-77710f47607a</t>
        </is>
      </c>
      <c r="D2045" t="n">
        <v>55.19843</v>
      </c>
      <c r="E2045" t="n">
        <v>36.51295</v>
      </c>
      <c r="F2045" t="inlineStr"/>
      <c r="G2045" t="inlineStr"/>
      <c r="H2045" t="inlineStr"/>
    </row>
    <row r="2046">
      <c r="A2046" t="inlineStr">
        <is>
          <t>a2fb4110-f4ff-45c1-b79e-640d7a136b3b.jpg</t>
        </is>
      </c>
      <c r="B2046">
        <f>HYPERLINK("Объекты недвижимости, не соответствующие градостроительным нормам_00-022_Август/a2fb4110-f4ff-45c1-b79e-640d7a136b3b.jpg","open")</f>
        <v/>
      </c>
      <c r="C2046" t="inlineStr">
        <is>
          <t>685d9054-b74f-49ab-857b-109fd2cec80d</t>
        </is>
      </c>
      <c r="D2046" t="n">
        <v>55.19843</v>
      </c>
      <c r="E2046" t="n">
        <v>36.51295</v>
      </c>
      <c r="F2046" t="inlineStr"/>
      <c r="G2046" t="inlineStr"/>
      <c r="H2046" t="inlineStr"/>
    </row>
    <row r="2047">
      <c r="A2047" t="inlineStr">
        <is>
          <t>347e46fb-19f8-4d34-b58f-6d344fba1b42.jpg</t>
        </is>
      </c>
      <c r="B2047">
        <f>HYPERLINK("Объекты недвижимости, не соответствующие градостроительным нормам_00-022_Август/347e46fb-19f8-4d34-b58f-6d344fba1b42.jpg","open")</f>
        <v/>
      </c>
      <c r="C2047" t="inlineStr">
        <is>
          <t>b0b7ea82-53be-40d0-b992-e2fd18611d5c</t>
        </is>
      </c>
      <c r="D2047" t="n">
        <v>55.64988</v>
      </c>
      <c r="E2047" t="n">
        <v>37.71208</v>
      </c>
      <c r="F2047" t="inlineStr"/>
      <c r="G2047" t="inlineStr"/>
      <c r="H2047" t="inlineStr"/>
    </row>
    <row r="2048">
      <c r="A2048" t="inlineStr">
        <is>
          <t>76ef1e82-c6cd-44aa-869b-6a49b629f622.jpg</t>
        </is>
      </c>
      <c r="B2048">
        <f>HYPERLINK("Объекты недвижимости, не соответствующие градостроительным нормам_00-022_Август/76ef1e82-c6cd-44aa-869b-6a49b629f622.jpg","open")</f>
        <v/>
      </c>
      <c r="C2048" t="inlineStr">
        <is>
          <t>cbf95b01-f708-45a3-9ec0-3603469b538e</t>
        </is>
      </c>
      <c r="D2048" t="n">
        <v>55.7288</v>
      </c>
      <c r="E2048" t="n">
        <v>37.62587</v>
      </c>
      <c r="F2048" t="inlineStr"/>
      <c r="G2048" t="inlineStr"/>
      <c r="H2048" t="inlineStr"/>
    </row>
    <row r="2049">
      <c r="A2049" t="inlineStr">
        <is>
          <t>b50c8efe-07a0-41ab-aaa0-dc3468b68cc1.jpg</t>
        </is>
      </c>
      <c r="B2049">
        <f>HYPERLINK("Объекты недвижимости, не соответствующие градостроительным нормам_00-022_Август/b50c8efe-07a0-41ab-aaa0-dc3468b68cc1.jpg","open")</f>
        <v/>
      </c>
      <c r="C2049" t="inlineStr">
        <is>
          <t>cbf95b01-f708-45a3-9ec0-3603469b538e</t>
        </is>
      </c>
      <c r="D2049" t="n">
        <v>55.7288</v>
      </c>
      <c r="E2049" t="n">
        <v>37.62587</v>
      </c>
      <c r="F2049" t="inlineStr"/>
      <c r="G2049" t="inlineStr"/>
      <c r="H2049" t="inlineStr"/>
    </row>
    <row r="2050">
      <c r="A2050" t="inlineStr">
        <is>
          <t>f84ba94f-fc2a-4117-9d7e-f94fe901f953.jpg</t>
        </is>
      </c>
      <c r="B2050">
        <f>HYPERLINK("Объекты недвижимости, не соответствующие градостроительным нормам_00-022_Август/f84ba94f-fc2a-4117-9d7e-f94fe901f953.jpg","open")</f>
        <v/>
      </c>
      <c r="C2050" t="inlineStr">
        <is>
          <t>cbf95b01-f708-45a3-9ec0-3603469b538e</t>
        </is>
      </c>
      <c r="D2050" t="n">
        <v>55.7288</v>
      </c>
      <c r="E2050" t="n">
        <v>37.62587</v>
      </c>
      <c r="F2050" t="inlineStr"/>
      <c r="G2050" t="inlineStr"/>
      <c r="H2050" t="inlineStr"/>
    </row>
    <row r="2051">
      <c r="A2051" t="inlineStr">
        <is>
          <t>3089282e-81bd-4997-b6a3-f95fe0a061ad.jpg</t>
        </is>
      </c>
      <c r="B2051">
        <f>HYPERLINK("Объекты недвижимости, не соответствующие градостроительным нормам_00-022_Август/3089282e-81bd-4997-b6a3-f95fe0a061ad.jpg","open")</f>
        <v/>
      </c>
      <c r="C2051" t="inlineStr">
        <is>
          <t>a1a9db89-3f74-42ef-8fad-ad69705102cd</t>
        </is>
      </c>
      <c r="D2051" t="n">
        <v>55.7288</v>
      </c>
      <c r="E2051" t="n">
        <v>37.62587</v>
      </c>
      <c r="F2051" t="inlineStr"/>
      <c r="G2051" t="inlineStr"/>
      <c r="H2051" t="inlineStr"/>
    </row>
    <row r="2052">
      <c r="A2052" t="inlineStr">
        <is>
          <t>6fd38fe0-82e0-4d4f-a085-181716caf8dc.jpg</t>
        </is>
      </c>
      <c r="B2052">
        <f>HYPERLINK("Объекты недвижимости, не соответствующие градостроительным нормам_00-022_Август/6fd38fe0-82e0-4d4f-a085-181716caf8dc.jpg","open")</f>
        <v/>
      </c>
      <c r="C2052" t="inlineStr">
        <is>
          <t>8cde1fd0-eca1-4510-86ab-3c743b65fdfc</t>
        </is>
      </c>
      <c r="D2052" t="n">
        <v>55.7423</v>
      </c>
      <c r="E2052" t="n">
        <v>37.848</v>
      </c>
      <c r="F2052" t="inlineStr"/>
      <c r="G2052" t="inlineStr"/>
      <c r="H2052" t="inlineStr"/>
    </row>
    <row r="2053">
      <c r="A2053" t="inlineStr">
        <is>
          <t>8fde6614-a9a1-48b8-a454-71006912be05.jpg</t>
        </is>
      </c>
      <c r="B2053">
        <f>HYPERLINK("Объекты недвижимости, не соответствующие градостроительным нормам_00-022_Август/8fde6614-a9a1-48b8-a454-71006912be05.jpg","open")</f>
        <v/>
      </c>
      <c r="C2053" t="inlineStr">
        <is>
          <t>cbf95b01-f708-45a3-9ec0-3603469b538e</t>
        </is>
      </c>
      <c r="D2053" t="n">
        <v>55.7288</v>
      </c>
      <c r="E2053" t="n">
        <v>37.62587</v>
      </c>
      <c r="F2053" t="inlineStr"/>
      <c r="G2053" t="inlineStr"/>
      <c r="H2053" t="inlineStr"/>
    </row>
    <row r="2054">
      <c r="A2054" t="inlineStr">
        <is>
          <t>e823e2fc-7612-4933-98cc-138b3979c20a.jpg</t>
        </is>
      </c>
      <c r="B2054">
        <f>HYPERLINK("Объекты недвижимости, не соответствующие градостроительным нормам_00-022_Август/e823e2fc-7612-4933-98cc-138b3979c20a.jpg","open")</f>
        <v/>
      </c>
      <c r="C2054" t="inlineStr">
        <is>
          <t>cbf95b01-f708-45a3-9ec0-3603469b538e</t>
        </is>
      </c>
      <c r="D2054" t="n">
        <v>55.7288</v>
      </c>
      <c r="E2054" t="n">
        <v>37.62587</v>
      </c>
      <c r="F2054" t="inlineStr"/>
      <c r="G2054" t="inlineStr"/>
      <c r="H2054" t="inlineStr"/>
    </row>
    <row r="2055">
      <c r="A2055" t="inlineStr">
        <is>
          <t>9b90e287-9d36-43fd-a1f6-3648d7cc8360.jpg</t>
        </is>
      </c>
      <c r="B2055">
        <f>HYPERLINK("Объекты недвижимости, не соответствующие градостроительным нормам_00-022_Август/9b90e287-9d36-43fd-a1f6-3648d7cc8360.jpg","open")</f>
        <v/>
      </c>
      <c r="C2055" t="inlineStr">
        <is>
          <t>cbf95b01-f708-45a3-9ec0-3603469b538e</t>
        </is>
      </c>
      <c r="D2055" t="n">
        <v>55.7288</v>
      </c>
      <c r="E2055" t="n">
        <v>37.62587</v>
      </c>
      <c r="F2055" t="inlineStr"/>
      <c r="G2055" t="inlineStr"/>
      <c r="H2055" t="inlineStr"/>
    </row>
    <row r="2056">
      <c r="A2056" t="inlineStr">
        <is>
          <t>b3d2a30a-8375-45f3-a537-c38bf8ad1d9a.jpg</t>
        </is>
      </c>
      <c r="B2056">
        <f>HYPERLINK("Объекты недвижимости, не соответствующие градостроительным нормам_00-022_Август/b3d2a30a-8375-45f3-a537-c38bf8ad1d9a.jpg","open")</f>
        <v/>
      </c>
      <c r="C2056" t="inlineStr">
        <is>
          <t>cbf95b01-f708-45a3-9ec0-3603469b538e</t>
        </is>
      </c>
      <c r="D2056" t="n">
        <v>55.7288</v>
      </c>
      <c r="E2056" t="n">
        <v>37.62587</v>
      </c>
      <c r="F2056" t="inlineStr"/>
      <c r="G2056" t="inlineStr"/>
      <c r="H2056" t="inlineStr"/>
    </row>
    <row r="2057">
      <c r="A2057" t="inlineStr">
        <is>
          <t>506e250d-27f8-4f1a-bb56-eaf069646397.jpg</t>
        </is>
      </c>
      <c r="B2057">
        <f>HYPERLINK("Объекты недвижимости, не соответствующие градостроительным нормам_00-022_Август/506e250d-27f8-4f1a-bb56-eaf069646397.jpg","open")</f>
        <v/>
      </c>
      <c r="C2057" t="inlineStr">
        <is>
          <t>cbf95b01-f708-45a3-9ec0-3603469b538e</t>
        </is>
      </c>
      <c r="D2057" t="n">
        <v>55.7288</v>
      </c>
      <c r="E2057" t="n">
        <v>37.62587</v>
      </c>
      <c r="F2057" t="inlineStr"/>
      <c r="G2057" t="inlineStr"/>
      <c r="H2057" t="inlineStr"/>
    </row>
    <row r="2058">
      <c r="A2058" t="inlineStr">
        <is>
          <t>6369e4c8-61c7-42ee-950b-d500bb217beb.jpg</t>
        </is>
      </c>
      <c r="B2058">
        <f>HYPERLINK("Объекты недвижимости, не соответствующие градостроительным нормам_00-022_Август/6369e4c8-61c7-42ee-950b-d500bb217beb.jpg","open")</f>
        <v/>
      </c>
      <c r="C2058" t="inlineStr">
        <is>
          <t>cbf95b01-f708-45a3-9ec0-3603469b538e</t>
        </is>
      </c>
      <c r="D2058" t="n">
        <v>55.7288</v>
      </c>
      <c r="E2058" t="n">
        <v>37.62587</v>
      </c>
      <c r="F2058" t="inlineStr"/>
      <c r="G2058" t="inlineStr"/>
      <c r="H2058" t="inlineStr"/>
    </row>
    <row r="2059">
      <c r="A2059" t="inlineStr">
        <is>
          <t>3f79806c-5773-445c-b894-150aa787e995.jpg</t>
        </is>
      </c>
      <c r="B2059">
        <f>HYPERLINK("Объекты недвижимости, не соответствующие градостроительным нормам_00-022_Август/3f79806c-5773-445c-b894-150aa787e995.jpg","open")</f>
        <v/>
      </c>
      <c r="C2059" t="inlineStr">
        <is>
          <t>cbf95b01-f708-45a3-9ec0-3603469b538e</t>
        </is>
      </c>
      <c r="D2059" t="n">
        <v>55.7288</v>
      </c>
      <c r="E2059" t="n">
        <v>37.62587</v>
      </c>
      <c r="F2059" t="inlineStr"/>
      <c r="G2059" t="inlineStr"/>
      <c r="H2059" t="inlineStr"/>
    </row>
    <row r="2060">
      <c r="A2060" t="inlineStr">
        <is>
          <t>ce80b152-d182-4ab9-9f4a-425909e68e84.jpg</t>
        </is>
      </c>
      <c r="B2060">
        <f>HYPERLINK("Объекты недвижимости, не соответствующие градостроительным нормам_00-022_Август/ce80b152-d182-4ab9-9f4a-425909e68e84.jpg","open")</f>
        <v/>
      </c>
      <c r="C2060" t="inlineStr">
        <is>
          <t>a1a9db89-3f74-42ef-8fad-ad69705102cd</t>
        </is>
      </c>
      <c r="D2060" t="n">
        <v>55.7288</v>
      </c>
      <c r="E2060" t="n">
        <v>37.62587</v>
      </c>
      <c r="F2060" t="inlineStr"/>
      <c r="G2060" t="inlineStr"/>
      <c r="H2060" t="inlineStr"/>
    </row>
    <row r="2061">
      <c r="A2061" t="inlineStr">
        <is>
          <t>065f881c-5cb0-4d02-945d-8ec74b42bc5b.jpg</t>
        </is>
      </c>
      <c r="B2061">
        <f>HYPERLINK("Объекты недвижимости, не соответствующие градостроительным нормам_00-022_Август/065f881c-5cb0-4d02-945d-8ec74b42bc5b.jpg","open")</f>
        <v/>
      </c>
      <c r="C2061" t="inlineStr">
        <is>
          <t>a1a9db89-3f74-42ef-8fad-ad69705102cd</t>
        </is>
      </c>
      <c r="D2061" t="n">
        <v>55.7288</v>
      </c>
      <c r="E2061" t="n">
        <v>37.62587</v>
      </c>
      <c r="F2061" t="inlineStr"/>
      <c r="G2061" t="inlineStr"/>
      <c r="H2061" t="inlineStr"/>
    </row>
    <row r="2062">
      <c r="A2062" t="inlineStr">
        <is>
          <t>1b73a5f9-5f78-4cf2-8eae-74f0c1a196d8.jpg</t>
        </is>
      </c>
      <c r="B2062">
        <f>HYPERLINK("Объекты недвижимости, не соответствующие градостроительным нормам_00-022_Август/1b73a5f9-5f78-4cf2-8eae-74f0c1a196d8.jpg","open")</f>
        <v/>
      </c>
      <c r="C2062" t="inlineStr">
        <is>
          <t>cbf95b01-f708-45a3-9ec0-3603469b538e</t>
        </is>
      </c>
      <c r="D2062" t="n">
        <v>55.7288</v>
      </c>
      <c r="E2062" t="n">
        <v>37.62587</v>
      </c>
      <c r="F2062" t="inlineStr"/>
      <c r="G2062" t="inlineStr"/>
      <c r="H2062" t="inlineStr"/>
    </row>
    <row r="2063">
      <c r="A2063" t="inlineStr">
        <is>
          <t>a1084df4-8042-4f3a-be34-9a7eda503ebd.jpg</t>
        </is>
      </c>
      <c r="B2063">
        <f>HYPERLINK("Объекты недвижимости, не соответствующие градостроительным нормам_00-022_Август/a1084df4-8042-4f3a-be34-9a7eda503ebd.jpg","open")</f>
        <v/>
      </c>
      <c r="C2063" t="inlineStr">
        <is>
          <t>036c664f-5408-4fd0-b479-342c00468eeb</t>
        </is>
      </c>
      <c r="D2063" t="n">
        <v>55.71014</v>
      </c>
      <c r="E2063" t="n">
        <v>37.48302</v>
      </c>
      <c r="F2063" t="inlineStr"/>
      <c r="G2063" t="inlineStr"/>
      <c r="H2063" t="inlineStr"/>
    </row>
    <row r="2064">
      <c r="A2064" t="inlineStr">
        <is>
          <t>4f38baea-3e48-42ed-a66e-80fb4af6e099.jpg</t>
        </is>
      </c>
      <c r="B2064">
        <f>HYPERLINK("Объекты недвижимости, не соответствующие градостроительным нормам_00-022_Август/4f38baea-3e48-42ed-a66e-80fb4af6e099.jpg","open")</f>
        <v/>
      </c>
      <c r="C2064" t="inlineStr">
        <is>
          <t>f60286ac-55e7-4099-85bd-cc599a7a0c65</t>
        </is>
      </c>
      <c r="D2064" t="n">
        <v>55.8023</v>
      </c>
      <c r="E2064" t="n">
        <v>37.72351</v>
      </c>
      <c r="F2064" t="inlineStr"/>
      <c r="G2064" t="inlineStr"/>
      <c r="H2064" t="inlineStr"/>
    </row>
    <row r="2065">
      <c r="A2065" t="inlineStr">
        <is>
          <t>e40f7f41-b944-4199-8baf-69e92fb6c8ac.jpg</t>
        </is>
      </c>
      <c r="B2065">
        <f>HYPERLINK("Объекты недвижимости, не соответствующие градостроительным нормам_00-022_Август/e40f7f41-b944-4199-8baf-69e92fb6c8ac.jpg","open")</f>
        <v/>
      </c>
      <c r="C2065" t="inlineStr">
        <is>
          <t>8cde1fd0-eca1-4510-86ab-3c743b65fdfc</t>
        </is>
      </c>
      <c r="D2065" t="n">
        <v>55.71147</v>
      </c>
      <c r="E2065" t="n">
        <v>37.83995</v>
      </c>
      <c r="F2065" t="inlineStr"/>
      <c r="G2065" t="inlineStr"/>
      <c r="H2065" t="inlineStr"/>
    </row>
    <row r="2066">
      <c r="A2066" t="inlineStr">
        <is>
          <t>afd86c96-55ad-4d80-a92b-1792e61665bc.jpg</t>
        </is>
      </c>
      <c r="B2066">
        <f>HYPERLINK("Объекты недвижимости, не соответствующие градостроительным нормам_00-022_Август/afd86c96-55ad-4d80-a92b-1792e61665bc.jpg","open")</f>
        <v/>
      </c>
      <c r="C2066" t="inlineStr">
        <is>
          <t>f6f80c84-5569-48fd-b627-6f41ce4c61c4</t>
        </is>
      </c>
      <c r="D2066" t="n">
        <v>55.89823</v>
      </c>
      <c r="E2066" t="n">
        <v>37.39568</v>
      </c>
      <c r="F2066" t="inlineStr"/>
      <c r="G2066" t="inlineStr"/>
      <c r="H2066" t="inlineStr"/>
    </row>
    <row r="2067">
      <c r="A2067" t="inlineStr">
        <is>
          <t>eb0e85a8-5ddc-440d-a977-b7023e7ea196.jpg</t>
        </is>
      </c>
      <c r="B2067">
        <f>HYPERLINK("Объекты недвижимости, не соответствующие градостроительным нормам_00-022_Август/eb0e85a8-5ddc-440d-a977-b7023e7ea196.jpg","open")</f>
        <v/>
      </c>
      <c r="C2067" t="inlineStr">
        <is>
          <t>8cde1fd0-eca1-4510-86ab-3c743b65fdfc</t>
        </is>
      </c>
      <c r="D2067" t="n">
        <v>55.70769</v>
      </c>
      <c r="E2067" t="n">
        <v>37.88486</v>
      </c>
      <c r="F2067" t="inlineStr"/>
      <c r="G2067" t="inlineStr"/>
      <c r="H2067" t="inlineStr"/>
    </row>
    <row r="2068">
      <c r="A2068" t="inlineStr">
        <is>
          <t>523fe51f-1591-40dd-aa34-a2ff14ed71a7.jpg</t>
        </is>
      </c>
      <c r="B2068">
        <f>HYPERLINK("Объекты недвижимости, не соответствующие градостроительным нормам_00-022_Август/523fe51f-1591-40dd-aa34-a2ff14ed71a7.jpg","open")</f>
        <v/>
      </c>
      <c r="C2068" t="inlineStr">
        <is>
          <t>8cde1fd0-eca1-4510-86ab-3c743b65fdfc</t>
        </is>
      </c>
      <c r="D2068" t="n">
        <v>55.70742</v>
      </c>
      <c r="E2068" t="n">
        <v>37.89195</v>
      </c>
      <c r="F2068" t="inlineStr"/>
      <c r="G2068" t="inlineStr"/>
      <c r="H2068" t="inlineStr"/>
    </row>
    <row r="2069">
      <c r="A2069" t="inlineStr">
        <is>
          <t>5627c5ee-af88-478a-aef4-c21656ecf275.jpg</t>
        </is>
      </c>
      <c r="B2069">
        <f>HYPERLINK("Объекты недвижимости, не соответствующие градостроительным нормам_00-022_Август/5627c5ee-af88-478a-aef4-c21656ecf275.jpg","open")</f>
        <v/>
      </c>
      <c r="C2069" t="inlineStr">
        <is>
          <t>6e2567a0-1fb9-40d5-a0e7-0adb480d2965</t>
        </is>
      </c>
      <c r="D2069" t="n">
        <v>55.69821</v>
      </c>
      <c r="E2069" t="n">
        <v>37.86605</v>
      </c>
      <c r="F2069" t="inlineStr"/>
      <c r="G2069" t="inlineStr"/>
      <c r="H2069" t="inlineStr"/>
    </row>
    <row r="2070">
      <c r="A2070" t="inlineStr">
        <is>
          <t>bd821a2d-952d-4b18-b858-ad84480d5cbe.jpg</t>
        </is>
      </c>
      <c r="B2070">
        <f>HYPERLINK("Объекты недвижимости, не соответствующие градостроительным нормам_00-022_Август/bd821a2d-952d-4b18-b858-ad84480d5cbe.jpg","open")</f>
        <v/>
      </c>
      <c r="C2070" t="inlineStr">
        <is>
          <t>cbf95b01-f708-45a3-9ec0-3603469b538e</t>
        </is>
      </c>
      <c r="D2070" t="n">
        <v>55.7288</v>
      </c>
      <c r="E2070" t="n">
        <v>37.62587</v>
      </c>
      <c r="F2070" t="inlineStr"/>
      <c r="G2070" t="inlineStr"/>
      <c r="H2070" t="inlineStr"/>
    </row>
    <row r="2071">
      <c r="A2071" t="inlineStr">
        <is>
          <t>2158d56b-37ad-4ba7-a65a-d312eecfe79a.jpg</t>
        </is>
      </c>
      <c r="B2071">
        <f>HYPERLINK("Объекты недвижимости, не соответствующие градостроительным нормам_00-022_Август/2158d56b-37ad-4ba7-a65a-d312eecfe79a.jpg","open")</f>
        <v/>
      </c>
      <c r="C2071" t="inlineStr">
        <is>
          <t>e26f5fc2-1353-4f29-85f3-87c56419161c</t>
        </is>
      </c>
      <c r="D2071" t="n">
        <v>55.78226</v>
      </c>
      <c r="E2071" t="n">
        <v>37.67117</v>
      </c>
      <c r="F2071" t="inlineStr"/>
      <c r="G2071" t="inlineStr"/>
      <c r="H2071" t="inlineStr"/>
    </row>
    <row r="2072">
      <c r="A2072" t="inlineStr">
        <is>
          <t>c80bffd8-0851-4a26-aa9a-bb094ea822d8.jpg</t>
        </is>
      </c>
      <c r="B2072">
        <f>HYPERLINK("Объекты недвижимости, не соответствующие градостроительным нормам_00-022_Август/c80bffd8-0851-4a26-aa9a-bb094ea822d8.jpg","open")</f>
        <v/>
      </c>
      <c r="C2072" t="inlineStr">
        <is>
          <t>cbf95b01-f708-45a3-9ec0-3603469b538e</t>
        </is>
      </c>
      <c r="D2072" t="n">
        <v>55.7288</v>
      </c>
      <c r="E2072" t="n">
        <v>37.62587</v>
      </c>
      <c r="F2072" t="inlineStr"/>
      <c r="G2072" t="inlineStr"/>
      <c r="H2072" t="inlineStr"/>
    </row>
    <row r="2073">
      <c r="A2073" t="inlineStr">
        <is>
          <t>ac83307a-6930-4723-b1f2-ab25380dbb6a.jpg</t>
        </is>
      </c>
      <c r="B2073">
        <f>HYPERLINK("Объекты недвижимости, не соответствующие градостроительным нормам_00-022_Август/ac83307a-6930-4723-b1f2-ab25380dbb6a.jpg","open")</f>
        <v/>
      </c>
      <c r="C2073" t="inlineStr">
        <is>
          <t>a1a9db89-3f74-42ef-8fad-ad69705102cd</t>
        </is>
      </c>
      <c r="D2073" t="n">
        <v>55.7288</v>
      </c>
      <c r="E2073" t="n">
        <v>37.62587</v>
      </c>
      <c r="F2073" t="inlineStr"/>
      <c r="G2073" t="inlineStr"/>
      <c r="H2073" t="inlineStr"/>
    </row>
    <row r="2074">
      <c r="A2074" t="inlineStr">
        <is>
          <t>36537c63-92f5-492d-9e9b-efe6fc16163d.jpg</t>
        </is>
      </c>
      <c r="B2074">
        <f>HYPERLINK("Объекты недвижимости, не соответствующие градостроительным нормам_00-022_Август/36537c63-92f5-492d-9e9b-efe6fc16163d.jpg","open")</f>
        <v/>
      </c>
      <c r="C2074" t="inlineStr">
        <is>
          <t>cbf95b01-f708-45a3-9ec0-3603469b538e</t>
        </is>
      </c>
      <c r="D2074" t="n">
        <v>55.7288</v>
      </c>
      <c r="E2074" t="n">
        <v>37.62587</v>
      </c>
      <c r="F2074" t="inlineStr"/>
      <c r="G2074" t="inlineStr"/>
      <c r="H2074" t="inlineStr"/>
    </row>
    <row r="2075">
      <c r="A2075" t="inlineStr">
        <is>
          <t>d04f663c-f6cd-462e-b8e2-dc4506a2dbc9.jpg</t>
        </is>
      </c>
      <c r="B2075">
        <f>HYPERLINK("Объекты недвижимости, не соответствующие градостроительным нормам_00-022_Август/d04f663c-f6cd-462e-b8e2-dc4506a2dbc9.jpg","open")</f>
        <v/>
      </c>
      <c r="C2075" t="inlineStr">
        <is>
          <t>cbf95b01-f708-45a3-9ec0-3603469b538e</t>
        </is>
      </c>
      <c r="D2075" t="n">
        <v>55.7288</v>
      </c>
      <c r="E2075" t="n">
        <v>37.62587</v>
      </c>
      <c r="F2075" t="inlineStr"/>
      <c r="G2075" t="inlineStr"/>
      <c r="H2075" t="inlineStr"/>
    </row>
    <row r="2076">
      <c r="A2076" t="inlineStr">
        <is>
          <t>20018aa0-0974-4e0c-b10f-2ac0edaceec9.jpg</t>
        </is>
      </c>
      <c r="B2076">
        <f>HYPERLINK("Объекты недвижимости, не соответствующие градостроительным нормам_00-022_Август/20018aa0-0974-4e0c-b10f-2ac0edaceec9.jpg","open")</f>
        <v/>
      </c>
      <c r="C2076" t="inlineStr">
        <is>
          <t>cbf95b01-f708-45a3-9ec0-3603469b538e</t>
        </is>
      </c>
      <c r="D2076" t="n">
        <v>55.7288</v>
      </c>
      <c r="E2076" t="n">
        <v>37.62587</v>
      </c>
      <c r="F2076" t="inlineStr"/>
      <c r="G2076" t="inlineStr"/>
      <c r="H2076" t="inlineStr"/>
    </row>
    <row r="2077">
      <c r="A2077" t="inlineStr">
        <is>
          <t>3a2574e4-67de-4478-ae56-f1dc5d6d5ac5.jpg</t>
        </is>
      </c>
      <c r="B2077">
        <f>HYPERLINK("Объекты недвижимости, не соответствующие градостроительным нормам_00-022_Август/3a2574e4-67de-4478-ae56-f1dc5d6d5ac5.jpg","open")</f>
        <v/>
      </c>
      <c r="C2077" t="inlineStr">
        <is>
          <t>789f6c51-64ee-4078-b7bd-443af8b8b68a</t>
        </is>
      </c>
      <c r="D2077" t="n">
        <v>55.96534</v>
      </c>
      <c r="E2077" t="n">
        <v>37.42201</v>
      </c>
      <c r="F2077" t="inlineStr"/>
      <c r="G2077" t="inlineStr"/>
      <c r="H2077" t="inlineStr"/>
    </row>
    <row r="2078">
      <c r="A2078" t="inlineStr">
        <is>
          <t>13503e74-1ffe-4a61-8ee8-ca83b86c428c.jpg</t>
        </is>
      </c>
      <c r="B2078">
        <f>HYPERLINK("Объекты недвижимости, не соответствующие градостроительным нормам_00-022_Август/13503e74-1ffe-4a61-8ee8-ca83b86c428c.jpg","open")</f>
        <v/>
      </c>
      <c r="C2078" t="inlineStr">
        <is>
          <t>a1a9db89-3f74-42ef-8fad-ad69705102cd</t>
        </is>
      </c>
      <c r="D2078" t="n">
        <v>55.7288</v>
      </c>
      <c r="E2078" t="n">
        <v>37.62587</v>
      </c>
      <c r="F2078" t="inlineStr"/>
      <c r="G2078" t="inlineStr"/>
      <c r="H2078" t="inlineStr"/>
    </row>
    <row r="2079">
      <c r="A2079" t="inlineStr">
        <is>
          <t>02d12535-85e9-4fef-9fb2-c52ef2ada652.jpg</t>
        </is>
      </c>
      <c r="B2079">
        <f>HYPERLINK("Объекты недвижимости, не соответствующие градостроительным нормам_00-022_Август/02d12535-85e9-4fef-9fb2-c52ef2ada652.jpg","open")</f>
        <v/>
      </c>
      <c r="C2079" t="inlineStr">
        <is>
          <t>cbf95b01-f708-45a3-9ec0-3603469b538e</t>
        </is>
      </c>
      <c r="D2079" t="n">
        <v>55.7288</v>
      </c>
      <c r="E2079" t="n">
        <v>37.62587</v>
      </c>
      <c r="F2079" t="inlineStr"/>
      <c r="G2079" t="inlineStr"/>
      <c r="H2079" t="inlineStr"/>
    </row>
    <row r="2080">
      <c r="A2080" t="inlineStr">
        <is>
          <t>f72339ee-6102-4353-b738-5cba8d6c5af2.jpg</t>
        </is>
      </c>
      <c r="B2080">
        <f>HYPERLINK("Объекты недвижимости, не соответствующие градостроительным нормам_00-022_Август/f72339ee-6102-4353-b738-5cba8d6c5af2.jpg","open")</f>
        <v/>
      </c>
      <c r="C2080" t="inlineStr">
        <is>
          <t>a1a9db89-3f74-42ef-8fad-ad69705102cd</t>
        </is>
      </c>
      <c r="D2080" t="n">
        <v>55.7288</v>
      </c>
      <c r="E2080" t="n">
        <v>37.62587</v>
      </c>
      <c r="F2080" t="inlineStr"/>
      <c r="G2080" t="inlineStr"/>
      <c r="H2080" t="inlineStr"/>
    </row>
    <row r="2081">
      <c r="A2081" t="inlineStr">
        <is>
          <t>2cdefcd0-cd74-440d-8a68-715184199688.jpg</t>
        </is>
      </c>
      <c r="B2081">
        <f>HYPERLINK("Объекты недвижимости, не соответствующие градостроительным нормам_00-022_Август/2cdefcd0-cd74-440d-8a68-715184199688.jpg","open")</f>
        <v/>
      </c>
      <c r="C2081" t="inlineStr">
        <is>
          <t>caa4772d-6278-4484-a046-ee25514bf521</t>
        </is>
      </c>
      <c r="D2081" t="n">
        <v>55.90689</v>
      </c>
      <c r="E2081" t="n">
        <v>37.38734</v>
      </c>
      <c r="F2081" t="inlineStr"/>
      <c r="G2081" t="inlineStr"/>
      <c r="H2081" t="inlineStr"/>
    </row>
    <row r="2082">
      <c r="A2082" t="inlineStr">
        <is>
          <t>d9f926cc-42f5-4dea-8606-fd435c0c820e.jpg</t>
        </is>
      </c>
      <c r="B2082">
        <f>HYPERLINK("Объекты недвижимости, не соответствующие градостроительным нормам_00-022_Август/d9f926cc-42f5-4dea-8606-fd435c0c820e.jpg","open")</f>
        <v/>
      </c>
      <c r="C2082" t="inlineStr">
        <is>
          <t>d2c4eccd-3e4b-406c-a903-0f5e43d0be35</t>
        </is>
      </c>
      <c r="D2082" t="n">
        <v>55.98125</v>
      </c>
      <c r="E2082" t="n">
        <v>37.42382</v>
      </c>
      <c r="F2082" t="inlineStr"/>
      <c r="G2082" t="inlineStr"/>
      <c r="H2082" t="inlineStr"/>
    </row>
    <row r="2083">
      <c r="A2083" t="inlineStr">
        <is>
          <t>77c3c3e3-abf5-4f50-8cae-f4e28b3d8f50.jpg</t>
        </is>
      </c>
      <c r="B2083">
        <f>HYPERLINK("Объекты недвижимости, не соответствующие градостроительным нормам_00-022_Август/77c3c3e3-abf5-4f50-8cae-f4e28b3d8f50.jpg","open")</f>
        <v/>
      </c>
      <c r="C2083" t="inlineStr">
        <is>
          <t>d2c4eccd-3e4b-406c-a903-0f5e43d0be35</t>
        </is>
      </c>
      <c r="D2083" t="n">
        <v>55.98125</v>
      </c>
      <c r="E2083" t="n">
        <v>37.42382</v>
      </c>
      <c r="F2083" t="inlineStr"/>
      <c r="G2083" t="inlineStr"/>
      <c r="H2083" t="inlineStr"/>
    </row>
    <row r="2084">
      <c r="A2084" t="inlineStr">
        <is>
          <t>6d546bd2-d14b-4cc9-aa23-5cb01bd7b8a9.jpg</t>
        </is>
      </c>
      <c r="B2084">
        <f>HYPERLINK("Объекты недвижимости, не соответствующие градостроительным нормам_00-022_Август/6d546bd2-d14b-4cc9-aa23-5cb01bd7b8a9.jpg","open")</f>
        <v/>
      </c>
      <c r="C2084" t="inlineStr">
        <is>
          <t>cbf95b01-f708-45a3-9ec0-3603469b538e</t>
        </is>
      </c>
      <c r="D2084" t="n">
        <v>55.7288</v>
      </c>
      <c r="E2084" t="n">
        <v>37.62587</v>
      </c>
      <c r="F2084" t="inlineStr"/>
      <c r="G2084" t="inlineStr"/>
      <c r="H2084" t="inlineStr"/>
    </row>
    <row r="2085">
      <c r="A2085" t="inlineStr">
        <is>
          <t>153db7e9-0744-4feb-a647-d973f137a222.jpg</t>
        </is>
      </c>
      <c r="B2085">
        <f>HYPERLINK("Объекты недвижимости, не соответствующие градостроительным нормам_00-022_Август/153db7e9-0744-4feb-a647-d973f137a222.jpg","open")</f>
        <v/>
      </c>
      <c r="C2085" t="inlineStr">
        <is>
          <t>ed2bf0f1-3a66-4913-896e-4420a9796c0b</t>
        </is>
      </c>
      <c r="D2085" t="n">
        <v>55.87909</v>
      </c>
      <c r="E2085" t="n">
        <v>37.63142</v>
      </c>
      <c r="F2085" t="inlineStr"/>
      <c r="G2085" t="inlineStr"/>
      <c r="H2085" t="inlineStr"/>
    </row>
    <row r="2086">
      <c r="A2086" t="inlineStr">
        <is>
          <t>b780bbea-4a30-41b7-ba20-d2e9a8ec7d48.jpg</t>
        </is>
      </c>
      <c r="B2086">
        <f>HYPERLINK("Объекты недвижимости, не соответствующие градостроительным нормам_00-022_Август/b780bbea-4a30-41b7-ba20-d2e9a8ec7d48.jpg","open")</f>
        <v/>
      </c>
      <c r="C2086" t="inlineStr">
        <is>
          <t>ed2bf0f1-3a66-4913-896e-4420a9796c0b</t>
        </is>
      </c>
      <c r="D2086" t="n">
        <v>55.88039</v>
      </c>
      <c r="E2086" t="n">
        <v>37.62884</v>
      </c>
      <c r="F2086" t="inlineStr"/>
      <c r="G2086" t="inlineStr"/>
      <c r="H2086" t="inlineStr"/>
    </row>
    <row r="2087">
      <c r="A2087" t="inlineStr">
        <is>
          <t>6370e0c2-9601-42d6-b831-c27138aea5d5.jpg</t>
        </is>
      </c>
      <c r="B2087">
        <f>HYPERLINK("Объекты недвижимости, не соответствующие градостроительным нормам_00-022_Август/6370e0c2-9601-42d6-b831-c27138aea5d5.jpg","open")</f>
        <v/>
      </c>
      <c r="C2087" t="inlineStr">
        <is>
          <t>ed2bf0f1-3a66-4913-896e-4420a9796c0b</t>
        </is>
      </c>
      <c r="D2087" t="n">
        <v>55.88491</v>
      </c>
      <c r="E2087" t="n">
        <v>37.6335</v>
      </c>
      <c r="F2087" t="inlineStr"/>
      <c r="G2087" t="inlineStr"/>
      <c r="H2087" t="inlineStr"/>
    </row>
    <row r="2088">
      <c r="A2088" t="inlineStr">
        <is>
          <t>e716feef-c051-471f-a01d-903b96eac239.jpg</t>
        </is>
      </c>
      <c r="B2088">
        <f>HYPERLINK("Объекты недвижимости, не соответствующие градостроительным нормам_00-022_Август/e716feef-c051-471f-a01d-903b96eac239.jpg","open")</f>
        <v/>
      </c>
      <c r="C2088" t="inlineStr">
        <is>
          <t>b0b7ea82-53be-40d0-b992-e2fd18611d5c</t>
        </is>
      </c>
      <c r="D2088" t="n">
        <v>55.65244</v>
      </c>
      <c r="E2088" t="n">
        <v>37.71782</v>
      </c>
      <c r="F2088" t="inlineStr"/>
      <c r="G2088" t="inlineStr"/>
      <c r="H2088" t="inlineStr"/>
    </row>
    <row r="2089">
      <c r="A2089" t="inlineStr">
        <is>
          <t>1c8d0588-1e39-4e9c-a798-798c676c5039.jpg</t>
        </is>
      </c>
      <c r="B2089">
        <f>HYPERLINK("Объекты недвижимости, не соответствующие градостроительным нормам_00-022_Август/1c8d0588-1e39-4e9c-a798-798c676c5039.jpg","open")</f>
        <v/>
      </c>
      <c r="C2089" t="inlineStr">
        <is>
          <t>1c951e11-4940-43c6-a447-394097e5609a</t>
        </is>
      </c>
      <c r="D2089" t="n">
        <v>55.70648</v>
      </c>
      <c r="E2089" t="n">
        <v>37.89629</v>
      </c>
      <c r="F2089" t="inlineStr"/>
      <c r="G2089" t="inlineStr"/>
      <c r="H2089" t="inlineStr"/>
    </row>
    <row r="2090">
      <c r="A2090" t="inlineStr">
        <is>
          <t>566e8e5b-9d08-4eaa-a731-8196e932013e.jpg</t>
        </is>
      </c>
      <c r="B2090">
        <f>HYPERLINK("Объекты недвижимости, не соответствующие градостроительным нормам_00-022_Август/566e8e5b-9d08-4eaa-a731-8196e932013e.jpg","open")</f>
        <v/>
      </c>
      <c r="C2090" t="inlineStr">
        <is>
          <t>18a5c468-d9e6-4814-8477-1caf4a2e1fe9</t>
        </is>
      </c>
      <c r="D2090" t="n">
        <v>55.98125</v>
      </c>
      <c r="E2090" t="n">
        <v>37.42382</v>
      </c>
      <c r="F2090" t="inlineStr"/>
      <c r="G2090" t="inlineStr"/>
      <c r="H2090" t="inlineStr"/>
    </row>
    <row r="2091">
      <c r="A2091" t="inlineStr">
        <is>
          <t>0e72eeb3-c962-4f9b-b46a-6cb19811c45f.jpg</t>
        </is>
      </c>
      <c r="B2091">
        <f>HYPERLINK("Объекты недвижимости, не соответствующие градостроительным нормам_00-022_Август/0e72eeb3-c962-4f9b-b46a-6cb19811c45f.jpg","open")</f>
        <v/>
      </c>
      <c r="C2091" t="inlineStr">
        <is>
          <t>18a5c468-d9e6-4814-8477-1caf4a2e1fe9</t>
        </is>
      </c>
      <c r="D2091" t="n">
        <v>55.98125</v>
      </c>
      <c r="E2091" t="n">
        <v>37.42382</v>
      </c>
      <c r="F2091" t="inlineStr"/>
      <c r="G2091" t="inlineStr"/>
      <c r="H2091" t="inlineStr"/>
    </row>
    <row r="2092">
      <c r="A2092" t="inlineStr">
        <is>
          <t>2948fa12-3f6c-4808-b44a-b090078da026.jpg</t>
        </is>
      </c>
      <c r="B2092">
        <f>HYPERLINK("Объекты недвижимости, не соответствующие градостроительным нормам_00-022_Август/2948fa12-3f6c-4808-b44a-b090078da026.jpg","open")</f>
        <v/>
      </c>
      <c r="C2092" t="inlineStr">
        <is>
          <t>18a5c468-d9e6-4814-8477-1caf4a2e1fe9</t>
        </is>
      </c>
      <c r="D2092" t="n">
        <v>55.98125</v>
      </c>
      <c r="E2092" t="n">
        <v>37.42382</v>
      </c>
      <c r="F2092" t="inlineStr"/>
      <c r="G2092" t="inlineStr"/>
      <c r="H2092" t="inlineStr"/>
    </row>
    <row r="2093">
      <c r="A2093" t="inlineStr">
        <is>
          <t>e2bcb485-ffca-4ba5-a052-b72d3025c5ef.jpg</t>
        </is>
      </c>
      <c r="B2093">
        <f>HYPERLINK("Объекты недвижимости, не соответствующие градостроительным нормам_00-022_Август/e2bcb485-ffca-4ba5-a052-b72d3025c5ef.jpg","open")</f>
        <v/>
      </c>
      <c r="C2093" t="inlineStr">
        <is>
          <t>9f88688f-4c81-42a8-b76a-3c3e7edf869e</t>
        </is>
      </c>
      <c r="D2093" t="n">
        <v>55.97683</v>
      </c>
      <c r="E2093" t="n">
        <v>37.43027</v>
      </c>
      <c r="F2093" t="inlineStr"/>
      <c r="G2093" t="inlineStr"/>
      <c r="H2093" t="inlineStr"/>
    </row>
    <row r="2094">
      <c r="A2094" t="inlineStr">
        <is>
          <t>df4b2a0e-3dee-4817-9148-7f131095352a.jpg</t>
        </is>
      </c>
      <c r="B2094">
        <f>HYPERLINK("Объекты недвижимости, не соответствующие градостроительным нормам_00-022_Август/df4b2a0e-3dee-4817-9148-7f131095352a.jpg","open")</f>
        <v/>
      </c>
      <c r="C2094" t="inlineStr">
        <is>
          <t>cbf95b01-f708-45a3-9ec0-3603469b538e</t>
        </is>
      </c>
      <c r="D2094" t="n">
        <v>55.7288</v>
      </c>
      <c r="E2094" t="n">
        <v>37.62587</v>
      </c>
      <c r="F2094" t="inlineStr"/>
      <c r="G2094" t="inlineStr"/>
      <c r="H2094" t="inlineStr"/>
    </row>
    <row r="2095">
      <c r="A2095" t="inlineStr">
        <is>
          <t>cb0bc651-0103-4723-baef-a7b75fd82c52.jpg</t>
        </is>
      </c>
      <c r="B2095">
        <f>HYPERLINK("Объекты недвижимости, не соответствующие градостроительным нормам_00-022_Август/cb0bc651-0103-4723-baef-a7b75fd82c52.jpg","open")</f>
        <v/>
      </c>
      <c r="C2095" t="inlineStr">
        <is>
          <t>fce890a6-27da-4062-a046-08262a160ee6</t>
        </is>
      </c>
      <c r="D2095" t="n">
        <v>55.96641</v>
      </c>
      <c r="E2095" t="n">
        <v>37.40508</v>
      </c>
      <c r="F2095" t="inlineStr"/>
      <c r="G2095" t="inlineStr"/>
      <c r="H2095" t="inlineStr"/>
    </row>
    <row r="2096">
      <c r="A2096" t="inlineStr">
        <is>
          <t>1ad3ca5a-0e2f-4d22-8463-c85bc83b5b05.jpg</t>
        </is>
      </c>
      <c r="B2096">
        <f>HYPERLINK("Объекты недвижимости, не соответствующие градостроительным нормам_00-022_Август/1ad3ca5a-0e2f-4d22-8463-c85bc83b5b05.jpg","open")</f>
        <v/>
      </c>
      <c r="C2096" t="inlineStr">
        <is>
          <t>cbf95b01-f708-45a3-9ec0-3603469b538e</t>
        </is>
      </c>
      <c r="D2096" t="n">
        <v>55.7288</v>
      </c>
      <c r="E2096" t="n">
        <v>37.62587</v>
      </c>
      <c r="F2096" t="inlineStr"/>
      <c r="G2096" t="inlineStr"/>
      <c r="H2096" t="inlineStr"/>
    </row>
    <row r="2097">
      <c r="A2097" t="inlineStr">
        <is>
          <t>9f56dc2f-00cd-420e-a132-72e0842a8837.jpg</t>
        </is>
      </c>
      <c r="B2097">
        <f>HYPERLINK("Объекты недвижимости, не соответствующие градостроительным нормам_00-022_Август/9f56dc2f-00cd-420e-a132-72e0842a8837.jpg","open")</f>
        <v/>
      </c>
      <c r="C2097" t="inlineStr">
        <is>
          <t>a1a9db89-3f74-42ef-8fad-ad69705102cd</t>
        </is>
      </c>
      <c r="D2097" t="n">
        <v>55.7288</v>
      </c>
      <c r="E2097" t="n">
        <v>37.62587</v>
      </c>
      <c r="F2097" t="inlineStr"/>
      <c r="G2097" t="inlineStr"/>
      <c r="H2097" t="inlineStr"/>
    </row>
    <row r="2098">
      <c r="A2098" t="inlineStr">
        <is>
          <t>de76045d-a420-4d60-9423-78917a250f72.jpg</t>
        </is>
      </c>
      <c r="B2098">
        <f>HYPERLINK("Объекты недвижимости, не соответствующие градостроительным нормам_00-022_Август/de76045d-a420-4d60-9423-78917a250f72.jpg","open")</f>
        <v/>
      </c>
      <c r="C2098" t="inlineStr">
        <is>
          <t>cbf95b01-f708-45a3-9ec0-3603469b538e</t>
        </is>
      </c>
      <c r="D2098" t="n">
        <v>55.7288</v>
      </c>
      <c r="E2098" t="n">
        <v>37.62587</v>
      </c>
      <c r="F2098" t="inlineStr"/>
      <c r="G2098" t="inlineStr"/>
      <c r="H2098" t="inlineStr"/>
    </row>
    <row r="2099">
      <c r="A2099" t="inlineStr">
        <is>
          <t>f049a7d2-9c6b-40a7-86d1-8237748c76ff.jpg</t>
        </is>
      </c>
      <c r="B2099">
        <f>HYPERLINK("Объекты недвижимости, не соответствующие градостроительным нормам_00-022_Август/f049a7d2-9c6b-40a7-86d1-8237748c76ff.jpg","open")</f>
        <v/>
      </c>
      <c r="C2099" t="inlineStr">
        <is>
          <t>f6f80c84-5569-48fd-b627-6f41ce4c61c4</t>
        </is>
      </c>
      <c r="D2099" t="n">
        <v>55.89809</v>
      </c>
      <c r="E2099" t="n">
        <v>37.3944</v>
      </c>
      <c r="F2099" t="inlineStr"/>
      <c r="G2099" t="inlineStr"/>
      <c r="H2099" t="inlineStr"/>
    </row>
    <row r="2100">
      <c r="A2100" t="inlineStr">
        <is>
          <t>ac279ea1-55ea-4302-a035-2eee867dc5e0.jpg</t>
        </is>
      </c>
      <c r="B2100">
        <f>HYPERLINK("Объекты недвижимости, не соответствующие градостроительным нормам_00-022_Август/ac279ea1-55ea-4302-a035-2eee867dc5e0.jpg","open")</f>
        <v/>
      </c>
      <c r="C2100" t="inlineStr">
        <is>
          <t>cbf95b01-f708-45a3-9ec0-3603469b538e</t>
        </is>
      </c>
      <c r="D2100" t="n">
        <v>55.7288</v>
      </c>
      <c r="E2100" t="n">
        <v>37.62587</v>
      </c>
      <c r="F2100" t="inlineStr"/>
      <c r="G2100" t="inlineStr"/>
      <c r="H2100" t="inlineStr"/>
    </row>
    <row r="2101">
      <c r="A2101" t="inlineStr">
        <is>
          <t>cb8c437f-91f0-4e00-894a-b66ad00ea693.jpg</t>
        </is>
      </c>
      <c r="B2101">
        <f>HYPERLINK("Объекты недвижимости, не соответствующие градостроительным нормам_00-022_Август/cb8c437f-91f0-4e00-894a-b66ad00ea693.jpg","open")</f>
        <v/>
      </c>
      <c r="C2101" t="inlineStr">
        <is>
          <t>a1a9db89-3f74-42ef-8fad-ad69705102cd</t>
        </is>
      </c>
      <c r="D2101" t="n">
        <v>55.7288</v>
      </c>
      <c r="E2101" t="n">
        <v>37.62587</v>
      </c>
      <c r="F2101" t="inlineStr"/>
      <c r="G2101" t="inlineStr"/>
      <c r="H2101" t="inlineStr"/>
    </row>
    <row r="2102">
      <c r="A2102" t="inlineStr">
        <is>
          <t>1be5de74-2228-45c6-8ed2-0728f6b11a4b.jpg</t>
        </is>
      </c>
      <c r="B2102">
        <f>HYPERLINK("Объекты недвижимости, не соответствующие градостроительным нормам_00-022_Август/1be5de74-2228-45c6-8ed2-0728f6b11a4b.jpg","open")</f>
        <v/>
      </c>
      <c r="C2102" t="inlineStr">
        <is>
          <t>1c951e11-4940-43c6-a447-394097e5609a</t>
        </is>
      </c>
      <c r="D2102" t="n">
        <v>55.69978</v>
      </c>
      <c r="E2102" t="n">
        <v>37.86729</v>
      </c>
      <c r="F2102" t="inlineStr"/>
      <c r="G2102" t="inlineStr"/>
      <c r="H2102" t="inlineStr"/>
    </row>
    <row r="2103">
      <c r="A2103" t="inlineStr">
        <is>
          <t>ce189ba9-4fe6-4361-8968-8bd1426be276.jpg</t>
        </is>
      </c>
      <c r="B2103">
        <f>HYPERLINK("Объекты недвижимости, не соответствующие градостроительным нормам_00-022_Август/ce189ba9-4fe6-4361-8968-8bd1426be276.jpg","open")</f>
        <v/>
      </c>
      <c r="C2103" t="inlineStr">
        <is>
          <t>8cde1fd0-eca1-4510-86ab-3c743b65fdfc</t>
        </is>
      </c>
      <c r="D2103" t="n">
        <v>55.69974</v>
      </c>
      <c r="E2103" t="n">
        <v>37.86721</v>
      </c>
      <c r="F2103" t="inlineStr"/>
      <c r="G2103" t="inlineStr"/>
      <c r="H2103" t="inlineStr"/>
    </row>
    <row r="2104">
      <c r="A2104" t="inlineStr">
        <is>
          <t>20dec313-91a1-428b-9fc1-cd2208b62c86.jpg</t>
        </is>
      </c>
      <c r="B2104">
        <f>HYPERLINK("Объекты недвижимости, не соответствующие градостроительным нормам_00-022_Август/20dec313-91a1-428b-9fc1-cd2208b62c86.jpg","open")</f>
        <v/>
      </c>
      <c r="C2104" t="inlineStr">
        <is>
          <t>f60286ac-55e7-4099-85bd-cc599a7a0c65</t>
        </is>
      </c>
      <c r="D2104" t="n">
        <v>55.80154</v>
      </c>
      <c r="E2104" t="n">
        <v>37.72731</v>
      </c>
      <c r="F2104" t="inlineStr"/>
      <c r="G2104" t="inlineStr"/>
      <c r="H2104" t="inlineStr"/>
    </row>
    <row r="2105">
      <c r="A2105" t="inlineStr">
        <is>
          <t>ab5b41cd-d4af-4344-9ce1-9858c9276ba6.jpg</t>
        </is>
      </c>
      <c r="B2105">
        <f>HYPERLINK("Объекты недвижимости, не соответствующие градостроительным нормам_00-022_Август/ab5b41cd-d4af-4344-9ce1-9858c9276ba6.jpg","open")</f>
        <v/>
      </c>
      <c r="C2105" t="inlineStr">
        <is>
          <t>8cde1fd0-eca1-4510-86ab-3c743b65fdfc</t>
        </is>
      </c>
      <c r="D2105" t="n">
        <v>55.69863</v>
      </c>
      <c r="E2105" t="n">
        <v>37.86537</v>
      </c>
      <c r="F2105" t="inlineStr"/>
      <c r="G2105" t="inlineStr"/>
      <c r="H2105" t="inlineStr"/>
    </row>
    <row r="2106">
      <c r="A2106" t="inlineStr">
        <is>
          <t>39d86821-74ab-4232-8a78-fd9f85ce1a69.jpg</t>
        </is>
      </c>
      <c r="B2106">
        <f>HYPERLINK("Объекты недвижимости, не соответствующие градостроительным нормам_00-022_Август/39d86821-74ab-4232-8a78-fd9f85ce1a69.jpg","open")</f>
        <v/>
      </c>
      <c r="C2106" t="inlineStr">
        <is>
          <t>f6f80c84-5569-48fd-b627-6f41ce4c61c4</t>
        </is>
      </c>
      <c r="D2106" t="n">
        <v>55.89813</v>
      </c>
      <c r="E2106" t="n">
        <v>37.39452</v>
      </c>
      <c r="F2106" t="inlineStr"/>
      <c r="G2106" t="inlineStr"/>
      <c r="H2106" t="inlineStr"/>
    </row>
    <row r="2107">
      <c r="A2107" t="inlineStr">
        <is>
          <t>3bfc27cc-3bdc-419e-aa31-822466eef7b1.jpg</t>
        </is>
      </c>
      <c r="B2107">
        <f>HYPERLINK("Объекты недвижимости, не соответствующие градостроительным нормам_00-022_Август/3bfc27cc-3bdc-419e-aa31-822466eef7b1.jpg","open")</f>
        <v/>
      </c>
      <c r="C2107" t="inlineStr">
        <is>
          <t>cbf95b01-f708-45a3-9ec0-3603469b538e</t>
        </is>
      </c>
      <c r="D2107" t="n">
        <v>55.83287</v>
      </c>
      <c r="E2107" t="n">
        <v>37.65295</v>
      </c>
      <c r="F2107" t="inlineStr"/>
      <c r="G2107" t="inlineStr"/>
      <c r="H2107" t="inlineStr"/>
    </row>
    <row r="2108">
      <c r="A2108" t="inlineStr">
        <is>
          <t>d9058f15-b3ef-451d-98b1-bedd47c94f1c.jpg</t>
        </is>
      </c>
      <c r="B2108">
        <f>HYPERLINK("Объекты недвижимости, не соответствующие градостроительным нормам_00-022_Август/d9058f15-b3ef-451d-98b1-bedd47c94f1c.jpg","open")</f>
        <v/>
      </c>
      <c r="C2108" t="inlineStr">
        <is>
          <t>8cde1fd0-eca1-4510-86ab-3c743b65fdfc</t>
        </is>
      </c>
      <c r="D2108" t="n">
        <v>55.70003</v>
      </c>
      <c r="E2108" t="n">
        <v>37.86768</v>
      </c>
      <c r="F2108" t="inlineStr"/>
      <c r="G2108" t="inlineStr"/>
      <c r="H2108" t="inlineStr"/>
    </row>
    <row r="2109">
      <c r="A2109" t="inlineStr">
        <is>
          <t>cea3d497-a589-4fd3-a143-882d0884d8e2.jpg</t>
        </is>
      </c>
      <c r="B2109">
        <f>HYPERLINK("Объекты недвижимости, не соответствующие градостроительным нормам_00-022_Август/cea3d497-a589-4fd3-a143-882d0884d8e2.jpg","open")</f>
        <v/>
      </c>
      <c r="C2109" t="inlineStr">
        <is>
          <t>a1a9db89-3f74-42ef-8fad-ad69705102cd</t>
        </is>
      </c>
      <c r="D2109" t="n">
        <v>55.83288</v>
      </c>
      <c r="E2109" t="n">
        <v>37.65292</v>
      </c>
      <c r="F2109" t="inlineStr"/>
      <c r="G2109" t="inlineStr"/>
      <c r="H2109" t="inlineStr"/>
    </row>
    <row r="2110">
      <c r="A2110" t="inlineStr">
        <is>
          <t>7c71327c-eab3-415d-8007-ff89916fa5d6.jpg</t>
        </is>
      </c>
      <c r="B2110">
        <f>HYPERLINK("Объекты недвижимости, не соответствующие градостроительным нормам_00-022_Август/7c71327c-eab3-415d-8007-ff89916fa5d6.jpg","open")</f>
        <v/>
      </c>
      <c r="C2110" t="inlineStr">
        <is>
          <t>8cde1fd0-eca1-4510-86ab-3c743b65fdfc</t>
        </is>
      </c>
      <c r="D2110" t="n">
        <v>55.7008</v>
      </c>
      <c r="E2110" t="n">
        <v>37.86846</v>
      </c>
      <c r="F2110" t="inlineStr"/>
      <c r="G2110" t="inlineStr"/>
      <c r="H2110" t="inlineStr"/>
    </row>
    <row r="2111">
      <c r="A2111" t="inlineStr">
        <is>
          <t>c3efcf46-c964-43c6-b49e-f70274d0c32a.jpg</t>
        </is>
      </c>
      <c r="B2111">
        <f>HYPERLINK("Объекты недвижимости, не соответствующие градостроительным нормам_00-022_Август/c3efcf46-c964-43c6-b49e-f70274d0c32a.jpg","open")</f>
        <v/>
      </c>
      <c r="C2111" t="inlineStr">
        <is>
          <t>cbf95b01-f708-45a3-9ec0-3603469b538e</t>
        </is>
      </c>
      <c r="D2111" t="n">
        <v>55.83266</v>
      </c>
      <c r="E2111" t="n">
        <v>37.65197</v>
      </c>
      <c r="F2111" t="inlineStr"/>
      <c r="G2111" t="inlineStr"/>
      <c r="H2111" t="inlineStr"/>
    </row>
    <row r="2112">
      <c r="A2112" t="inlineStr">
        <is>
          <t>d0b89494-7dde-4583-9994-8d298153af01.jpg</t>
        </is>
      </c>
      <c r="B2112">
        <f>HYPERLINK("Объекты недвижимости, не соответствующие градостроительным нормам_00-022_Август/d0b89494-7dde-4583-9994-8d298153af01.jpg","open")</f>
        <v/>
      </c>
      <c r="C2112" t="inlineStr">
        <is>
          <t>a1a9db89-3f74-42ef-8fad-ad69705102cd</t>
        </is>
      </c>
      <c r="D2112" t="n">
        <v>55.98763</v>
      </c>
      <c r="E2112" t="n">
        <v>37.8454</v>
      </c>
      <c r="F2112" t="inlineStr"/>
      <c r="G2112" t="inlineStr"/>
      <c r="H2112" t="inlineStr"/>
    </row>
    <row r="2113">
      <c r="A2113" t="inlineStr">
        <is>
          <t>6c88eb45-c3f5-4f1b-933a-ceb0256f1216.jpg</t>
        </is>
      </c>
      <c r="B2113">
        <f>HYPERLINK("Объекты недвижимости, не соответствующие градостроительным нормам_00-022_Август/6c88eb45-c3f5-4f1b-933a-ceb0256f1216.jpg","open")</f>
        <v/>
      </c>
      <c r="C2113" t="inlineStr">
        <is>
          <t>cbf95b01-f708-45a3-9ec0-3603469b538e</t>
        </is>
      </c>
      <c r="D2113" t="n">
        <v>55.98757</v>
      </c>
      <c r="E2113" t="n">
        <v>37.84533</v>
      </c>
      <c r="F2113" t="inlineStr"/>
      <c r="G2113" t="inlineStr"/>
      <c r="H2113" t="inlineStr"/>
    </row>
    <row r="2114">
      <c r="A2114" t="inlineStr">
        <is>
          <t>5981e070-4efa-47b0-bc54-9180805b66ed.jpg</t>
        </is>
      </c>
      <c r="B2114">
        <f>HYPERLINK("Объекты недвижимости, не соответствующие градостроительным нормам_00-022_Август/5981e070-4efa-47b0-bc54-9180805b66ed.jpg","open")</f>
        <v/>
      </c>
      <c r="C2114" t="inlineStr">
        <is>
          <t>cbf95b01-f708-45a3-9ec0-3603469b538e</t>
        </is>
      </c>
      <c r="D2114" t="n">
        <v>55.9878</v>
      </c>
      <c r="E2114" t="n">
        <v>37.84501</v>
      </c>
      <c r="F2114" t="inlineStr"/>
      <c r="G2114" t="inlineStr"/>
      <c r="H2114" t="inlineStr"/>
    </row>
    <row r="2115">
      <c r="A2115" t="inlineStr">
        <is>
          <t>1cb503b4-041c-4d6a-be8d-081c218e8067.jpg</t>
        </is>
      </c>
      <c r="B2115">
        <f>HYPERLINK("Объекты недвижимости, не соответствующие градостроительным нормам_00-022_Август/1cb503b4-041c-4d6a-be8d-081c218e8067.jpg","open")</f>
        <v/>
      </c>
      <c r="C2115" t="inlineStr">
        <is>
          <t>a1a9db89-3f74-42ef-8fad-ad69705102cd</t>
        </is>
      </c>
      <c r="D2115" t="n">
        <v>55.98781</v>
      </c>
      <c r="E2115" t="n">
        <v>37.845</v>
      </c>
      <c r="F2115" t="inlineStr"/>
      <c r="G2115" t="inlineStr"/>
      <c r="H2115" t="inlineStr"/>
    </row>
    <row r="2116">
      <c r="A2116" t="inlineStr">
        <is>
          <t>f571413e-adaa-4a50-8493-135762ffa300.jpg</t>
        </is>
      </c>
      <c r="B2116">
        <f>HYPERLINK("Объекты недвижимости, не соответствующие градостроительным нормам_00-022_Август/f571413e-adaa-4a50-8493-135762ffa300.jpg","open")</f>
        <v/>
      </c>
      <c r="C2116" t="inlineStr">
        <is>
          <t>cbf95b01-f708-45a3-9ec0-3603469b538e</t>
        </is>
      </c>
      <c r="D2116" t="n">
        <v>55.9878</v>
      </c>
      <c r="E2116" t="n">
        <v>37.84492</v>
      </c>
      <c r="F2116" t="inlineStr"/>
      <c r="G2116" t="inlineStr"/>
      <c r="H2116" t="inlineStr"/>
    </row>
    <row r="2117">
      <c r="A2117" t="inlineStr">
        <is>
          <t>7a6263ec-8691-41b2-8c70-8f11d7a3a6b7.jpg</t>
        </is>
      </c>
      <c r="B2117">
        <f>HYPERLINK("Объекты недвижимости, не соответствующие градостроительным нормам_00-022_Август/7a6263ec-8691-41b2-8c70-8f11d7a3a6b7.jpg","open")</f>
        <v/>
      </c>
      <c r="C2117" t="inlineStr">
        <is>
          <t>a28f597e-d1cd-4d3b-b572-c86d033412e9</t>
        </is>
      </c>
      <c r="D2117" t="n">
        <v>55.94268</v>
      </c>
      <c r="E2117" t="n">
        <v>36.90193</v>
      </c>
      <c r="F2117" t="inlineStr"/>
      <c r="G2117" t="inlineStr"/>
      <c r="H2117" t="inlineStr"/>
    </row>
    <row r="2118">
      <c r="A2118" t="inlineStr">
        <is>
          <t>2a8c17b5-bbf4-4b8d-b6e6-502775dcaf32.jpg</t>
        </is>
      </c>
      <c r="B2118">
        <f>HYPERLINK("Объекты недвижимости, не соответствующие градостроительным нормам_00-022_Август/2a8c17b5-bbf4-4b8d-b6e6-502775dcaf32.jpg","open")</f>
        <v/>
      </c>
      <c r="C2118" t="inlineStr">
        <is>
          <t>cbf95b01-f708-45a3-9ec0-3603469b538e</t>
        </is>
      </c>
      <c r="D2118" t="n">
        <v>55.98771</v>
      </c>
      <c r="E2118" t="n">
        <v>37.84476</v>
      </c>
      <c r="F2118" t="inlineStr"/>
      <c r="G2118" t="inlineStr"/>
      <c r="H2118" t="inlineStr"/>
    </row>
    <row r="2119">
      <c r="A2119" t="inlineStr">
        <is>
          <t>3ca37092-33be-46e7-90c6-7905efc42332.jpg</t>
        </is>
      </c>
      <c r="B2119">
        <f>HYPERLINK("Объекты недвижимости, не соответствующие градостроительным нормам_00-022_Август/3ca37092-33be-46e7-90c6-7905efc42332.jpg","open")</f>
        <v/>
      </c>
      <c r="C2119" t="inlineStr">
        <is>
          <t>a28f597e-d1cd-4d3b-b572-c86d033412e9</t>
        </is>
      </c>
      <c r="D2119" t="n">
        <v>55.94268</v>
      </c>
      <c r="E2119" t="n">
        <v>36.90193</v>
      </c>
      <c r="F2119" t="inlineStr"/>
      <c r="G2119" t="inlineStr"/>
      <c r="H2119" t="inlineStr"/>
    </row>
    <row r="2120">
      <c r="A2120" t="inlineStr">
        <is>
          <t>989d6136-3aab-4173-8e67-2cf62fce8788.jpg</t>
        </is>
      </c>
      <c r="B2120">
        <f>HYPERLINK("Объекты недвижимости, не соответствующие градостроительным нормам_00-022_Август/989d6136-3aab-4173-8e67-2cf62fce8788.jpg","open")</f>
        <v/>
      </c>
      <c r="C2120" t="inlineStr">
        <is>
          <t>cbf95b01-f708-45a3-9ec0-3603469b538e</t>
        </is>
      </c>
      <c r="D2120" t="n">
        <v>55.98771</v>
      </c>
      <c r="E2120" t="n">
        <v>37.84476</v>
      </c>
      <c r="F2120" t="inlineStr"/>
      <c r="G2120" t="inlineStr"/>
      <c r="H2120" t="inlineStr"/>
    </row>
    <row r="2121">
      <c r="A2121" t="inlineStr">
        <is>
          <t>f524adf4-0369-4f9a-9dfb-6b5e97e58c57.jpg</t>
        </is>
      </c>
      <c r="B2121">
        <f>HYPERLINK("Объекты недвижимости, не соответствующие градостроительным нормам_00-022_Август/f524adf4-0369-4f9a-9dfb-6b5e97e58c57.jpg","open")</f>
        <v/>
      </c>
      <c r="C2121" t="inlineStr">
        <is>
          <t>cbf95b01-f708-45a3-9ec0-3603469b538e</t>
        </is>
      </c>
      <c r="D2121" t="n">
        <v>55.98684</v>
      </c>
      <c r="E2121" t="n">
        <v>37.84118</v>
      </c>
      <c r="F2121" t="inlineStr"/>
      <c r="G2121" t="inlineStr"/>
      <c r="H2121" t="inlineStr"/>
    </row>
    <row r="2122">
      <c r="A2122" t="inlineStr">
        <is>
          <t>5ed5e728-6564-4ded-a706-5a732327ad58.jpg</t>
        </is>
      </c>
      <c r="B2122">
        <f>HYPERLINK("Объекты недвижимости, не соответствующие градостроительным нормам_00-022_Август/5ed5e728-6564-4ded-a706-5a732327ad58.jpg","open")</f>
        <v/>
      </c>
      <c r="C2122" t="inlineStr">
        <is>
          <t>f6f80c84-5569-48fd-b627-6f41ce4c61c4</t>
        </is>
      </c>
      <c r="D2122" t="n">
        <v>55.88681</v>
      </c>
      <c r="E2122" t="n">
        <v>37.40461</v>
      </c>
      <c r="F2122" t="inlineStr"/>
      <c r="G2122" t="inlineStr"/>
      <c r="H2122" t="inlineStr"/>
    </row>
    <row r="2123">
      <c r="A2123" t="inlineStr">
        <is>
          <t>ee18f527-c288-4c03-bf30-11dff260c022.jpg</t>
        </is>
      </c>
      <c r="B2123">
        <f>HYPERLINK("Объекты недвижимости, не соответствующие градостроительным нормам_00-022_Август/ee18f527-c288-4c03-bf30-11dff260c022.jpg","open")</f>
        <v/>
      </c>
      <c r="C2123" t="inlineStr">
        <is>
          <t>8cde1fd0-eca1-4510-86ab-3c743b65fdfc</t>
        </is>
      </c>
      <c r="D2123" t="n">
        <v>55.70591</v>
      </c>
      <c r="E2123" t="n">
        <v>37.85167</v>
      </c>
      <c r="F2123" t="inlineStr"/>
      <c r="G2123" t="inlineStr"/>
      <c r="H2123" t="inlineStr"/>
    </row>
    <row r="2124">
      <c r="A2124" t="inlineStr">
        <is>
          <t>29344d9c-1663-46f6-8634-28d2aea15b07.jpg</t>
        </is>
      </c>
      <c r="B2124">
        <f>HYPERLINK("Объекты недвижимости, не соответствующие градостроительным нормам_00-022_Август/29344d9c-1663-46f6-8634-28d2aea15b07.jpg","open")</f>
        <v/>
      </c>
      <c r="C2124" t="inlineStr">
        <is>
          <t>f6f80c84-5569-48fd-b627-6f41ce4c61c4</t>
        </is>
      </c>
      <c r="D2124" t="n">
        <v>55.88932</v>
      </c>
      <c r="E2124" t="n">
        <v>37.40406</v>
      </c>
      <c r="F2124" t="inlineStr"/>
      <c r="G2124" t="inlineStr"/>
      <c r="H2124" t="inlineStr"/>
    </row>
    <row r="2125">
      <c r="A2125" t="inlineStr">
        <is>
          <t>69faf360-fd92-46f1-8333-f3934022c72d.jpg</t>
        </is>
      </c>
      <c r="B2125">
        <f>HYPERLINK("Объекты недвижимости, не соответствующие градостроительным нормам_00-022_Август/69faf360-fd92-46f1-8333-f3934022c72d.jpg","open")</f>
        <v/>
      </c>
      <c r="C2125" t="inlineStr">
        <is>
          <t>caa4772d-6278-4484-a046-ee25514bf521</t>
        </is>
      </c>
      <c r="D2125" t="n">
        <v>55.88958</v>
      </c>
      <c r="E2125" t="n">
        <v>37.40408</v>
      </c>
      <c r="F2125" t="inlineStr"/>
      <c r="G2125" t="inlineStr"/>
      <c r="H2125" t="inlineStr"/>
    </row>
    <row r="2126">
      <c r="A2126" t="inlineStr">
        <is>
          <t>adcc9f35-3bf7-4973-bff3-4514fe10c9b1.jpg</t>
        </is>
      </c>
      <c r="B2126">
        <f>HYPERLINK("Объекты недвижимости, не соответствующие градостроительным нормам_00-022_Август/adcc9f35-3bf7-4973-bff3-4514fe10c9b1.jpg","open")</f>
        <v/>
      </c>
      <c r="C2126" t="inlineStr">
        <is>
          <t>8996eb30-6497-4318-8a0e-b95314b8172e</t>
        </is>
      </c>
      <c r="D2126" t="n">
        <v>55.97992</v>
      </c>
      <c r="E2126" t="n">
        <v>37.42665</v>
      </c>
      <c r="F2126" t="inlineStr"/>
      <c r="G2126" t="inlineStr"/>
      <c r="H2126" t="inlineStr"/>
    </row>
    <row r="2127">
      <c r="A2127" t="inlineStr">
        <is>
          <t>0aaae23d-b90c-4707-bde1-1f8598a9a35f.jpg</t>
        </is>
      </c>
      <c r="B2127">
        <f>HYPERLINK("Объекты недвижимости, не соответствующие градостроительным нормам_00-022_Август/0aaae23d-b90c-4707-bde1-1f8598a9a35f.jpg","open")</f>
        <v/>
      </c>
      <c r="C2127" t="inlineStr">
        <is>
          <t>8996eb30-6497-4318-8a0e-b95314b8172e</t>
        </is>
      </c>
      <c r="D2127" t="n">
        <v>55.97992</v>
      </c>
      <c r="E2127" t="n">
        <v>37.42665</v>
      </c>
      <c r="F2127" t="inlineStr"/>
      <c r="G2127" t="inlineStr"/>
      <c r="H2127" t="inlineStr"/>
    </row>
    <row r="2128">
      <c r="A2128" t="inlineStr">
        <is>
          <t>01e1a70d-2b39-4cd8-b1c7-93c6e3586874.jpg</t>
        </is>
      </c>
      <c r="B2128">
        <f>HYPERLINK("Объекты недвижимости, не соответствующие градостроительным нормам_00-022_Август/01e1a70d-2b39-4cd8-b1c7-93c6e3586874.jpg","open")</f>
        <v/>
      </c>
      <c r="C2128" t="inlineStr">
        <is>
          <t>cbf95b01-f708-45a3-9ec0-3603469b538e</t>
        </is>
      </c>
      <c r="D2128" t="n">
        <v>55.98583</v>
      </c>
      <c r="E2128" t="n">
        <v>37.83942</v>
      </c>
      <c r="F2128" t="inlineStr"/>
      <c r="G2128" t="inlineStr"/>
      <c r="H2128" t="inlineStr"/>
    </row>
    <row r="2129">
      <c r="A2129" t="inlineStr">
        <is>
          <t>73b87a2a-1241-492c-9afd-f961c7fae303.jpg</t>
        </is>
      </c>
      <c r="B2129">
        <f>HYPERLINK("Объекты недвижимости, не соответствующие градостроительным нормам_00-022_Август/73b87a2a-1241-492c-9afd-f961c7fae303.jpg","open")</f>
        <v/>
      </c>
      <c r="C2129" t="inlineStr">
        <is>
          <t>cbf95b01-f708-45a3-9ec0-3603469b538e</t>
        </is>
      </c>
      <c r="D2129" t="n">
        <v>55.98583</v>
      </c>
      <c r="E2129" t="n">
        <v>37.83942</v>
      </c>
      <c r="F2129" t="inlineStr"/>
      <c r="G2129" t="inlineStr"/>
      <c r="H2129" t="inlineStr"/>
    </row>
    <row r="2130">
      <c r="A2130" t="inlineStr">
        <is>
          <t>72bef638-a376-410a-9075-9c13c486b009.jpg</t>
        </is>
      </c>
      <c r="B2130">
        <f>HYPERLINK("Объекты недвижимости, не соответствующие градостроительным нормам_00-022_Август/72bef638-a376-410a-9075-9c13c486b009.jpg","open")</f>
        <v/>
      </c>
      <c r="C2130" t="inlineStr">
        <is>
          <t>1c951e11-4940-43c6-a447-394097e5609a</t>
        </is>
      </c>
      <c r="D2130" t="n">
        <v>55.70143</v>
      </c>
      <c r="E2130" t="n">
        <v>37.86298</v>
      </c>
      <c r="F2130" t="inlineStr"/>
      <c r="G2130" t="inlineStr"/>
      <c r="H2130" t="inlineStr"/>
    </row>
    <row r="2131">
      <c r="A2131" t="inlineStr">
        <is>
          <t>2b312c8b-9361-4295-8dca-94defca4d609.jpg</t>
        </is>
      </c>
      <c r="B2131">
        <f>HYPERLINK("Объекты недвижимости, не соответствующие градостроительным нормам_00-022_Август/2b312c8b-9361-4295-8dca-94defca4d609.jpg","open")</f>
        <v/>
      </c>
      <c r="C2131" t="inlineStr">
        <is>
          <t>caa4772d-6278-4484-a046-ee25514bf521</t>
        </is>
      </c>
      <c r="D2131" t="n">
        <v>55.87904</v>
      </c>
      <c r="E2131" t="n">
        <v>37.42207</v>
      </c>
      <c r="F2131" t="inlineStr"/>
      <c r="G2131" t="inlineStr"/>
      <c r="H2131" t="inlineStr"/>
    </row>
    <row r="2132">
      <c r="A2132" t="inlineStr">
        <is>
          <t>5a4761b8-84bd-4467-a7be-88877356f42d.jpg</t>
        </is>
      </c>
      <c r="B2132">
        <f>HYPERLINK("Объекты недвижимости, не соответствующие градостроительным нормам_00-022_Август/5a4761b8-84bd-4467-a7be-88877356f42d.jpg","open")</f>
        <v/>
      </c>
      <c r="C2132" t="inlineStr">
        <is>
          <t>a1a9db89-3f74-42ef-8fad-ad69705102cd</t>
        </is>
      </c>
      <c r="D2132" t="n">
        <v>55.98583</v>
      </c>
      <c r="E2132" t="n">
        <v>37.83942</v>
      </c>
      <c r="F2132" t="inlineStr"/>
      <c r="G2132" t="inlineStr"/>
      <c r="H2132" t="inlineStr"/>
    </row>
    <row r="2133">
      <c r="A2133" t="inlineStr">
        <is>
          <t>f857e054-65ea-424e-951a-2543071b4258.jpg</t>
        </is>
      </c>
      <c r="B2133">
        <f>HYPERLINK("Объекты недвижимости, не соответствующие градостроительным нормам_00-022_Август/f857e054-65ea-424e-951a-2543071b4258.jpg","open")</f>
        <v/>
      </c>
      <c r="C2133" t="inlineStr">
        <is>
          <t>1231bbc5-e64c-4dc7-9acc-77710f47607a</t>
        </is>
      </c>
      <c r="D2133" t="n">
        <v>55.62449</v>
      </c>
      <c r="E2133" t="n">
        <v>37.48785</v>
      </c>
      <c r="F2133" t="inlineStr"/>
      <c r="G2133" t="inlineStr"/>
      <c r="H2133" t="inlineStr"/>
    </row>
    <row r="2134">
      <c r="A2134" t="inlineStr">
        <is>
          <t>9267f0dc-73f6-4f45-8149-1a75209a2df0.jpg</t>
        </is>
      </c>
      <c r="B2134">
        <f>HYPERLINK("Объекты недвижимости, не соответствующие градостроительным нормам_00-022_Август/9267f0dc-73f6-4f45-8149-1a75209a2df0.jpg","open")</f>
        <v/>
      </c>
      <c r="C2134" t="inlineStr">
        <is>
          <t>1231bbc5-e64c-4dc7-9acc-77710f47607a</t>
        </is>
      </c>
      <c r="D2134" t="n">
        <v>55.6246</v>
      </c>
      <c r="E2134" t="n">
        <v>37.48862</v>
      </c>
      <c r="F2134" t="inlineStr"/>
      <c r="G2134" t="inlineStr"/>
      <c r="H2134" t="inlineStr"/>
    </row>
    <row r="2135">
      <c r="A2135" t="inlineStr">
        <is>
          <t>b2124472-acb9-45b4-a664-a16f39e2c3db.jpg</t>
        </is>
      </c>
      <c r="B2135">
        <f>HYPERLINK("Объекты недвижимости, не соответствующие градостроительным нормам_00-022_Август/b2124472-acb9-45b4-a664-a16f39e2c3db.jpg","open")</f>
        <v/>
      </c>
      <c r="C2135" t="inlineStr">
        <is>
          <t>789f6c51-64ee-4078-b7bd-443af8b8b68a</t>
        </is>
      </c>
      <c r="D2135" t="n">
        <v>55.96434</v>
      </c>
      <c r="E2135" t="n">
        <v>37.41311</v>
      </c>
      <c r="F2135" t="inlineStr"/>
      <c r="G2135" t="inlineStr"/>
      <c r="H2135" t="inlineStr"/>
    </row>
    <row r="2136">
      <c r="A2136" t="inlineStr">
        <is>
          <t>57e0d2ba-2c0e-41cf-918a-7e5c94d942dd.jpg</t>
        </is>
      </c>
      <c r="B2136">
        <f>HYPERLINK("Объекты недвижимости, не соответствующие градостроительным нормам_00-022_Август/57e0d2ba-2c0e-41cf-918a-7e5c94d942dd.jpg","open")</f>
        <v/>
      </c>
      <c r="C2136" t="inlineStr">
        <is>
          <t>2acfb2da-e3f6-464c-bd17-4b713522c142</t>
        </is>
      </c>
      <c r="D2136" t="n">
        <v>55.96435</v>
      </c>
      <c r="E2136" t="n">
        <v>37.41288</v>
      </c>
      <c r="F2136" t="inlineStr"/>
      <c r="G2136" t="inlineStr"/>
      <c r="H2136" t="inlineStr"/>
    </row>
    <row r="2137">
      <c r="A2137" t="inlineStr">
        <is>
          <t>86674fa7-be3c-4a50-9ec4-7319258cddd2.jpg</t>
        </is>
      </c>
      <c r="B2137">
        <f>HYPERLINK("Объекты недвижимости, не соответствующие градостроительным нормам_00-022_Август/86674fa7-be3c-4a50-9ec4-7319258cddd2.jpg","open")</f>
        <v/>
      </c>
      <c r="C2137" t="inlineStr">
        <is>
          <t>cbf95b01-f708-45a3-9ec0-3603469b538e</t>
        </is>
      </c>
      <c r="D2137" t="n">
        <v>55.75505</v>
      </c>
      <c r="E2137" t="n">
        <v>37.66431</v>
      </c>
      <c r="F2137" t="inlineStr"/>
      <c r="G2137" t="inlineStr"/>
      <c r="H2137" t="inlineStr"/>
    </row>
    <row r="2138">
      <c r="A2138" t="inlineStr">
        <is>
          <t>c8e9f63c-6429-4277-9c07-de66cb4d0e01.jpg</t>
        </is>
      </c>
      <c r="B2138">
        <f>HYPERLINK("Объекты недвижимости, не соответствующие градостроительным нормам_00-022_Август/c8e9f63c-6429-4277-9c07-de66cb4d0e01.jpg","open")</f>
        <v/>
      </c>
      <c r="C2138" t="inlineStr">
        <is>
          <t>9f88688f-4c81-42a8-b76a-3c3e7edf869e</t>
        </is>
      </c>
      <c r="D2138" t="n">
        <v>55.96488</v>
      </c>
      <c r="E2138" t="n">
        <v>37.42172</v>
      </c>
      <c r="F2138" t="inlineStr"/>
      <c r="G2138" t="inlineStr"/>
      <c r="H2138" t="inlineStr"/>
    </row>
    <row r="2139">
      <c r="A2139" t="inlineStr">
        <is>
          <t>de770b2c-94a9-49fd-87b8-2c886f6467c3.jpg</t>
        </is>
      </c>
      <c r="B2139">
        <f>HYPERLINK("Объекты недвижимости, не соответствующие градостроительным нормам_00-022_Август/de770b2c-94a9-49fd-87b8-2c886f6467c3.jpg","open")</f>
        <v/>
      </c>
      <c r="C2139" t="inlineStr">
        <is>
          <t>8cde1fd0-eca1-4510-86ab-3c743b65fdfc</t>
        </is>
      </c>
      <c r="D2139" t="n">
        <v>55.7049</v>
      </c>
      <c r="E2139" t="n">
        <v>37.87418</v>
      </c>
      <c r="F2139" t="inlineStr"/>
      <c r="G2139" t="inlineStr"/>
      <c r="H2139" t="inlineStr"/>
    </row>
    <row r="2140">
      <c r="A2140" t="inlineStr">
        <is>
          <t>7abfcb58-18bd-4351-9f14-e15393e6d452.jpg</t>
        </is>
      </c>
      <c r="B2140">
        <f>HYPERLINK("Объекты недвижимости, не соответствующие градостроительным нормам_00-022_Август/7abfcb58-18bd-4351-9f14-e15393e6d452.jpg","open")</f>
        <v/>
      </c>
      <c r="C2140" t="inlineStr">
        <is>
          <t>1a55986c-2c3f-40c0-b3d1-014dce77832e</t>
        </is>
      </c>
      <c r="D2140" t="n">
        <v>55.85569</v>
      </c>
      <c r="E2140" t="n">
        <v>37.6257</v>
      </c>
      <c r="F2140" t="inlineStr"/>
      <c r="G2140" t="inlineStr"/>
      <c r="H2140" t="inlineStr"/>
    </row>
    <row r="2141">
      <c r="A2141" t="inlineStr">
        <is>
          <t>8d1d91bb-1f3f-42c5-b16a-87230762df5d.jpg</t>
        </is>
      </c>
      <c r="B2141">
        <f>HYPERLINK("Объекты недвижимости, не соответствующие градостроительным нормам_00-022_Август/8d1d91bb-1f3f-42c5-b16a-87230762df5d.jpg","open")</f>
        <v/>
      </c>
      <c r="C2141" t="inlineStr">
        <is>
          <t>685d9054-b74f-49ab-857b-109fd2cec80d</t>
        </is>
      </c>
      <c r="D2141" t="n">
        <v>55.62363</v>
      </c>
      <c r="E2141" t="n">
        <v>37.48936</v>
      </c>
      <c r="F2141" t="inlineStr"/>
      <c r="G2141" t="inlineStr"/>
      <c r="H2141" t="inlineStr"/>
    </row>
    <row r="2142">
      <c r="A2142" t="inlineStr">
        <is>
          <t>89681439-c724-42cd-95f8-6c8ff63e24bd.jpg</t>
        </is>
      </c>
      <c r="B2142">
        <f>HYPERLINK("Объекты недвижимости, не соответствующие градостроительным нормам_00-022_Август/89681439-c724-42cd-95f8-6c8ff63e24bd.jpg","open")</f>
        <v/>
      </c>
      <c r="C2142" t="inlineStr">
        <is>
          <t>1231bbc5-e64c-4dc7-9acc-77710f47607a</t>
        </is>
      </c>
      <c r="D2142" t="n">
        <v>55.62363</v>
      </c>
      <c r="E2142" t="n">
        <v>37.48938</v>
      </c>
      <c r="F2142" t="inlineStr"/>
      <c r="G2142" t="inlineStr"/>
      <c r="H2142" t="inlineStr"/>
    </row>
    <row r="2143">
      <c r="A2143" t="inlineStr">
        <is>
          <t>350ae4d5-b159-4eda-bbea-f717a73b73c2.jpg</t>
        </is>
      </c>
      <c r="B2143">
        <f>HYPERLINK("Объекты недвижимости, не соответствующие градостроительным нормам_00-022_Август/350ae4d5-b159-4eda-bbea-f717a73b73c2.jpg","open")</f>
        <v/>
      </c>
      <c r="C2143" t="inlineStr">
        <is>
          <t>1a55986c-2c3f-40c0-b3d1-014dce77832e</t>
        </is>
      </c>
      <c r="D2143" t="n">
        <v>55.85539</v>
      </c>
      <c r="E2143" t="n">
        <v>37.62577</v>
      </c>
      <c r="F2143" t="inlineStr"/>
      <c r="G2143" t="inlineStr"/>
      <c r="H2143" t="inlineStr"/>
    </row>
    <row r="2144">
      <c r="A2144" t="inlineStr">
        <is>
          <t>4f6707ba-20fd-46b8-aca7-9ec7aba77318.jpg</t>
        </is>
      </c>
      <c r="B2144">
        <f>HYPERLINK("Объекты недвижимости, не соответствующие градостроительным нормам_00-022_Август/4f6707ba-20fd-46b8-aca7-9ec7aba77318.jpg","open")</f>
        <v/>
      </c>
      <c r="C2144" t="inlineStr">
        <is>
          <t>ed2bf0f1-3a66-4913-896e-4420a9796c0b</t>
        </is>
      </c>
      <c r="D2144" t="n">
        <v>55.85618</v>
      </c>
      <c r="E2144" t="n">
        <v>37.62543</v>
      </c>
      <c r="F2144" t="inlineStr"/>
      <c r="G2144" t="inlineStr"/>
      <c r="H2144" t="inlineStr"/>
    </row>
    <row r="2145">
      <c r="A2145" t="inlineStr">
        <is>
          <t>6d573c14-1dd6-4eac-9749-fbdf7ec811db.jpg</t>
        </is>
      </c>
      <c r="B2145">
        <f>HYPERLINK("Объекты недвижимости, не соответствующие градостроительным нормам_00-022_Август/6d573c14-1dd6-4eac-9749-fbdf7ec811db.jpg","open")</f>
        <v/>
      </c>
      <c r="C2145" t="inlineStr">
        <is>
          <t>1a55986c-2c3f-40c0-b3d1-014dce77832e</t>
        </is>
      </c>
      <c r="D2145" t="n">
        <v>55.85728</v>
      </c>
      <c r="E2145" t="n">
        <v>37.62506</v>
      </c>
      <c r="F2145" t="inlineStr"/>
      <c r="G2145" t="inlineStr"/>
      <c r="H2145" t="inlineStr"/>
    </row>
    <row r="2146">
      <c r="A2146" t="inlineStr">
        <is>
          <t>559d223b-9997-420d-ade6-1c7bccc4a25d.jpg</t>
        </is>
      </c>
      <c r="B2146">
        <f>HYPERLINK("Объекты недвижимости, не соответствующие градостроительным нормам_00-022_Август/559d223b-9997-420d-ade6-1c7bccc4a25d.jpg","open")</f>
        <v/>
      </c>
      <c r="C2146" t="inlineStr">
        <is>
          <t>cbf95b01-f708-45a3-9ec0-3603469b538e</t>
        </is>
      </c>
      <c r="D2146" t="n">
        <v>55.87727</v>
      </c>
      <c r="E2146" t="n">
        <v>37.62672</v>
      </c>
      <c r="F2146" t="inlineStr"/>
      <c r="G2146" t="inlineStr"/>
      <c r="H2146" t="inlineStr"/>
    </row>
    <row r="2147">
      <c r="A2147" t="inlineStr">
        <is>
          <t>fe792385-6ed9-4623-a83f-94dbfaececa2.jpg</t>
        </is>
      </c>
      <c r="B2147">
        <f>HYPERLINK("Объекты недвижимости, не соответствующие градостроительным нормам_00-022_Август/fe792385-6ed9-4623-a83f-94dbfaececa2.jpg","open")</f>
        <v/>
      </c>
      <c r="C2147" t="inlineStr">
        <is>
          <t>8cde1fd0-eca1-4510-86ab-3c743b65fdfc</t>
        </is>
      </c>
      <c r="D2147" t="n">
        <v>55.70697</v>
      </c>
      <c r="E2147" t="n">
        <v>37.86789</v>
      </c>
      <c r="F2147" t="inlineStr"/>
      <c r="G2147" t="inlineStr"/>
      <c r="H2147" t="inlineStr"/>
    </row>
    <row r="2148">
      <c r="A2148" t="inlineStr">
        <is>
          <t>099baf6a-7fe0-4f7b-93f2-e1f4ef0a1b07.jpg</t>
        </is>
      </c>
      <c r="B2148">
        <f>HYPERLINK("Объекты недвижимости, не соответствующие градостроительным нормам_00-022_Август/099baf6a-7fe0-4f7b-93f2-e1f4ef0a1b07.jpg","open")</f>
        <v/>
      </c>
      <c r="C2148" t="inlineStr">
        <is>
          <t>1231bbc5-e64c-4dc7-9acc-77710f47607a</t>
        </is>
      </c>
      <c r="D2148" t="n">
        <v>55.62346</v>
      </c>
      <c r="E2148" t="n">
        <v>37.48879</v>
      </c>
      <c r="F2148" t="inlineStr"/>
      <c r="G2148" t="inlineStr"/>
      <c r="H2148" t="inlineStr"/>
    </row>
    <row r="2149">
      <c r="A2149" t="inlineStr">
        <is>
          <t>90bbc131-8db4-4b91-905e-6cf503dd9c28.jpg</t>
        </is>
      </c>
      <c r="B2149">
        <f>HYPERLINK("Объекты недвижимости, не соответствующие градостроительным нормам_00-022_Август/90bbc131-8db4-4b91-905e-6cf503dd9c28.jpg","open")</f>
        <v/>
      </c>
      <c r="C2149" t="inlineStr">
        <is>
          <t>685d9054-b74f-49ab-857b-109fd2cec80d</t>
        </is>
      </c>
      <c r="D2149" t="n">
        <v>55.62345</v>
      </c>
      <c r="E2149" t="n">
        <v>37.48878</v>
      </c>
      <c r="F2149" t="inlineStr"/>
      <c r="G2149" t="inlineStr"/>
      <c r="H2149" t="inlineStr"/>
    </row>
    <row r="2150">
      <c r="A2150" t="inlineStr">
        <is>
          <t>1b5186f1-cd71-4beb-980b-a0bb57ea6bf2.jpg</t>
        </is>
      </c>
      <c r="B2150">
        <f>HYPERLINK("Объекты недвижимости, не соответствующие градостроительным нормам_00-022_Август/1b5186f1-cd71-4beb-980b-a0bb57ea6bf2.jpg","open")</f>
        <v/>
      </c>
      <c r="C2150" t="inlineStr">
        <is>
          <t>ed2bf0f1-3a66-4913-896e-4420a9796c0b</t>
        </is>
      </c>
      <c r="D2150" t="n">
        <v>55.8606</v>
      </c>
      <c r="E2150" t="n">
        <v>37.62592</v>
      </c>
      <c r="F2150" t="inlineStr"/>
      <c r="G2150" t="inlineStr"/>
      <c r="H2150" t="inlineStr"/>
    </row>
    <row r="2151">
      <c r="A2151" t="inlineStr">
        <is>
          <t>a0550cd0-58e7-4c53-b63e-fdfe1ac5b3f0.jpg</t>
        </is>
      </c>
      <c r="B2151">
        <f>HYPERLINK("Объекты недвижимости, не соответствующие градостроительным нормам_00-022_Август/a0550cd0-58e7-4c53-b63e-fdfe1ac5b3f0.jpg","open")</f>
        <v/>
      </c>
      <c r="C2151" t="inlineStr">
        <is>
          <t>1231bbc5-e64c-4dc7-9acc-77710f47607a</t>
        </is>
      </c>
      <c r="D2151" t="n">
        <v>55.62346</v>
      </c>
      <c r="E2151" t="n">
        <v>37.48878</v>
      </c>
      <c r="F2151" t="inlineStr"/>
      <c r="G2151" t="inlineStr"/>
      <c r="H2151" t="inlineStr"/>
    </row>
    <row r="2152">
      <c r="A2152" t="inlineStr">
        <is>
          <t>78423ca4-d4e2-40fc-b1be-3d235aee4b96.jpg</t>
        </is>
      </c>
      <c r="B2152">
        <f>HYPERLINK("Объекты недвижимости, не соответствующие градостроительным нормам_00-022_Август/78423ca4-d4e2-40fc-b1be-3d235aee4b96.jpg","open")</f>
        <v/>
      </c>
      <c r="C2152" t="inlineStr">
        <is>
          <t>685d9054-b74f-49ab-857b-109fd2cec80d</t>
        </is>
      </c>
      <c r="D2152" t="n">
        <v>55.62345</v>
      </c>
      <c r="E2152" t="n">
        <v>37.48878</v>
      </c>
      <c r="F2152" t="inlineStr"/>
      <c r="G2152" t="inlineStr"/>
      <c r="H2152" t="inlineStr"/>
    </row>
    <row r="2153">
      <c r="A2153" t="inlineStr">
        <is>
          <t>b466d800-a6a5-4270-8e78-d74eb36c3cb3.jpg</t>
        </is>
      </c>
      <c r="B2153">
        <f>HYPERLINK("Объекты недвижимости, не соответствующие градостроительным нормам_00-022_Август/b466d800-a6a5-4270-8e78-d74eb36c3cb3.jpg","open")</f>
        <v/>
      </c>
      <c r="C2153" t="inlineStr">
        <is>
          <t>1a55986c-2c3f-40c0-b3d1-014dce77832e</t>
        </is>
      </c>
      <c r="D2153" t="n">
        <v>55.86075</v>
      </c>
      <c r="E2153" t="n">
        <v>37.62623</v>
      </c>
      <c r="F2153" t="inlineStr"/>
      <c r="G2153" t="inlineStr"/>
      <c r="H2153" t="inlineStr"/>
    </row>
    <row r="2154">
      <c r="A2154" t="inlineStr">
        <is>
          <t>4a413608-ca24-442d-9933-5b7b2543ae11.jpg</t>
        </is>
      </c>
      <c r="B2154">
        <f>HYPERLINK("Объекты недвижимости, не соответствующие градостроительным нормам_00-022_Август/4a413608-ca24-442d-9933-5b7b2543ae11.jpg","open")</f>
        <v/>
      </c>
      <c r="C2154" t="inlineStr">
        <is>
          <t>1231bbc5-e64c-4dc7-9acc-77710f47607a</t>
        </is>
      </c>
      <c r="D2154" t="n">
        <v>55.62354</v>
      </c>
      <c r="E2154" t="n">
        <v>37.48883</v>
      </c>
      <c r="F2154" t="inlineStr"/>
      <c r="G2154" t="inlineStr"/>
      <c r="H2154" t="inlineStr"/>
    </row>
    <row r="2155">
      <c r="A2155" t="inlineStr">
        <is>
          <t>31409af3-fd52-4b0c-bb11-c2d42b3226bb.jpg</t>
        </is>
      </c>
      <c r="B2155">
        <f>HYPERLINK("Объекты недвижимости, не соответствующие градостроительным нормам_00-022_Август/31409af3-fd52-4b0c-bb11-c2d42b3226bb.jpg","open")</f>
        <v/>
      </c>
      <c r="C2155" t="inlineStr">
        <is>
          <t>ed2bf0f1-3a66-4913-896e-4420a9796c0b</t>
        </is>
      </c>
      <c r="D2155" t="n">
        <v>55.86077</v>
      </c>
      <c r="E2155" t="n">
        <v>37.62627</v>
      </c>
      <c r="F2155" t="inlineStr"/>
      <c r="G2155" t="inlineStr"/>
      <c r="H2155" t="inlineStr"/>
    </row>
    <row r="2156">
      <c r="A2156" t="inlineStr">
        <is>
          <t>42e5dc96-a7bb-459f-8467-5168f552f1ae.jpg</t>
        </is>
      </c>
      <c r="B2156">
        <f>HYPERLINK("Объекты недвижимости, не соответствующие градостроительным нормам_00-022_Август/42e5dc96-a7bb-459f-8467-5168f552f1ae.jpg","open")</f>
        <v/>
      </c>
      <c r="C2156" t="inlineStr">
        <is>
          <t>ed2bf0f1-3a66-4913-896e-4420a9796c0b</t>
        </is>
      </c>
      <c r="D2156" t="n">
        <v>55.86094</v>
      </c>
      <c r="E2156" t="n">
        <v>37.62609</v>
      </c>
      <c r="F2156" t="inlineStr"/>
      <c r="G2156" t="inlineStr"/>
      <c r="H2156" t="inlineStr"/>
    </row>
    <row r="2157">
      <c r="A2157" t="inlineStr">
        <is>
          <t>410fbcd6-496d-4ca8-93e0-df23c647e2ed.jpg</t>
        </is>
      </c>
      <c r="B2157">
        <f>HYPERLINK("Объекты недвижимости, не соответствующие градостроительным нормам_00-022_Август/410fbcd6-496d-4ca8-93e0-df23c647e2ed.jpg","open")</f>
        <v/>
      </c>
      <c r="C2157" t="inlineStr">
        <is>
          <t>ed2bf0f1-3a66-4913-896e-4420a9796c0b</t>
        </is>
      </c>
      <c r="D2157" t="n">
        <v>55.86124</v>
      </c>
      <c r="E2157" t="n">
        <v>37.62687</v>
      </c>
      <c r="F2157" t="inlineStr"/>
      <c r="G2157" t="inlineStr"/>
      <c r="H2157" t="inlineStr"/>
    </row>
    <row r="2158">
      <c r="A2158" t="inlineStr">
        <is>
          <t>13c79ec7-da5a-4a2e-a64f-45fcc6339d61.jpg</t>
        </is>
      </c>
      <c r="B2158">
        <f>HYPERLINK("Объекты недвижимости, не соответствующие градостроительным нормам_00-022_Август/13c79ec7-da5a-4a2e-a64f-45fcc6339d61.jpg","open")</f>
        <v/>
      </c>
      <c r="C2158" t="inlineStr">
        <is>
          <t>cbf95b01-f708-45a3-9ec0-3603469b538e</t>
        </is>
      </c>
      <c r="D2158" t="n">
        <v>55.87727</v>
      </c>
      <c r="E2158" t="n">
        <v>37.62672</v>
      </c>
      <c r="F2158" t="inlineStr"/>
      <c r="G2158" t="inlineStr"/>
      <c r="H2158" t="inlineStr"/>
    </row>
    <row r="2159">
      <c r="A2159" t="inlineStr">
        <is>
          <t>74096967-4e25-42f3-a261-8ed42233b114.jpg</t>
        </is>
      </c>
      <c r="B2159">
        <f>HYPERLINK("Объекты недвижимости, не соответствующие градостроительным нормам_00-022_Август/74096967-4e25-42f3-a261-8ed42233b114.jpg","open")</f>
        <v/>
      </c>
      <c r="C2159" t="inlineStr">
        <is>
          <t>ed2bf0f1-3a66-4913-896e-4420a9796c0b</t>
        </is>
      </c>
      <c r="D2159" t="n">
        <v>55.86105</v>
      </c>
      <c r="E2159" t="n">
        <v>37.62625</v>
      </c>
      <c r="F2159" t="inlineStr"/>
      <c r="G2159" t="inlineStr"/>
      <c r="H2159" t="inlineStr"/>
    </row>
    <row r="2160">
      <c r="A2160" t="inlineStr">
        <is>
          <t>d6ab4f81-1eb4-4609-800c-693c1def2c9a.jpg</t>
        </is>
      </c>
      <c r="B2160">
        <f>HYPERLINK("Объекты недвижимости, не соответствующие градостроительным нормам_00-022_Август/d6ab4f81-1eb4-4609-800c-693c1def2c9a.jpg","open")</f>
        <v/>
      </c>
      <c r="C2160" t="inlineStr">
        <is>
          <t>1a55986c-2c3f-40c0-b3d1-014dce77832e</t>
        </is>
      </c>
      <c r="D2160" t="n">
        <v>55.86104</v>
      </c>
      <c r="E2160" t="n">
        <v>37.62623</v>
      </c>
      <c r="F2160" t="inlineStr"/>
      <c r="G2160" t="inlineStr"/>
      <c r="H2160" t="inlineStr"/>
    </row>
    <row r="2161">
      <c r="A2161" t="inlineStr">
        <is>
          <t>fb657441-2117-463e-9ce4-491f61969ac6.jpg</t>
        </is>
      </c>
      <c r="B2161">
        <f>HYPERLINK("Объекты недвижимости, не соответствующие градостроительным нормам_00-022_Август/fb657441-2117-463e-9ce4-491f61969ac6.jpg","open")</f>
        <v/>
      </c>
      <c r="C2161" t="inlineStr">
        <is>
          <t>1a55986c-2c3f-40c0-b3d1-014dce77832e</t>
        </is>
      </c>
      <c r="D2161" t="n">
        <v>55.85858</v>
      </c>
      <c r="E2161" t="n">
        <v>37.62237</v>
      </c>
      <c r="F2161" t="inlineStr"/>
      <c r="G2161" t="inlineStr"/>
      <c r="H2161" t="inlineStr"/>
    </row>
    <row r="2162">
      <c r="A2162" t="inlineStr">
        <is>
          <t>771c2738-797a-45cf-9bf8-2e4304718e3a.jpg</t>
        </is>
      </c>
      <c r="B2162">
        <f>HYPERLINK("Объекты недвижимости, не соответствующие градостроительным нормам_00-022_Август/771c2738-797a-45cf-9bf8-2e4304718e3a.jpg","open")</f>
        <v/>
      </c>
      <c r="C2162" t="inlineStr">
        <is>
          <t>ed2bf0f1-3a66-4913-896e-4420a9796c0b</t>
        </is>
      </c>
      <c r="D2162" t="n">
        <v>55.85867</v>
      </c>
      <c r="E2162" t="n">
        <v>37.62212</v>
      </c>
      <c r="F2162" t="inlineStr"/>
      <c r="G2162" t="inlineStr"/>
      <c r="H2162" t="inlineStr"/>
    </row>
    <row r="2163">
      <c r="A2163" t="inlineStr">
        <is>
          <t>891bafc2-eee0-47f6-8218-7d3a1f89a0d6.jpg</t>
        </is>
      </c>
      <c r="B2163">
        <f>HYPERLINK("Объекты недвижимости, не соответствующие градостроительным нормам_00-022_Август/891bafc2-eee0-47f6-8218-7d3a1f89a0d6.jpg","open")</f>
        <v/>
      </c>
      <c r="C2163" t="inlineStr">
        <is>
          <t>cbf95b01-f708-45a3-9ec0-3603469b538e</t>
        </is>
      </c>
      <c r="D2163" t="n">
        <v>55.98209</v>
      </c>
      <c r="E2163" t="n">
        <v>37.83561</v>
      </c>
      <c r="F2163" t="inlineStr"/>
      <c r="G2163" t="inlineStr"/>
      <c r="H2163" t="inlineStr"/>
    </row>
    <row r="2164">
      <c r="A2164" t="inlineStr">
        <is>
          <t>73d12979-8b00-4186-aef7-2c9c732b5563.jpg</t>
        </is>
      </c>
      <c r="B2164">
        <f>HYPERLINK("Объекты недвижимости, не соответствующие градостроительным нормам_00-022_Август/73d12979-8b00-4186-aef7-2c9c732b5563.jpg","open")</f>
        <v/>
      </c>
      <c r="C2164" t="inlineStr">
        <is>
          <t>685d9054-b74f-49ab-857b-109fd2cec80d</t>
        </is>
      </c>
      <c r="D2164" t="n">
        <v>55.628</v>
      </c>
      <c r="E2164" t="n">
        <v>37.48381</v>
      </c>
      <c r="F2164" t="inlineStr"/>
      <c r="G2164" t="inlineStr"/>
      <c r="H2164" t="inlineStr"/>
    </row>
    <row r="2165">
      <c r="A2165" t="inlineStr">
        <is>
          <t>19fdc059-a313-4362-b91d-107595cc5906.jpg</t>
        </is>
      </c>
      <c r="B2165">
        <f>HYPERLINK("Объекты недвижимости, не соответствующие градостроительным нормам_00-022_Август/19fdc059-a313-4362-b91d-107595cc5906.jpg","open")</f>
        <v/>
      </c>
      <c r="C2165" t="inlineStr">
        <is>
          <t>685d9054-b74f-49ab-857b-109fd2cec80d</t>
        </is>
      </c>
      <c r="D2165" t="n">
        <v>55.627</v>
      </c>
      <c r="E2165" t="n">
        <v>37.48257</v>
      </c>
      <c r="F2165" t="inlineStr"/>
      <c r="G2165" t="inlineStr"/>
      <c r="H2165" t="inlineStr"/>
    </row>
    <row r="2166">
      <c r="A2166" t="inlineStr">
        <is>
          <t>c772b73b-e9f3-45f1-bb63-e6ff4858aaa5.jpg</t>
        </is>
      </c>
      <c r="B2166">
        <f>HYPERLINK("Объекты недвижимости, не соответствующие градостроительным нормам_00-022_Август/c772b73b-e9f3-45f1-bb63-e6ff4858aaa5.jpg","open")</f>
        <v/>
      </c>
      <c r="C2166" t="inlineStr">
        <is>
          <t>cbf95b01-f708-45a3-9ec0-3603469b538e</t>
        </is>
      </c>
      <c r="D2166" t="n">
        <v>51.88419</v>
      </c>
      <c r="E2166" t="n">
        <v>35.41791</v>
      </c>
      <c r="F2166" t="inlineStr"/>
      <c r="G2166" t="inlineStr"/>
      <c r="H2166" t="inlineStr"/>
    </row>
    <row r="2167">
      <c r="A2167" t="inlineStr">
        <is>
          <t>a6db27fe-0efe-4d85-a8c6-dc828290e201.jpg</t>
        </is>
      </c>
      <c r="B2167">
        <f>HYPERLINK("Объекты недвижимости, не соответствующие градостроительным нормам_00-022_Август/a6db27fe-0efe-4d85-a8c6-dc828290e201.jpg","open")</f>
        <v/>
      </c>
      <c r="C2167" t="inlineStr">
        <is>
          <t>cbf95b01-f708-45a3-9ec0-3603469b538e</t>
        </is>
      </c>
      <c r="D2167" t="n">
        <v>51.88419</v>
      </c>
      <c r="E2167" t="n">
        <v>35.41791</v>
      </c>
      <c r="F2167" t="inlineStr"/>
      <c r="G2167" t="inlineStr"/>
      <c r="H2167" t="inlineStr"/>
    </row>
    <row r="2168">
      <c r="A2168" t="inlineStr">
        <is>
          <t>c6375bdd-debd-4a5b-8352-a2155cdac23e.jpg</t>
        </is>
      </c>
      <c r="B2168">
        <f>HYPERLINK("Объекты недвижимости, не соответствующие градостроительным нормам_00-022_Август/c6375bdd-debd-4a5b-8352-a2155cdac23e.jpg","open")</f>
        <v/>
      </c>
      <c r="C2168" t="inlineStr">
        <is>
          <t>ed2bf0f1-3a66-4913-896e-4420a9796c0b</t>
        </is>
      </c>
      <c r="D2168" t="n">
        <v>55.87742</v>
      </c>
      <c r="E2168" t="n">
        <v>37.61408</v>
      </c>
      <c r="F2168" t="inlineStr"/>
      <c r="G2168" t="inlineStr"/>
      <c r="H2168" t="inlineStr"/>
    </row>
    <row r="2169">
      <c r="A2169" t="inlineStr">
        <is>
          <t>aed70ac6-a59f-466b-abf2-6f57545d05eb.jpg</t>
        </is>
      </c>
      <c r="B2169">
        <f>HYPERLINK("Объекты недвижимости, не соответствующие градостроительным нормам_00-022_Август/aed70ac6-a59f-466b-abf2-6f57545d05eb.jpg","open")</f>
        <v/>
      </c>
      <c r="C2169" t="inlineStr">
        <is>
          <t>ed2bf0f1-3a66-4913-896e-4420a9796c0b</t>
        </is>
      </c>
      <c r="D2169" t="n">
        <v>55.87737</v>
      </c>
      <c r="E2169" t="n">
        <v>37.61207</v>
      </c>
      <c r="F2169" t="inlineStr"/>
      <c r="G2169" t="inlineStr"/>
      <c r="H2169" t="inlineStr"/>
    </row>
    <row r="2170">
      <c r="A2170" t="inlineStr">
        <is>
          <t>214cc059-f045-4603-90e0-324293661d73.jpg</t>
        </is>
      </c>
      <c r="B2170">
        <f>HYPERLINK("Объекты недвижимости, не соответствующие градостроительным нормам_00-022_Август/214cc059-f045-4603-90e0-324293661d73.jpg","open")</f>
        <v/>
      </c>
      <c r="C2170" t="inlineStr">
        <is>
          <t>1a55986c-2c3f-40c0-b3d1-014dce77832e</t>
        </is>
      </c>
      <c r="D2170" t="n">
        <v>55.87732</v>
      </c>
      <c r="E2170" t="n">
        <v>37.61177</v>
      </c>
      <c r="F2170" t="inlineStr"/>
      <c r="G2170" t="inlineStr"/>
      <c r="H2170" t="inlineStr"/>
    </row>
    <row r="2171">
      <c r="A2171" t="inlineStr">
        <is>
          <t>2405a0b8-4f9b-484c-91e6-661532565d53.jpg</t>
        </is>
      </c>
      <c r="B2171">
        <f>HYPERLINK("Объекты недвижимости, не соответствующие градостроительным нормам_00-022_Август/2405a0b8-4f9b-484c-91e6-661532565d53.jpg","open")</f>
        <v/>
      </c>
      <c r="C2171" t="inlineStr">
        <is>
          <t>48b533d5-d106-4175-ac9b-d5ce8d90cccf</t>
        </is>
      </c>
      <c r="D2171" t="n">
        <v>55.72012</v>
      </c>
      <c r="E2171" t="n">
        <v>37.44595</v>
      </c>
      <c r="F2171" t="inlineStr"/>
      <c r="G2171" t="inlineStr"/>
      <c r="H2171" t="inlineStr"/>
    </row>
    <row r="2172">
      <c r="A2172" t="inlineStr">
        <is>
          <t>44c8a3b9-dfd4-4305-819b-dc82a023d567.jpg</t>
        </is>
      </c>
      <c r="B2172">
        <f>HYPERLINK("Объекты недвижимости, не соответствующие градостроительным нормам_00-022_Август/44c8a3b9-dfd4-4305-819b-dc82a023d567.jpg","open")</f>
        <v/>
      </c>
      <c r="C2172" t="inlineStr">
        <is>
          <t>18a5c468-d9e6-4814-8477-1caf4a2e1fe9</t>
        </is>
      </c>
      <c r="D2172" t="n">
        <v>55.98125</v>
      </c>
      <c r="E2172" t="n">
        <v>37.42382</v>
      </c>
      <c r="F2172" t="inlineStr"/>
      <c r="G2172" t="inlineStr"/>
      <c r="H2172" t="inlineStr"/>
    </row>
    <row r="2173">
      <c r="A2173" t="inlineStr">
        <is>
          <t>017ae4ee-6414-436e-a2bd-8a29fae98134.jpg</t>
        </is>
      </c>
      <c r="B2173">
        <f>HYPERLINK("Объекты недвижимости, не соответствующие градостроительным нормам_00-022_Август/017ae4ee-6414-436e-a2bd-8a29fae98134.jpg","open")</f>
        <v/>
      </c>
      <c r="C2173" t="inlineStr">
        <is>
          <t>91248771-2c4d-44f3-b3cf-d536bd4ae73c</t>
        </is>
      </c>
      <c r="D2173" t="n">
        <v>55.0089</v>
      </c>
      <c r="E2173" t="n">
        <v>82.65215000000001</v>
      </c>
      <c r="F2173" t="inlineStr"/>
      <c r="G2173" t="inlineStr"/>
      <c r="H2173" t="inlineStr"/>
    </row>
    <row r="2174">
      <c r="A2174" t="inlineStr">
        <is>
          <t>5601e169-9500-459b-b10c-bb567072bccb.jpg</t>
        </is>
      </c>
      <c r="B2174">
        <f>HYPERLINK("Объекты недвижимости, не соответствующие градостроительным нормам_00-022_Август/5601e169-9500-459b-b10c-bb567072bccb.jpg","open")</f>
        <v/>
      </c>
      <c r="C2174" t="inlineStr">
        <is>
          <t>a28f597e-d1cd-4d3b-b572-c86d033412e9</t>
        </is>
      </c>
      <c r="D2174" t="n">
        <v>55.70727</v>
      </c>
      <c r="E2174" t="n">
        <v>37.47613</v>
      </c>
      <c r="F2174" t="inlineStr"/>
      <c r="G2174" t="inlineStr"/>
      <c r="H2174" t="inlineStr"/>
    </row>
    <row r="2175">
      <c r="A2175" t="inlineStr">
        <is>
          <t>6a80e33f-b8a5-441f-9b53-98cc7b971f16.jpg</t>
        </is>
      </c>
      <c r="B2175">
        <f>HYPERLINK("Объекты недвижимости, не соответствующие градостроительным нормам_00-022_Август/6a80e33f-b8a5-441f-9b53-98cc7b971f16.jpg","open")</f>
        <v/>
      </c>
      <c r="C2175" t="inlineStr">
        <is>
          <t>036c664f-5408-4fd0-b479-342c00468eeb</t>
        </is>
      </c>
      <c r="D2175" t="n">
        <v>55.70728</v>
      </c>
      <c r="E2175" t="n">
        <v>37.47607</v>
      </c>
      <c r="F2175" t="inlineStr"/>
      <c r="G2175" t="inlineStr"/>
      <c r="H2175" t="inlineStr"/>
    </row>
    <row r="2176">
      <c r="A2176" t="inlineStr">
        <is>
          <t>e8025cdd-ac81-4229-b705-55a988e3fdff.jpg</t>
        </is>
      </c>
      <c r="B2176">
        <f>HYPERLINK("Объекты недвижимости, не соответствующие градостроительным нормам_00-022_Август/e8025cdd-ac81-4229-b705-55a988e3fdff.jpg","open")</f>
        <v/>
      </c>
      <c r="C2176" t="inlineStr">
        <is>
          <t>1a55986c-2c3f-40c0-b3d1-014dce77832e</t>
        </is>
      </c>
      <c r="D2176" t="n">
        <v>55.87713</v>
      </c>
      <c r="E2176" t="n">
        <v>37.61014</v>
      </c>
      <c r="F2176" t="inlineStr"/>
      <c r="G2176" t="inlineStr"/>
      <c r="H2176" t="inlineStr"/>
    </row>
    <row r="2177">
      <c r="A2177" t="inlineStr">
        <is>
          <t>0e45adf6-c620-4990-a4af-393a63cee11c.jpg</t>
        </is>
      </c>
      <c r="B2177">
        <f>HYPERLINK("Объекты недвижимости, не соответствующие градостроительным нормам_00-022_Август/0e45adf6-c620-4990-a4af-393a63cee11c.jpg","open")</f>
        <v/>
      </c>
      <c r="C2177" t="inlineStr">
        <is>
          <t>6e2567a0-1fb9-40d5-a0e7-0adb480d2965</t>
        </is>
      </c>
      <c r="D2177" t="n">
        <v>55.71746</v>
      </c>
      <c r="E2177" t="n">
        <v>37.79241</v>
      </c>
      <c r="F2177" t="inlineStr"/>
      <c r="G2177" t="inlineStr"/>
      <c r="H2177" t="inlineStr"/>
    </row>
    <row r="2178">
      <c r="A2178" t="inlineStr">
        <is>
          <t>f71fe805-0d67-4131-b336-9dd9ecd31dc8.jpg</t>
        </is>
      </c>
      <c r="B2178">
        <f>HYPERLINK("Объекты недвижимости, не соответствующие градостроительным нормам_00-022_Август/f71fe805-0d67-4131-b336-9dd9ecd31dc8.jpg","open")</f>
        <v/>
      </c>
      <c r="C2178" t="inlineStr">
        <is>
          <t>a1a9db89-3f74-42ef-8fad-ad69705102cd</t>
        </is>
      </c>
      <c r="D2178" t="n">
        <v>55.98943</v>
      </c>
      <c r="E2178" t="n">
        <v>37.83608</v>
      </c>
      <c r="F2178" t="inlineStr"/>
      <c r="G2178" t="inlineStr"/>
      <c r="H2178" t="inlineStr"/>
    </row>
    <row r="2179">
      <c r="A2179" t="inlineStr">
        <is>
          <t>e8a64256-f042-4b2b-bb8f-22593356e5b6.jpg</t>
        </is>
      </c>
      <c r="B2179">
        <f>HYPERLINK("Объекты недвижимости, не соответствующие градостроительным нормам_00-022_Август/e8a64256-f042-4b2b-bb8f-22593356e5b6.jpg","open")</f>
        <v/>
      </c>
      <c r="C2179" t="inlineStr">
        <is>
          <t>a1a9db89-3f74-42ef-8fad-ad69705102cd</t>
        </is>
      </c>
      <c r="D2179" t="n">
        <v>55.9895</v>
      </c>
      <c r="E2179" t="n">
        <v>37.83599</v>
      </c>
      <c r="F2179" t="inlineStr"/>
      <c r="G2179" t="inlineStr"/>
      <c r="H2179" t="inlineStr"/>
    </row>
    <row r="2180">
      <c r="A2180" t="inlineStr">
        <is>
          <t>75f47e1f-d838-46fd-9667-d4d5a25efcb6.jpg</t>
        </is>
      </c>
      <c r="B2180">
        <f>HYPERLINK("Объекты недвижимости, не соответствующие градостроительным нормам_00-022_Август/75f47e1f-d838-46fd-9667-d4d5a25efcb6.jpg","open")</f>
        <v/>
      </c>
      <c r="C2180" t="inlineStr">
        <is>
          <t>cbf95b01-f708-45a3-9ec0-3603469b538e</t>
        </is>
      </c>
      <c r="D2180" t="n">
        <v>55.9895</v>
      </c>
      <c r="E2180" t="n">
        <v>37.83599</v>
      </c>
      <c r="F2180" t="inlineStr"/>
      <c r="G2180" t="inlineStr"/>
      <c r="H2180" t="inlineStr"/>
    </row>
    <row r="2181">
      <c r="A2181" t="inlineStr">
        <is>
          <t>bf4795d4-e53c-4607-8d1f-edda2141b61d.jpg</t>
        </is>
      </c>
      <c r="B2181">
        <f>HYPERLINK("Объекты недвижимости, не соответствующие градостроительным нормам_00-022_Август/bf4795d4-e53c-4607-8d1f-edda2141b61d.jpg","open")</f>
        <v/>
      </c>
      <c r="C2181" t="inlineStr">
        <is>
          <t>cbf95b01-f708-45a3-9ec0-3603469b538e</t>
        </is>
      </c>
      <c r="D2181" t="n">
        <v>55.9895</v>
      </c>
      <c r="E2181" t="n">
        <v>37.83599</v>
      </c>
      <c r="F2181" t="inlineStr"/>
      <c r="G2181" t="inlineStr"/>
      <c r="H2181" t="inlineStr"/>
    </row>
    <row r="2182">
      <c r="A2182" t="inlineStr">
        <is>
          <t>59454a09-1df6-4ce3-91b2-3ccb0b84d22d.jpg</t>
        </is>
      </c>
      <c r="B2182">
        <f>HYPERLINK("Объекты недвижимости, не соответствующие градостроительным нормам_00-022_Август/59454a09-1df6-4ce3-91b2-3ccb0b84d22d.jpg","open")</f>
        <v/>
      </c>
      <c r="C2182" t="inlineStr">
        <is>
          <t>a1a9db89-3f74-42ef-8fad-ad69705102cd</t>
        </is>
      </c>
      <c r="D2182" t="n">
        <v>55.9895</v>
      </c>
      <c r="E2182" t="n">
        <v>37.83599</v>
      </c>
      <c r="F2182" t="inlineStr"/>
      <c r="G2182" t="inlineStr"/>
      <c r="H2182" t="inlineStr"/>
    </row>
    <row r="2183">
      <c r="A2183" t="inlineStr">
        <is>
          <t>5a36bd2f-3695-4409-a1da-2d15285b29d1.jpg</t>
        </is>
      </c>
      <c r="B2183">
        <f>HYPERLINK("Объекты недвижимости, не соответствующие градостроительным нормам_00-022_Август/5a36bd2f-3695-4409-a1da-2d15285b29d1.jpg","open")</f>
        <v/>
      </c>
      <c r="C2183" t="inlineStr">
        <is>
          <t>b0429a31-0c70-4b9f-8ea5-73929d82f89e</t>
        </is>
      </c>
      <c r="D2183" t="n">
        <v>55.63851</v>
      </c>
      <c r="E2183" t="n">
        <v>37.75217</v>
      </c>
      <c r="F2183" t="inlineStr"/>
      <c r="G2183" t="inlineStr"/>
      <c r="H2183" t="inlineStr"/>
    </row>
    <row r="2184">
      <c r="A2184" t="inlineStr">
        <is>
          <t>c849767b-13c1-4c7a-b037-a7dada6eb970.jpg</t>
        </is>
      </c>
      <c r="B2184">
        <f>HYPERLINK("Объекты недвижимости, не соответствующие градостроительным нормам_00-022_Август/c849767b-13c1-4c7a-b037-a7dada6eb970.jpg","open")</f>
        <v/>
      </c>
      <c r="C2184" t="inlineStr">
        <is>
          <t>cbf95b01-f708-45a3-9ec0-3603469b538e</t>
        </is>
      </c>
      <c r="D2184" t="n">
        <v>55.9895</v>
      </c>
      <c r="E2184" t="n">
        <v>37.83599</v>
      </c>
      <c r="F2184" t="inlineStr"/>
      <c r="G2184" t="inlineStr"/>
      <c r="H2184" t="inlineStr"/>
    </row>
    <row r="2185">
      <c r="A2185" t="inlineStr">
        <is>
          <t>dd6efe34-4930-4302-b7d8-466d0d194e4f.jpg</t>
        </is>
      </c>
      <c r="B2185">
        <f>HYPERLINK("Объекты недвижимости, не соответствующие градостроительным нормам_00-022_Август/dd6efe34-4930-4302-b7d8-466d0d194e4f.jpg","open")</f>
        <v/>
      </c>
      <c r="C2185" t="inlineStr">
        <is>
          <t>ed2bf0f1-3a66-4913-896e-4420a9796c0b</t>
        </is>
      </c>
      <c r="D2185" t="n">
        <v>55.87531</v>
      </c>
      <c r="E2185" t="n">
        <v>37.60788</v>
      </c>
      <c r="F2185" t="inlineStr"/>
      <c r="G2185" t="inlineStr"/>
      <c r="H2185" t="inlineStr"/>
    </row>
    <row r="2186">
      <c r="A2186" t="inlineStr">
        <is>
          <t>1738e865-df8b-415e-891e-39d7e8e1531f.jpg</t>
        </is>
      </c>
      <c r="B2186">
        <f>HYPERLINK("Объекты недвижимости, не соответствующие градостроительным нормам_00-022_Август/1738e865-df8b-415e-891e-39d7e8e1531f.jpg","open")</f>
        <v/>
      </c>
      <c r="C2186" t="inlineStr">
        <is>
          <t>61936922-4d4b-458e-80ea-6d4c450aa1d5</t>
        </is>
      </c>
      <c r="D2186" t="n">
        <v>55.66141</v>
      </c>
      <c r="E2186" t="n">
        <v>37.46915</v>
      </c>
      <c r="F2186" t="inlineStr"/>
      <c r="G2186" t="inlineStr"/>
      <c r="H2186" t="inlineStr"/>
    </row>
    <row r="2187">
      <c r="A2187" t="inlineStr">
        <is>
          <t>98dbaee8-39e7-4c15-a9d1-68569e3ccaf4.jpg</t>
        </is>
      </c>
      <c r="B2187">
        <f>HYPERLINK("Объекты недвижимости, не соответствующие градостроительным нормам_00-022_Август/98dbaee8-39e7-4c15-a9d1-68569e3ccaf4.jpg","open")</f>
        <v/>
      </c>
      <c r="C2187" t="inlineStr">
        <is>
          <t>d2c4eccd-3e4b-406c-a903-0f5e43d0be35</t>
        </is>
      </c>
      <c r="D2187" t="n">
        <v>55.98125</v>
      </c>
      <c r="E2187" t="n">
        <v>37.42382</v>
      </c>
      <c r="F2187" t="inlineStr"/>
      <c r="G2187" t="inlineStr"/>
      <c r="H2187" t="inlineStr"/>
    </row>
    <row r="2188">
      <c r="A2188" t="inlineStr">
        <is>
          <t>fcd0d886-6079-4cdc-9781-f089c2dccbfa.jpg</t>
        </is>
      </c>
      <c r="B2188">
        <f>HYPERLINK("Объекты недвижимости, не соответствующие градостроительным нормам_00-022_Август/fcd0d886-6079-4cdc-9781-f089c2dccbfa.jpg","open")</f>
        <v/>
      </c>
      <c r="C2188" t="inlineStr">
        <is>
          <t>18a5c468-d9e6-4814-8477-1caf4a2e1fe9</t>
        </is>
      </c>
      <c r="D2188" t="n">
        <v>55.98125</v>
      </c>
      <c r="E2188" t="n">
        <v>37.42382</v>
      </c>
      <c r="F2188" t="inlineStr"/>
      <c r="G2188" t="inlineStr"/>
      <c r="H2188" t="inlineStr"/>
    </row>
    <row r="2189">
      <c r="A2189" t="inlineStr">
        <is>
          <t>415d256a-8a9e-43cf-856e-5633393397a8.jpg</t>
        </is>
      </c>
      <c r="B2189">
        <f>HYPERLINK("Объекты недвижимости, не соответствующие градостроительным нормам_00-022_Август/415d256a-8a9e-43cf-856e-5633393397a8.jpg","open")</f>
        <v/>
      </c>
      <c r="C2189" t="inlineStr">
        <is>
          <t>b0b7ea82-53be-40d0-b992-e2fd18611d5c</t>
        </is>
      </c>
      <c r="D2189" t="n">
        <v>55.65102</v>
      </c>
      <c r="E2189" t="n">
        <v>37.72001</v>
      </c>
      <c r="F2189" t="inlineStr"/>
      <c r="G2189" t="inlineStr"/>
      <c r="H2189" t="inlineStr"/>
    </row>
    <row r="2190">
      <c r="A2190" t="inlineStr">
        <is>
          <t>257dd213-ae30-440e-8a03-4df4f30bef82.jpg</t>
        </is>
      </c>
      <c r="B2190">
        <f>HYPERLINK("Объекты недвижимости, не соответствующие градостроительным нормам_00-022_Август/257dd213-ae30-440e-8a03-4df4f30bef82.jpg","open")</f>
        <v/>
      </c>
      <c r="C2190" t="inlineStr">
        <is>
          <t>ed2bf0f1-3a66-4913-896e-4420a9796c0b</t>
        </is>
      </c>
      <c r="D2190" t="n">
        <v>55.87363</v>
      </c>
      <c r="E2190" t="n">
        <v>37.60412</v>
      </c>
      <c r="F2190" t="inlineStr"/>
      <c r="G2190" t="inlineStr"/>
      <c r="H2190" t="inlineStr"/>
    </row>
    <row r="2191">
      <c r="A2191" t="inlineStr">
        <is>
          <t>cbcfbf2f-a740-4995-b538-29c3c2814681.jpg</t>
        </is>
      </c>
      <c r="B2191">
        <f>HYPERLINK("Объекты недвижимости, не соответствующие градостроительным нормам_00-022_Август/cbcfbf2f-a740-4995-b538-29c3c2814681.jpg","open")</f>
        <v/>
      </c>
      <c r="C2191" t="inlineStr">
        <is>
          <t>cbf95b01-f708-45a3-9ec0-3603469b538e</t>
        </is>
      </c>
      <c r="D2191" t="n">
        <v>55.75546</v>
      </c>
      <c r="E2191" t="n">
        <v>37.66529</v>
      </c>
      <c r="F2191" t="inlineStr"/>
      <c r="G2191" t="inlineStr"/>
      <c r="H2191" t="inlineStr"/>
    </row>
    <row r="2192">
      <c r="A2192" t="inlineStr">
        <is>
          <t>0ffd5dec-5e52-47ec-a677-de82d9f7e1bb.jpg</t>
        </is>
      </c>
      <c r="B2192">
        <f>HYPERLINK("Объекты недвижимости, не соответствующие градостроительным нормам_00-022_Август/0ffd5dec-5e52-47ec-a677-de82d9f7e1bb.jpg","open")</f>
        <v/>
      </c>
      <c r="C2192" t="inlineStr">
        <is>
          <t>1c951e11-4940-43c6-a447-394097e5609a</t>
        </is>
      </c>
      <c r="D2192" t="n">
        <v>55.70316</v>
      </c>
      <c r="E2192" t="n">
        <v>37.86442</v>
      </c>
      <c r="F2192" t="inlineStr"/>
      <c r="G2192" t="inlineStr"/>
      <c r="H2192" t="inlineStr"/>
    </row>
    <row r="2193">
      <c r="A2193" t="inlineStr">
        <is>
          <t>ecfe3d69-7e14-401b-909f-135292289b19.jpg</t>
        </is>
      </c>
      <c r="B2193">
        <f>HYPERLINK("Объекты недвижимости, не соответствующие градостроительным нормам_00-022_Август/ecfe3d69-7e14-401b-909f-135292289b19.jpg","open")</f>
        <v/>
      </c>
      <c r="C2193" t="inlineStr">
        <is>
          <t>ed2bf0f1-3a66-4913-896e-4420a9796c0b</t>
        </is>
      </c>
      <c r="D2193" t="n">
        <v>55.87454</v>
      </c>
      <c r="E2193" t="n">
        <v>37.60876</v>
      </c>
      <c r="F2193" t="inlineStr"/>
      <c r="G2193" t="inlineStr"/>
      <c r="H2193" t="inlineStr"/>
    </row>
    <row r="2194">
      <c r="A2194" t="inlineStr">
        <is>
          <t>74fa45d4-b098-4444-bb9e-b6af3c621228.jpg</t>
        </is>
      </c>
      <c r="B2194">
        <f>HYPERLINK("Объекты недвижимости, не соответствующие градостроительным нормам_00-022_Август/74fa45d4-b098-4444-bb9e-b6af3c621228.jpg","open")</f>
        <v/>
      </c>
      <c r="C2194" t="inlineStr">
        <is>
          <t>a28f597e-d1cd-4d3b-b572-c86d033412e9</t>
        </is>
      </c>
      <c r="D2194" t="n">
        <v>55.7058</v>
      </c>
      <c r="E2194" t="n">
        <v>37.48025</v>
      </c>
      <c r="F2194" t="inlineStr"/>
      <c r="G2194" t="inlineStr"/>
      <c r="H2194" t="inlineStr"/>
    </row>
    <row r="2195">
      <c r="A2195" t="inlineStr">
        <is>
          <t>4c2e1b76-e15b-4684-8adf-98c19f8f5278.jpg</t>
        </is>
      </c>
      <c r="B2195">
        <f>HYPERLINK("Объекты недвижимости, не соответствующие градостроительным нормам_00-022_Август/4c2e1b76-e15b-4684-8adf-98c19f8f5278.jpg","open")</f>
        <v/>
      </c>
      <c r="C2195" t="inlineStr">
        <is>
          <t>036c664f-5408-4fd0-b479-342c00468eeb</t>
        </is>
      </c>
      <c r="D2195" t="n">
        <v>55.70583</v>
      </c>
      <c r="E2195" t="n">
        <v>37.48026</v>
      </c>
      <c r="F2195" t="inlineStr"/>
      <c r="G2195" t="inlineStr"/>
      <c r="H2195" t="inlineStr"/>
    </row>
    <row r="2196">
      <c r="A2196" t="inlineStr">
        <is>
          <t>da0d2190-da9b-42a8-8888-d4e4ebfbb7da.jpg</t>
        </is>
      </c>
      <c r="B2196">
        <f>HYPERLINK("Объекты недвижимости, не соответствующие градостроительным нормам_00-022_Август/da0d2190-da9b-42a8-8888-d4e4ebfbb7da.jpg","open")</f>
        <v/>
      </c>
      <c r="C2196" t="inlineStr">
        <is>
          <t>cbf95b01-f708-45a3-9ec0-3603469b538e</t>
        </is>
      </c>
      <c r="D2196" t="n">
        <v>55.74681</v>
      </c>
      <c r="E2196" t="n">
        <v>37.64299</v>
      </c>
      <c r="F2196" t="inlineStr"/>
      <c r="G2196" t="inlineStr"/>
      <c r="H2196" t="inlineStr"/>
    </row>
    <row r="2197">
      <c r="A2197" t="inlineStr">
        <is>
          <t>1e928eea-752f-4066-8184-b04a183f1998.jpg</t>
        </is>
      </c>
      <c r="B2197">
        <f>HYPERLINK("Объекты недвижимости, не соответствующие градостроительным нормам_00-022_Август/1e928eea-752f-4066-8184-b04a183f1998.jpg","open")</f>
        <v/>
      </c>
      <c r="C2197" t="inlineStr">
        <is>
          <t>a1a9db89-3f74-42ef-8fad-ad69705102cd</t>
        </is>
      </c>
      <c r="D2197" t="n">
        <v>55.74647</v>
      </c>
      <c r="E2197" t="n">
        <v>37.64312</v>
      </c>
      <c r="F2197" t="inlineStr"/>
      <c r="G2197" t="inlineStr"/>
      <c r="H2197" t="inlineStr"/>
    </row>
    <row r="2198">
      <c r="A2198" t="inlineStr">
        <is>
          <t>39f682c5-d7e1-4838-a62a-9aad8bef350c.jpg</t>
        </is>
      </c>
      <c r="B2198">
        <f>HYPERLINK("Объекты недвижимости, не соответствующие градостроительным нормам_00-022_Август/39f682c5-d7e1-4838-a62a-9aad8bef350c.jpg","open")</f>
        <v/>
      </c>
      <c r="C2198" t="inlineStr">
        <is>
          <t>cbf95b01-f708-45a3-9ec0-3603469b538e</t>
        </is>
      </c>
      <c r="D2198" t="n">
        <v>55.74729</v>
      </c>
      <c r="E2198" t="n">
        <v>37.64289</v>
      </c>
      <c r="F2198" t="inlineStr"/>
      <c r="G2198" t="inlineStr"/>
      <c r="H2198" t="inlineStr"/>
    </row>
    <row r="2199">
      <c r="A2199" t="inlineStr">
        <is>
          <t>ed1e54a5-e0ad-4844-9da8-b4f5eb8595e0.jpg</t>
        </is>
      </c>
      <c r="B2199">
        <f>HYPERLINK("Объекты недвижимости, не соответствующие градостроительным нормам_00-022_Август/ed1e54a5-e0ad-4844-9da8-b4f5eb8595e0.jpg","open")</f>
        <v/>
      </c>
      <c r="C2199" t="inlineStr">
        <is>
          <t>036c664f-5408-4fd0-b479-342c00468eeb</t>
        </is>
      </c>
      <c r="D2199" t="n">
        <v>55.70607</v>
      </c>
      <c r="E2199" t="n">
        <v>37.48007</v>
      </c>
      <c r="F2199" t="inlineStr"/>
      <c r="G2199" t="inlineStr"/>
      <c r="H2199" t="inlineStr"/>
    </row>
    <row r="2200">
      <c r="A2200" t="inlineStr">
        <is>
          <t>78c399a8-ae1b-40ac-98c6-84863c5e73ba.jpg</t>
        </is>
      </c>
      <c r="B2200">
        <f>HYPERLINK("Объекты недвижимости, не соответствующие градостроительным нормам_00-022_Август/78c399a8-ae1b-40ac-98c6-84863c5e73ba.jpg","open")</f>
        <v/>
      </c>
      <c r="C2200" t="inlineStr">
        <is>
          <t>a1a9db89-3f74-42ef-8fad-ad69705102cd</t>
        </is>
      </c>
      <c r="D2200" t="n">
        <v>55.7517</v>
      </c>
      <c r="E2200" t="n">
        <v>37.643</v>
      </c>
      <c r="F2200" t="inlineStr"/>
      <c r="G2200" t="inlineStr"/>
      <c r="H2200" t="inlineStr"/>
    </row>
    <row r="2201">
      <c r="A2201" t="inlineStr">
        <is>
          <t>f68ed2aa-82b8-4bcf-9b5d-05c1cd6b5350.jpg</t>
        </is>
      </c>
      <c r="B2201">
        <f>HYPERLINK("Объекты недвижимости, не соответствующие градостроительным нормам_00-022_Август/f68ed2aa-82b8-4bcf-9b5d-05c1cd6b5350.jpg","open")</f>
        <v/>
      </c>
      <c r="C2201" t="inlineStr">
        <is>
          <t>a1a9db89-3f74-42ef-8fad-ad69705102cd</t>
        </is>
      </c>
      <c r="D2201" t="n">
        <v>55.75268</v>
      </c>
      <c r="E2201" t="n">
        <v>37.64264</v>
      </c>
      <c r="F2201" t="inlineStr"/>
      <c r="G2201" t="inlineStr"/>
      <c r="H2201" t="inlineStr"/>
    </row>
    <row r="2202">
      <c r="A2202" t="inlineStr">
        <is>
          <t>07f5ec99-17f3-4674-b211-716caa96f185.jpg</t>
        </is>
      </c>
      <c r="B2202">
        <f>HYPERLINK("Объекты недвижимости, не соответствующие градостроительным нормам_00-022_Август/07f5ec99-17f3-4674-b211-716caa96f185.jpg","open")</f>
        <v/>
      </c>
      <c r="C2202" t="inlineStr">
        <is>
          <t>cbf95b01-f708-45a3-9ec0-3603469b538e</t>
        </is>
      </c>
      <c r="D2202" t="n">
        <v>55.75268</v>
      </c>
      <c r="E2202" t="n">
        <v>37.64264</v>
      </c>
      <c r="F2202" t="inlineStr"/>
      <c r="G2202" t="inlineStr"/>
      <c r="H2202" t="inlineStr"/>
    </row>
    <row r="2203">
      <c r="A2203" t="inlineStr">
        <is>
          <t>bb729e7f-543d-4f91-9afd-1f850684be20.jpg</t>
        </is>
      </c>
      <c r="B2203">
        <f>HYPERLINK("Объекты недвижимости, не соответствующие градостроительным нормам_00-022_Август/bb729e7f-543d-4f91-9afd-1f850684be20.jpg","open")</f>
        <v/>
      </c>
      <c r="C2203" t="inlineStr">
        <is>
          <t>cbf95b01-f708-45a3-9ec0-3603469b538e</t>
        </is>
      </c>
      <c r="D2203" t="n">
        <v>55.83484</v>
      </c>
      <c r="E2203" t="n">
        <v>37.65157</v>
      </c>
      <c r="F2203" t="inlineStr"/>
      <c r="G2203" t="inlineStr"/>
      <c r="H2203" t="inlineStr"/>
    </row>
    <row r="2204">
      <c r="A2204" t="inlineStr">
        <is>
          <t>bee854d1-4ee6-402f-b721-8a424a0c822c.jpg</t>
        </is>
      </c>
      <c r="B2204">
        <f>HYPERLINK("Объекты недвижимости, не соответствующие градостроительным нормам_00-022_Август/bee854d1-4ee6-402f-b721-8a424a0c822c.jpg","open")</f>
        <v/>
      </c>
      <c r="C2204" t="inlineStr">
        <is>
          <t>cbf95b01-f708-45a3-9ec0-3603469b538e</t>
        </is>
      </c>
      <c r="D2204" t="n">
        <v>55.83484</v>
      </c>
      <c r="E2204" t="n">
        <v>37.65157</v>
      </c>
      <c r="F2204" t="inlineStr"/>
      <c r="G2204" t="inlineStr"/>
      <c r="H2204" t="inlineStr"/>
    </row>
    <row r="2205">
      <c r="A2205" t="inlineStr">
        <is>
          <t>632460d3-d4d6-47ba-9ee0-14e2f250cf2e.jpg</t>
        </is>
      </c>
      <c r="B2205">
        <f>HYPERLINK("Объекты недвижимости, не соответствующие градостроительным нормам_00-022_Август/632460d3-d4d6-47ba-9ee0-14e2f250cf2e.jpg","open")</f>
        <v/>
      </c>
      <c r="C2205" t="inlineStr">
        <is>
          <t>a1a9db89-3f74-42ef-8fad-ad69705102cd</t>
        </is>
      </c>
      <c r="D2205" t="n">
        <v>55.83487</v>
      </c>
      <c r="E2205" t="n">
        <v>37.65175</v>
      </c>
      <c r="F2205" t="inlineStr"/>
      <c r="G2205" t="inlineStr"/>
      <c r="H2205" t="inlineStr"/>
    </row>
    <row r="2206">
      <c r="A2206" t="inlineStr">
        <is>
          <t>a96de9bf-9da7-4b6e-97c7-c07c48261833.jpg</t>
        </is>
      </c>
      <c r="B2206">
        <f>HYPERLINK("Объекты недвижимости, не соответствующие градостроительным нормам_00-022_Август/a96de9bf-9da7-4b6e-97c7-c07c48261833.jpg","open")</f>
        <v/>
      </c>
      <c r="C2206" t="inlineStr">
        <is>
          <t>1c951e11-4940-43c6-a447-394097e5609a</t>
        </is>
      </c>
      <c r="D2206" t="n">
        <v>55.70146</v>
      </c>
      <c r="E2206" t="n">
        <v>37.86292</v>
      </c>
      <c r="F2206" t="inlineStr"/>
      <c r="G2206" t="inlineStr"/>
      <c r="H2206" t="inlineStr"/>
    </row>
    <row r="2207">
      <c r="A2207" t="inlineStr">
        <is>
          <t>5e7f1e97-e307-40a4-b849-8bfe0641affa.jpg</t>
        </is>
      </c>
      <c r="B2207">
        <f>HYPERLINK("Объекты недвижимости, не соответствующие градостроительным нормам_00-022_Август/5e7f1e97-e307-40a4-b849-8bfe0641affa.jpg","open")</f>
        <v/>
      </c>
      <c r="C2207" t="inlineStr">
        <is>
          <t>a1a9db89-3f74-42ef-8fad-ad69705102cd</t>
        </is>
      </c>
      <c r="D2207" t="n">
        <v>55.83477</v>
      </c>
      <c r="E2207" t="n">
        <v>37.65341</v>
      </c>
      <c r="F2207" t="inlineStr"/>
      <c r="G2207" t="inlineStr"/>
      <c r="H2207" t="inlineStr"/>
    </row>
    <row r="2208">
      <c r="A2208" t="inlineStr">
        <is>
          <t>acba4434-775a-4f26-b0f3-6c20b230a718.jpg</t>
        </is>
      </c>
      <c r="B2208">
        <f>HYPERLINK("Объекты недвижимости, не соответствующие градостроительным нормам_00-022_Август/acba4434-775a-4f26-b0f3-6c20b230a718.jpg","open")</f>
        <v/>
      </c>
      <c r="C2208" t="inlineStr">
        <is>
          <t>cbf95b01-f708-45a3-9ec0-3603469b538e</t>
        </is>
      </c>
      <c r="D2208" t="n">
        <v>55.98989</v>
      </c>
      <c r="E2208" t="n">
        <v>37.84093</v>
      </c>
      <c r="F2208" t="inlineStr"/>
      <c r="G2208" t="inlineStr"/>
      <c r="H2208" t="inlineStr"/>
    </row>
    <row r="2209">
      <c r="A2209" t="inlineStr">
        <is>
          <t>84dc677b-75af-4f30-b595-e5692690903d.jpg</t>
        </is>
      </c>
      <c r="B2209">
        <f>HYPERLINK("Объекты недвижимости, не соответствующие градостроительным нормам_00-022_Август/84dc677b-75af-4f30-b595-e5692690903d.jpg","open")</f>
        <v/>
      </c>
      <c r="C2209" t="inlineStr">
        <is>
          <t>8cde1fd0-eca1-4510-86ab-3c743b65fdfc</t>
        </is>
      </c>
      <c r="D2209" t="n">
        <v>55.71033</v>
      </c>
      <c r="E2209" t="n">
        <v>37.8511</v>
      </c>
      <c r="F2209" t="inlineStr"/>
      <c r="G2209" t="inlineStr"/>
      <c r="H2209" t="inlineStr"/>
    </row>
    <row r="2210">
      <c r="A2210" t="inlineStr">
        <is>
          <t>2dc910cc-a231-4947-a80d-3139f9d747cc.jpg</t>
        </is>
      </c>
      <c r="B2210">
        <f>HYPERLINK("Объекты недвижимости, не соответствующие градостроительным нормам_00-022_Август/2dc910cc-a231-4947-a80d-3139f9d747cc.jpg","open")</f>
        <v/>
      </c>
      <c r="C2210" t="inlineStr">
        <is>
          <t>8cde1fd0-eca1-4510-86ab-3c743b65fdfc</t>
        </is>
      </c>
      <c r="D2210" t="n">
        <v>55.71041</v>
      </c>
      <c r="E2210" t="n">
        <v>37.851</v>
      </c>
      <c r="F2210" t="inlineStr"/>
      <c r="G2210" t="inlineStr"/>
      <c r="H2210" t="inlineStr"/>
    </row>
    <row r="2211">
      <c r="A2211" t="inlineStr">
        <is>
          <t>7d8d1cf5-3aaf-4a7a-b11d-6c84bbecc73e.jpg</t>
        </is>
      </c>
      <c r="B2211">
        <f>HYPERLINK("Объекты недвижимости, не соответствующие градостроительным нормам_00-022_Август/7d8d1cf5-3aaf-4a7a-b11d-6c84bbecc73e.jpg","open")</f>
        <v/>
      </c>
      <c r="C2211" t="inlineStr">
        <is>
          <t>8cde1fd0-eca1-4510-86ab-3c743b65fdfc</t>
        </is>
      </c>
      <c r="D2211" t="n">
        <v>55.7105</v>
      </c>
      <c r="E2211" t="n">
        <v>37.85091</v>
      </c>
      <c r="F2211" t="inlineStr"/>
      <c r="G2211" t="inlineStr"/>
      <c r="H2211" t="inlineStr"/>
    </row>
    <row r="2212">
      <c r="A2212" t="inlineStr">
        <is>
          <t>060f0aa8-aba6-4633-9b04-408cc6af6546.jpg</t>
        </is>
      </c>
      <c r="B2212">
        <f>HYPERLINK("Объекты недвижимости, не соответствующие градостроительным нормам_00-022_Август/060f0aa8-aba6-4633-9b04-408cc6af6546.jpg","open")</f>
        <v/>
      </c>
      <c r="C2212" t="inlineStr">
        <is>
          <t>8cde1fd0-eca1-4510-86ab-3c743b65fdfc</t>
        </is>
      </c>
      <c r="D2212" t="n">
        <v>55.71059</v>
      </c>
      <c r="E2212" t="n">
        <v>37.8508</v>
      </c>
      <c r="F2212" t="inlineStr"/>
      <c r="G2212" t="inlineStr"/>
      <c r="H2212" t="inlineStr"/>
    </row>
    <row r="2213">
      <c r="A2213" t="inlineStr">
        <is>
          <t>4de53ddc-b3a1-4236-ab91-a52d99ccc824.jpg</t>
        </is>
      </c>
      <c r="B2213">
        <f>HYPERLINK("Объекты недвижимости, не соответствующие градостроительным нормам_00-022_Август/4de53ddc-b3a1-4236-ab91-a52d99ccc824.jpg","open")</f>
        <v/>
      </c>
      <c r="C2213" t="inlineStr">
        <is>
          <t>1c951e11-4940-43c6-a447-394097e5609a</t>
        </is>
      </c>
      <c r="D2213" t="n">
        <v>55.71544</v>
      </c>
      <c r="E2213" t="n">
        <v>37.84531</v>
      </c>
      <c r="F2213" t="inlineStr"/>
      <c r="G2213" t="inlineStr"/>
      <c r="H2213" t="inlineStr"/>
    </row>
    <row r="2214">
      <c r="A2214" t="inlineStr">
        <is>
          <t>31125b75-4369-4c18-bc8e-aa198d9bd73c.jpg</t>
        </is>
      </c>
      <c r="B2214">
        <f>HYPERLINK("Объекты недвижимости, не соответствующие градостроительным нормам_00-022_Август/31125b75-4369-4c18-bc8e-aa198d9bd73c.jpg","open")</f>
        <v/>
      </c>
      <c r="C2214" t="inlineStr">
        <is>
          <t>8cde1fd0-eca1-4510-86ab-3c743b65fdfc</t>
        </is>
      </c>
      <c r="D2214" t="n">
        <v>55.71548</v>
      </c>
      <c r="E2214" t="n">
        <v>37.84527</v>
      </c>
      <c r="F2214" t="inlineStr"/>
      <c r="G2214" t="inlineStr"/>
      <c r="H2214" t="inlineStr"/>
    </row>
    <row r="2215">
      <c r="A2215" t="inlineStr">
        <is>
          <t>7e56db1c-de56-4b6a-8aec-243578260d53.jpg</t>
        </is>
      </c>
      <c r="B2215">
        <f>HYPERLINK("Объекты недвижимости, не соответствующие градостроительным нормам_00-022_Август/7e56db1c-de56-4b6a-8aec-243578260d53.jpg","open")</f>
        <v/>
      </c>
      <c r="C2215" t="inlineStr">
        <is>
          <t>685d9054-b74f-49ab-857b-109fd2cec80d</t>
        </is>
      </c>
      <c r="D2215" t="n">
        <v>55.62901</v>
      </c>
      <c r="E2215" t="n">
        <v>37.48321</v>
      </c>
      <c r="F2215" t="inlineStr"/>
      <c r="G2215" t="inlineStr"/>
      <c r="H2215" t="inlineStr"/>
    </row>
    <row r="2216">
      <c r="A2216" t="inlineStr">
        <is>
          <t>d01f879c-9f22-4a01-8ad4-9f7cf6d07591.jpg</t>
        </is>
      </c>
      <c r="B2216">
        <f>HYPERLINK("Объекты недвижимости, не соответствующие градостроительным нормам_00-022_Август/d01f879c-9f22-4a01-8ad4-9f7cf6d07591.jpg","open")</f>
        <v/>
      </c>
      <c r="C2216" t="inlineStr">
        <is>
          <t>1231bbc5-e64c-4dc7-9acc-77710f47607a</t>
        </is>
      </c>
      <c r="D2216" t="n">
        <v>55.62897</v>
      </c>
      <c r="E2216" t="n">
        <v>37.48291</v>
      </c>
      <c r="F2216" t="inlineStr"/>
      <c r="G2216" t="inlineStr"/>
      <c r="H2216" t="inlineStr"/>
    </row>
    <row r="2217">
      <c r="A2217" t="inlineStr">
        <is>
          <t>e0f1474e-feb6-4a09-994c-f9e61659e651.jpg</t>
        </is>
      </c>
      <c r="B2217">
        <f>HYPERLINK("Объекты недвижимости, не соответствующие градостроительным нормам_00-022_Август/e0f1474e-feb6-4a09-994c-f9e61659e651.jpg","open")</f>
        <v/>
      </c>
      <c r="C2217" t="inlineStr">
        <is>
          <t>cbf95b01-f708-45a3-9ec0-3603469b538e</t>
        </is>
      </c>
      <c r="D2217" t="n">
        <v>55.98925</v>
      </c>
      <c r="E2217" t="n">
        <v>37.83606</v>
      </c>
      <c r="F2217" t="inlineStr"/>
      <c r="G2217" t="inlineStr"/>
      <c r="H2217" t="inlineStr"/>
    </row>
    <row r="2218">
      <c r="A2218" t="inlineStr">
        <is>
          <t>e5843c2a-22fb-4524-afe1-2e9b7abcec72.jpg</t>
        </is>
      </c>
      <c r="B2218">
        <f>HYPERLINK("Объекты недвижимости, не соответствующие градостроительным нормам_00-022_Август/e5843c2a-22fb-4524-afe1-2e9b7abcec72.jpg","open")</f>
        <v/>
      </c>
      <c r="C2218" t="inlineStr">
        <is>
          <t>cbf95b01-f708-45a3-9ec0-3603469b538e</t>
        </is>
      </c>
      <c r="D2218" t="n">
        <v>55.98925</v>
      </c>
      <c r="E2218" t="n">
        <v>37.83606</v>
      </c>
      <c r="F2218" t="inlineStr"/>
      <c r="G2218" t="inlineStr"/>
      <c r="H2218" t="inlineStr"/>
    </row>
    <row r="2219">
      <c r="A2219" t="inlineStr">
        <is>
          <t>69851946-5b74-4a83-8a43-b4d274d89816.jpg</t>
        </is>
      </c>
      <c r="B2219">
        <f>HYPERLINK("Объекты недвижимости, не соответствующие градостроительным нормам_00-022_Август/69851946-5b74-4a83-8a43-b4d274d89816.jpg","open")</f>
        <v/>
      </c>
      <c r="C2219" t="inlineStr">
        <is>
          <t>685d9054-b74f-49ab-857b-109fd2cec80d</t>
        </is>
      </c>
      <c r="D2219" t="n">
        <v>55.62884</v>
      </c>
      <c r="E2219" t="n">
        <v>37.48279</v>
      </c>
      <c r="F2219" t="inlineStr"/>
      <c r="G2219" t="inlineStr"/>
      <c r="H2219" t="inlineStr"/>
    </row>
    <row r="2220">
      <c r="A2220" t="inlineStr">
        <is>
          <t>7de4bbf4-e105-4b26-8143-8b425b9c3cda.jpg</t>
        </is>
      </c>
      <c r="B2220">
        <f>HYPERLINK("Объекты недвижимости, не соответствующие градостроительным нормам_00-022_Август/7de4bbf4-e105-4b26-8143-8b425b9c3cda.jpg","open")</f>
        <v/>
      </c>
      <c r="C2220" t="inlineStr">
        <is>
          <t>cbf95b01-f708-45a3-9ec0-3603469b538e</t>
        </is>
      </c>
      <c r="D2220" t="n">
        <v>55.98925</v>
      </c>
      <c r="E2220" t="n">
        <v>37.83606</v>
      </c>
      <c r="F2220" t="inlineStr"/>
      <c r="G2220" t="inlineStr"/>
      <c r="H2220" t="inlineStr"/>
    </row>
    <row r="2221">
      <c r="A2221" t="inlineStr">
        <is>
          <t>7c0ca831-22d8-471d-8ba9-bbe46f20e426.jpg</t>
        </is>
      </c>
      <c r="B2221">
        <f>HYPERLINK("Объекты недвижимости, не соответствующие градостроительным нормам_00-022_Август/7c0ca831-22d8-471d-8ba9-bbe46f20e426.jpg","open")</f>
        <v/>
      </c>
      <c r="C2221" t="inlineStr">
        <is>
          <t>685d9054-b74f-49ab-857b-109fd2cec80d</t>
        </is>
      </c>
      <c r="D2221" t="n">
        <v>55.62915</v>
      </c>
      <c r="E2221" t="n">
        <v>37.48286</v>
      </c>
      <c r="F2221" t="inlineStr"/>
      <c r="G2221" t="inlineStr"/>
      <c r="H2221" t="inlineStr"/>
    </row>
    <row r="2222">
      <c r="A2222" t="inlineStr">
        <is>
          <t>701c2c74-fa59-4b3d-a7ca-e5772b7ef9e7.jpg</t>
        </is>
      </c>
      <c r="B2222">
        <f>HYPERLINK("Объекты недвижимости, не соответствующие градостроительным нормам_00-022_Август/701c2c74-fa59-4b3d-a7ca-e5772b7ef9e7.jpg","open")</f>
        <v/>
      </c>
      <c r="C2222" t="inlineStr">
        <is>
          <t>8cde1fd0-eca1-4510-86ab-3c743b65fdfc</t>
        </is>
      </c>
      <c r="D2222" t="n">
        <v>55.71486</v>
      </c>
      <c r="E2222" t="n">
        <v>37.84578</v>
      </c>
      <c r="F2222" t="inlineStr"/>
      <c r="G2222" t="inlineStr"/>
      <c r="H2222" t="inlineStr"/>
    </row>
    <row r="2223">
      <c r="A2223" t="inlineStr">
        <is>
          <t>fa1d3192-efe4-4778-a5f2-ae4d36d5505a.jpg</t>
        </is>
      </c>
      <c r="B2223">
        <f>HYPERLINK("Объекты недвижимости, не соответствующие градостроительным нормам_00-022_Август/fa1d3192-efe4-4778-a5f2-ae4d36d5505a.jpg","open")</f>
        <v/>
      </c>
      <c r="C2223" t="inlineStr">
        <is>
          <t>18a5c468-d9e6-4814-8477-1caf4a2e1fe9</t>
        </is>
      </c>
      <c r="D2223" t="n">
        <v>55.76226</v>
      </c>
      <c r="E2223" t="n">
        <v>37.6731</v>
      </c>
      <c r="F2223" t="inlineStr"/>
      <c r="G2223" t="inlineStr"/>
      <c r="H2223" t="inlineStr"/>
    </row>
    <row r="2224">
      <c r="A2224" t="inlineStr">
        <is>
          <t>4ee3e9a3-e6b9-4a96-b364-4af39d789aae.jpg</t>
        </is>
      </c>
      <c r="B2224">
        <f>HYPERLINK("Объекты недвижимости, не соответствующие градостроительным нормам_00-022_Август/4ee3e9a3-e6b9-4a96-b364-4af39d789aae.jpg","open")</f>
        <v/>
      </c>
      <c r="C2224" t="inlineStr">
        <is>
          <t>d2c4eccd-3e4b-406c-a903-0f5e43d0be35</t>
        </is>
      </c>
      <c r="D2224" t="n">
        <v>55.76226</v>
      </c>
      <c r="E2224" t="n">
        <v>37.6731</v>
      </c>
      <c r="F2224" t="inlineStr"/>
      <c r="G2224" t="inlineStr"/>
      <c r="H2224" t="inlineStr"/>
    </row>
    <row r="2225">
      <c r="A2225" t="inlineStr">
        <is>
          <t>a0497c4e-f695-4904-b299-db26c2eabf33.jpg</t>
        </is>
      </c>
      <c r="B2225">
        <f>HYPERLINK("Объекты недвижимости, не соответствующие градостроительным нормам_00-022_Август/a0497c4e-f695-4904-b299-db26c2eabf33.jpg","open")</f>
        <v/>
      </c>
      <c r="C2225" t="inlineStr">
        <is>
          <t>5e5b9944-4f9e-4223-bf96-0bc0c8a93dfa</t>
        </is>
      </c>
      <c r="D2225" t="n">
        <v>55.68135</v>
      </c>
      <c r="E2225" t="n">
        <v>37.62658</v>
      </c>
      <c r="F2225" t="inlineStr"/>
      <c r="G2225" t="inlineStr"/>
      <c r="H2225" t="inlineStr"/>
    </row>
    <row r="2226">
      <c r="A2226" t="inlineStr">
        <is>
          <t>cb3589ad-22cf-4adc-9731-9547447a785a.jpg</t>
        </is>
      </c>
      <c r="B2226">
        <f>HYPERLINK("Объекты недвижимости, не соответствующие градостроительным нормам_00-022_Август/cb3589ad-22cf-4adc-9731-9547447a785a.jpg","open")</f>
        <v/>
      </c>
      <c r="C2226" t="inlineStr">
        <is>
          <t>18a5c468-d9e6-4814-8477-1caf4a2e1fe9</t>
        </is>
      </c>
      <c r="D2226" t="n">
        <v>55.76226</v>
      </c>
      <c r="E2226" t="n">
        <v>37.6731</v>
      </c>
      <c r="F2226" t="inlineStr"/>
      <c r="G2226" t="inlineStr"/>
      <c r="H2226" t="inlineStr"/>
    </row>
    <row r="2227">
      <c r="A2227" t="inlineStr">
        <is>
          <t>c9922289-8d89-4487-9053-7b685f17400c.jpg</t>
        </is>
      </c>
      <c r="B2227">
        <f>HYPERLINK("Объекты недвижимости, не соответствующие градостроительным нормам_00-022_Август/c9922289-8d89-4487-9053-7b685f17400c.jpg","open")</f>
        <v/>
      </c>
      <c r="C2227" t="inlineStr">
        <is>
          <t>5adecbcf-6742-48b8-951f-8e3abc9509e4</t>
        </is>
      </c>
      <c r="D2227" t="n">
        <v>55.68135</v>
      </c>
      <c r="E2227" t="n">
        <v>37.62658</v>
      </c>
      <c r="F2227" t="inlineStr"/>
      <c r="G2227" t="inlineStr"/>
      <c r="H2227" t="inlineStr"/>
    </row>
    <row r="2228">
      <c r="A2228" t="inlineStr">
        <is>
          <t>36b9fac8-9299-4b47-8250-f4cfc7917076.jpg</t>
        </is>
      </c>
      <c r="B2228">
        <f>HYPERLINK("Объекты недвижимости, не соответствующие градостроительным нормам_00-022_Август/36b9fac8-9299-4b47-8250-f4cfc7917076.jpg","open")</f>
        <v/>
      </c>
      <c r="C2228" t="inlineStr">
        <is>
          <t>f60286ac-55e7-4099-85bd-cc599a7a0c65</t>
        </is>
      </c>
      <c r="D2228" t="n">
        <v>55.79905</v>
      </c>
      <c r="E2228" t="n">
        <v>37.71952</v>
      </c>
      <c r="F2228" t="inlineStr"/>
      <c r="G2228" t="inlineStr"/>
      <c r="H2228" t="inlineStr"/>
    </row>
    <row r="2229">
      <c r="A2229" t="inlineStr">
        <is>
          <t>0548182a-497a-4e0b-8345-129e8fd3414d.jpg</t>
        </is>
      </c>
      <c r="B2229">
        <f>HYPERLINK("Объекты недвижимости, не соответствующие градостроительным нормам_00-022_Август/0548182a-497a-4e0b-8345-129e8fd3414d.jpg","open")</f>
        <v/>
      </c>
      <c r="C2229" t="inlineStr">
        <is>
          <t>f60286ac-55e7-4099-85bd-cc599a7a0c65</t>
        </is>
      </c>
      <c r="D2229" t="n">
        <v>55.79929</v>
      </c>
      <c r="E2229" t="n">
        <v>37.71937</v>
      </c>
      <c r="F2229" t="inlineStr"/>
      <c r="G2229" t="inlineStr"/>
      <c r="H2229" t="inlineStr"/>
    </row>
    <row r="2230">
      <c r="A2230" t="inlineStr">
        <is>
          <t>e2f92589-2047-4033-862c-b2085a8b69fe.jpg</t>
        </is>
      </c>
      <c r="B2230">
        <f>HYPERLINK("Объекты недвижимости, не соответствующие градостроительным нормам_00-022_Август/e2f92589-2047-4033-862c-b2085a8b69fe.jpg","open")</f>
        <v/>
      </c>
      <c r="C2230" t="inlineStr">
        <is>
          <t>a28f597e-d1cd-4d3b-b572-c86d033412e9</t>
        </is>
      </c>
      <c r="D2230" t="n">
        <v>55.70512</v>
      </c>
      <c r="E2230" t="n">
        <v>37.47617</v>
      </c>
      <c r="F2230" t="inlineStr"/>
      <c r="G2230" t="inlineStr"/>
      <c r="H2230" t="inlineStr"/>
    </row>
    <row r="2231">
      <c r="A2231" t="inlineStr">
        <is>
          <t>c840e355-c100-42b8-a02a-d1a21171f652.jpg</t>
        </is>
      </c>
      <c r="B2231">
        <f>HYPERLINK("Объекты недвижимости, не соответствующие градостроительным нормам_00-022_Август/c840e355-c100-42b8-a02a-d1a21171f652.jpg","open")</f>
        <v/>
      </c>
      <c r="C2231" t="inlineStr">
        <is>
          <t>a28f597e-d1cd-4d3b-b572-c86d033412e9</t>
        </is>
      </c>
      <c r="D2231" t="n">
        <v>55.70517</v>
      </c>
      <c r="E2231" t="n">
        <v>37.47603</v>
      </c>
      <c r="F2231" t="inlineStr"/>
      <c r="G2231" t="inlineStr"/>
      <c r="H2231" t="inlineStr"/>
    </row>
    <row r="2232">
      <c r="A2232" t="inlineStr">
        <is>
          <t>5b1b0be7-f3a5-4a31-b999-51063dd08825.jpg</t>
        </is>
      </c>
      <c r="B2232">
        <f>HYPERLINK("Объекты недвижимости, не соответствующие градостроительным нормам_00-022_Август/5b1b0be7-f3a5-4a31-b999-51063dd08825.jpg","open")</f>
        <v/>
      </c>
      <c r="C2232" t="inlineStr">
        <is>
          <t>8cde1fd0-eca1-4510-86ab-3c743b65fdfc</t>
        </is>
      </c>
      <c r="D2232" t="n">
        <v>55.71454</v>
      </c>
      <c r="E2232" t="n">
        <v>37.85532</v>
      </c>
      <c r="F2232" t="inlineStr"/>
      <c r="G2232" t="inlineStr"/>
      <c r="H2232" t="inlineStr"/>
    </row>
    <row r="2233">
      <c r="A2233" t="inlineStr">
        <is>
          <t>cd39aad3-bca9-4b49-ac1e-a9f7a1150be7.jpg</t>
        </is>
      </c>
      <c r="B2233">
        <f>HYPERLINK("Объекты недвижимости, не соответствующие градостроительным нормам_00-022_Август/cd39aad3-bca9-4b49-ac1e-a9f7a1150be7.jpg","open")</f>
        <v/>
      </c>
      <c r="C2233" t="inlineStr">
        <is>
          <t>5e5b9944-4f9e-4223-bf96-0bc0c8a93dfa</t>
        </is>
      </c>
      <c r="D2233" t="n">
        <v>55.68135</v>
      </c>
      <c r="E2233" t="n">
        <v>37.62658</v>
      </c>
      <c r="F2233" t="inlineStr"/>
      <c r="G2233" t="inlineStr"/>
      <c r="H2233" t="inlineStr"/>
    </row>
    <row r="2234">
      <c r="A2234" t="inlineStr">
        <is>
          <t>11a91275-2613-4dd6-9f0a-c2774959629d.jpg</t>
        </is>
      </c>
      <c r="B2234">
        <f>HYPERLINK("Объекты недвижимости, не соответствующие градостроительным нормам_00-022_Август/11a91275-2613-4dd6-9f0a-c2774959629d.jpg","open")</f>
        <v/>
      </c>
      <c r="C2234" t="inlineStr">
        <is>
          <t>18a5c468-d9e6-4814-8477-1caf4a2e1fe9</t>
        </is>
      </c>
      <c r="D2234" t="n">
        <v>55.76226</v>
      </c>
      <c r="E2234" t="n">
        <v>37.6731</v>
      </c>
      <c r="F2234" t="inlineStr"/>
      <c r="G2234" t="inlineStr"/>
      <c r="H2234" t="inlineStr"/>
    </row>
    <row r="2235">
      <c r="A2235" t="inlineStr">
        <is>
          <t>052637c6-a09e-42dd-887f-c97a5daea482.jpg</t>
        </is>
      </c>
      <c r="B2235">
        <f>HYPERLINK("Объекты недвижимости, не соответствующие градостроительным нормам_00-022_Август/052637c6-a09e-42dd-887f-c97a5daea482.jpg","open")</f>
        <v/>
      </c>
      <c r="C2235" t="inlineStr">
        <is>
          <t>036c664f-5408-4fd0-b479-342c00468eeb</t>
        </is>
      </c>
      <c r="D2235" t="n">
        <v>55.70491</v>
      </c>
      <c r="E2235" t="n">
        <v>37.47487</v>
      </c>
      <c r="F2235" t="inlineStr"/>
      <c r="G2235" t="inlineStr"/>
      <c r="H2235" t="inlineStr"/>
    </row>
    <row r="2236">
      <c r="A2236" t="inlineStr">
        <is>
          <t>9e58bd90-0874-4dfe-abdc-8c23251afde9.jpg</t>
        </is>
      </c>
      <c r="B2236">
        <f>HYPERLINK("Объекты недвижимости, не соответствующие градостроительным нормам_00-022_Август/9e58bd90-0874-4dfe-abdc-8c23251afde9.jpg","open")</f>
        <v/>
      </c>
      <c r="C2236" t="inlineStr">
        <is>
          <t>a28f597e-d1cd-4d3b-b572-c86d033412e9</t>
        </is>
      </c>
      <c r="D2236" t="n">
        <v>55.70499</v>
      </c>
      <c r="E2236" t="n">
        <v>37.4748</v>
      </c>
      <c r="F2236" t="inlineStr"/>
      <c r="G2236" t="inlineStr"/>
      <c r="H2236" t="inlineStr"/>
    </row>
    <row r="2237">
      <c r="A2237" t="inlineStr">
        <is>
          <t>1f56f777-76d6-4926-9b47-70748db75288.jpg</t>
        </is>
      </c>
      <c r="B2237">
        <f>HYPERLINK("Объекты недвижимости, не соответствующие градостроительным нормам_00-022_Август/1f56f777-76d6-4926-9b47-70748db75288.jpg","open")</f>
        <v/>
      </c>
      <c r="C2237" t="inlineStr">
        <is>
          <t>036c664f-5408-4fd0-b479-342c00468eeb</t>
        </is>
      </c>
      <c r="D2237" t="n">
        <v>55.7051</v>
      </c>
      <c r="E2237" t="n">
        <v>37.47502</v>
      </c>
      <c r="F2237" t="inlineStr"/>
      <c r="G2237" t="inlineStr"/>
      <c r="H2237" t="inlineStr"/>
    </row>
    <row r="2238">
      <c r="A2238" t="inlineStr">
        <is>
          <t>956b9a3c-d4b8-4a8a-8d57-ced76719b28a.jpg</t>
        </is>
      </c>
      <c r="B2238">
        <f>HYPERLINK("Объекты недвижимости, не соответствующие градостроительным нормам_00-022_Август/956b9a3c-d4b8-4a8a-8d57-ced76719b28a.jpg","open")</f>
        <v/>
      </c>
      <c r="C2238" t="inlineStr">
        <is>
          <t>036c664f-5408-4fd0-b479-342c00468eeb</t>
        </is>
      </c>
      <c r="D2238" t="n">
        <v>55.70504</v>
      </c>
      <c r="E2238" t="n">
        <v>37.47514</v>
      </c>
      <c r="F2238" t="inlineStr"/>
      <c r="G2238" t="inlineStr"/>
      <c r="H2238" t="inlineStr"/>
    </row>
    <row r="2239">
      <c r="A2239" t="inlineStr">
        <is>
          <t>92d45de3-e356-4fbc-8109-a7a9291b67e7.jpg</t>
        </is>
      </c>
      <c r="B2239">
        <f>HYPERLINK("Объекты недвижимости, не соответствующие градостроительным нормам_00-022_Август/92d45de3-e356-4fbc-8109-a7a9291b67e7.jpg","open")</f>
        <v/>
      </c>
      <c r="C2239" t="inlineStr">
        <is>
          <t>a28f597e-d1cd-4d3b-b572-c86d033412e9</t>
        </is>
      </c>
      <c r="D2239" t="n">
        <v>55.70481</v>
      </c>
      <c r="E2239" t="n">
        <v>37.47496</v>
      </c>
      <c r="F2239" t="inlineStr"/>
      <c r="G2239" t="inlineStr"/>
      <c r="H2239" t="inlineStr"/>
    </row>
    <row r="2240">
      <c r="A2240" t="inlineStr">
        <is>
          <t>6e9fb484-236a-46ac-a3fc-9c364acf871c.jpg</t>
        </is>
      </c>
      <c r="B2240">
        <f>HYPERLINK("Объекты недвижимости, не соответствующие градостроительным нормам_00-022_Август/6e9fb484-236a-46ac-a3fc-9c364acf871c.jpg","open")</f>
        <v/>
      </c>
      <c r="C2240" t="inlineStr">
        <is>
          <t>ffd931da-542f-43e9-979f-5552b17fe3dc</t>
        </is>
      </c>
      <c r="D2240" t="n">
        <v>55.80495</v>
      </c>
      <c r="E2240" t="n">
        <v>37.71656</v>
      </c>
      <c r="F2240" t="inlineStr"/>
      <c r="G2240" t="inlineStr"/>
      <c r="H2240" t="inlineStr"/>
    </row>
    <row r="2241">
      <c r="A2241" t="inlineStr">
        <is>
          <t>a79047ff-ee8a-460f-bb70-677ced53edad.jpg</t>
        </is>
      </c>
      <c r="B2241">
        <f>HYPERLINK("Объекты недвижимости, не соответствующие градостроительным нормам_00-022_Август/a79047ff-ee8a-460f-bb70-677ced53edad.jpg","open")</f>
        <v/>
      </c>
      <c r="C2241" t="inlineStr">
        <is>
          <t>5adecbcf-6742-48b8-951f-8e3abc9509e4</t>
        </is>
      </c>
      <c r="D2241" t="n">
        <v>55.71005</v>
      </c>
      <c r="E2241" t="n">
        <v>37.59734</v>
      </c>
      <c r="F2241" t="inlineStr"/>
      <c r="G2241" t="inlineStr"/>
      <c r="H2241" t="inlineStr"/>
    </row>
    <row r="2242">
      <c r="A2242" t="inlineStr">
        <is>
          <t>3af148ac-0d5e-411c-9091-59069b536eea.jpg</t>
        </is>
      </c>
      <c r="B2242">
        <f>HYPERLINK("Объекты недвижимости, не соответствующие градостроительным нормам_00-022_Август/3af148ac-0d5e-411c-9091-59069b536eea.jpg","open")</f>
        <v/>
      </c>
      <c r="C2242" t="inlineStr">
        <is>
          <t>5e5b9944-4f9e-4223-bf96-0bc0c8a93dfa</t>
        </is>
      </c>
      <c r="D2242" t="n">
        <v>55.71003</v>
      </c>
      <c r="E2242" t="n">
        <v>37.5975</v>
      </c>
      <c r="F2242" t="inlineStr"/>
      <c r="G2242" t="inlineStr"/>
      <c r="H2242" t="inlineStr"/>
    </row>
    <row r="2243">
      <c r="A2243" t="inlineStr">
        <is>
          <t>91566203-dd43-46c5-adc6-19c2d94da761.jpg</t>
        </is>
      </c>
      <c r="B2243">
        <f>HYPERLINK("Объекты недвижимости, не соответствующие градостроительным нормам_00-022_Август/91566203-dd43-46c5-adc6-19c2d94da761.jpg","open")</f>
        <v/>
      </c>
      <c r="C2243" t="inlineStr">
        <is>
          <t>1a55986c-2c3f-40c0-b3d1-014dce77832e</t>
        </is>
      </c>
      <c r="D2243" t="n">
        <v>55.86991</v>
      </c>
      <c r="E2243" t="n">
        <v>37.58669</v>
      </c>
      <c r="F2243" t="inlineStr"/>
      <c r="G2243" t="inlineStr"/>
      <c r="H2243" t="inlineStr"/>
    </row>
    <row r="2244">
      <c r="A2244" t="inlineStr">
        <is>
          <t>085f776e-0bc5-4d05-bc44-7dcd05bbf9d1.jpg</t>
        </is>
      </c>
      <c r="B2244">
        <f>HYPERLINK("Объекты недвижимости, не соответствующие градостроительным нормам_00-022_Август/085f776e-0bc5-4d05-bc44-7dcd05bbf9d1.jpg","open")</f>
        <v/>
      </c>
      <c r="C2244" t="inlineStr">
        <is>
          <t>5adecbcf-6742-48b8-951f-8e3abc9509e4</t>
        </is>
      </c>
      <c r="D2244" t="n">
        <v>55.71064</v>
      </c>
      <c r="E2244" t="n">
        <v>37.60235</v>
      </c>
      <c r="F2244" t="inlineStr"/>
      <c r="G2244" t="inlineStr"/>
      <c r="H2244" t="inlineStr"/>
    </row>
    <row r="2245">
      <c r="A2245" t="inlineStr">
        <is>
          <t>31219a6f-edfe-4497-aed8-8c60183da9cd.jpg</t>
        </is>
      </c>
      <c r="B2245">
        <f>HYPERLINK("Объекты недвижимости, не соответствующие градостроительным нормам_00-022_Август/31219a6f-edfe-4497-aed8-8c60183da9cd.jpg","open")</f>
        <v/>
      </c>
      <c r="C2245" t="inlineStr">
        <is>
          <t>5e5b9944-4f9e-4223-bf96-0bc0c8a93dfa</t>
        </is>
      </c>
      <c r="D2245" t="n">
        <v>55.71118</v>
      </c>
      <c r="E2245" t="n">
        <v>37.61162</v>
      </c>
      <c r="F2245" t="inlineStr"/>
      <c r="G2245" t="inlineStr"/>
      <c r="H2245" t="inlineStr"/>
    </row>
    <row r="2246">
      <c r="A2246" t="inlineStr">
        <is>
          <t>7d5e41a0-9cfc-4ae3-8028-3e81bc99fde2.jpg</t>
        </is>
      </c>
      <c r="B2246">
        <f>HYPERLINK("Объекты недвижимости, не соответствующие градостроительным нормам_00-022_Август/7d5e41a0-9cfc-4ae3-8028-3e81bc99fde2.jpg","open")</f>
        <v/>
      </c>
      <c r="C2246" t="inlineStr">
        <is>
          <t>5adecbcf-6742-48b8-951f-8e3abc9509e4</t>
        </is>
      </c>
      <c r="D2246" t="n">
        <v>55.71118</v>
      </c>
      <c r="E2246" t="n">
        <v>37.61162</v>
      </c>
      <c r="F2246" t="inlineStr"/>
      <c r="G2246" t="inlineStr"/>
      <c r="H2246" t="inlineStr"/>
    </row>
    <row r="2247">
      <c r="A2247" t="inlineStr">
        <is>
          <t>0098ccc4-7637-48e2-a8c6-7f611bbffc0d.jpg</t>
        </is>
      </c>
      <c r="B2247">
        <f>HYPERLINK("Объекты недвижимости, не соответствующие градостроительным нормам_00-022_Август/0098ccc4-7637-48e2-a8c6-7f611bbffc0d.jpg","open")</f>
        <v/>
      </c>
      <c r="C2247" t="inlineStr">
        <is>
          <t>789f6c51-64ee-4078-b7bd-443af8b8b68a</t>
        </is>
      </c>
      <c r="D2247" t="n">
        <v>55.79515</v>
      </c>
      <c r="E2247" t="n">
        <v>37.62648</v>
      </c>
      <c r="F2247" t="inlineStr"/>
      <c r="G2247" t="inlineStr"/>
      <c r="H2247" t="inlineStr"/>
    </row>
    <row r="2248">
      <c r="A2248" t="inlineStr">
        <is>
          <t>b7d5b0b5-eb2f-49f5-99c8-1d4e3933e61c.jpg</t>
        </is>
      </c>
      <c r="B2248">
        <f>HYPERLINK("Объекты недвижимости, не соответствующие градостроительным нормам_00-022_Август/b7d5b0b5-eb2f-49f5-99c8-1d4e3933e61c.jpg","open")</f>
        <v/>
      </c>
      <c r="C2248" t="inlineStr">
        <is>
          <t>5adecbcf-6742-48b8-951f-8e3abc9509e4</t>
        </is>
      </c>
      <c r="D2248" t="n">
        <v>55.71119</v>
      </c>
      <c r="E2248" t="n">
        <v>37.61794</v>
      </c>
      <c r="F2248" t="inlineStr"/>
      <c r="G2248" t="inlineStr"/>
      <c r="H2248" t="inlineStr"/>
    </row>
    <row r="2249">
      <c r="A2249" t="inlineStr">
        <is>
          <t>a9c651f7-f9eb-40b8-b991-b04ba1a35b3e.jpg</t>
        </is>
      </c>
      <c r="B2249">
        <f>HYPERLINK("Объекты недвижимости, не соответствующие градостроительным нормам_00-022_Август/a9c651f7-f9eb-40b8-b991-b04ba1a35b3e.jpg","open")</f>
        <v/>
      </c>
      <c r="C2249" t="inlineStr">
        <is>
          <t>ed2bf0f1-3a66-4913-896e-4420a9796c0b</t>
        </is>
      </c>
      <c r="D2249" t="n">
        <v>55.87281</v>
      </c>
      <c r="E2249" t="n">
        <v>37.60023</v>
      </c>
      <c r="F2249" t="inlineStr"/>
      <c r="G2249" t="inlineStr"/>
      <c r="H2249" t="inlineStr"/>
    </row>
    <row r="2250">
      <c r="A2250" t="inlineStr">
        <is>
          <t>ead821ce-5465-4672-935d-9bb20f79ac7e.jpg</t>
        </is>
      </c>
      <c r="B2250">
        <f>HYPERLINK("Объекты недвижимости, не соответствующие градостроительным нормам_00-022_Август/ead821ce-5465-4672-935d-9bb20f79ac7e.jpg","open")</f>
        <v/>
      </c>
      <c r="C2250" t="inlineStr">
        <is>
          <t>1a55986c-2c3f-40c0-b3d1-014dce77832e</t>
        </is>
      </c>
      <c r="D2250" t="n">
        <v>55.87466</v>
      </c>
      <c r="E2250" t="n">
        <v>37.60891</v>
      </c>
      <c r="F2250" t="inlineStr"/>
      <c r="G2250" t="inlineStr"/>
      <c r="H2250" t="inlineStr"/>
    </row>
    <row r="2251">
      <c r="A2251" t="inlineStr">
        <is>
          <t>e0d59d3a-349f-4399-b007-6b3f035a5d3e.jpg</t>
        </is>
      </c>
      <c r="B2251">
        <f>HYPERLINK("Объекты недвижимости, не соответствующие градостроительным нормам_00-022_Август/e0d59d3a-349f-4399-b007-6b3f035a5d3e.jpg","open")</f>
        <v/>
      </c>
      <c r="C2251" t="inlineStr">
        <is>
          <t>ed2bf0f1-3a66-4913-896e-4420a9796c0b</t>
        </is>
      </c>
      <c r="D2251" t="n">
        <v>55.86476</v>
      </c>
      <c r="E2251" t="n">
        <v>37.62738</v>
      </c>
      <c r="F2251" t="inlineStr"/>
      <c r="G2251" t="inlineStr"/>
      <c r="H2251" t="inlineStr"/>
    </row>
    <row r="2252">
      <c r="A2252" t="inlineStr">
        <is>
          <t>c825f48c-ba7c-46cb-9b46-b09471e1a91e.jpg</t>
        </is>
      </c>
      <c r="B2252">
        <f>HYPERLINK("Объекты недвижимости, не соответствующие градостроительным нормам_00-022_Август/c825f48c-ba7c-46cb-9b46-b09471e1a91e.jpg","open")</f>
        <v/>
      </c>
      <c r="C2252" t="inlineStr">
        <is>
          <t>5e5b9944-4f9e-4223-bf96-0bc0c8a93dfa</t>
        </is>
      </c>
      <c r="D2252" t="n">
        <v>55.71119</v>
      </c>
      <c r="E2252" t="n">
        <v>37.61794</v>
      </c>
      <c r="F2252" t="inlineStr"/>
      <c r="G2252" t="inlineStr"/>
      <c r="H2252" t="inlineStr"/>
    </row>
    <row r="2253">
      <c r="A2253" t="inlineStr">
        <is>
          <t>696a9a01-d0a5-48a8-9fa3-41bae336bc77.jpg</t>
        </is>
      </c>
      <c r="B2253">
        <f>HYPERLINK("Объекты недвижимости, не соответствующие градостроительным нормам_00-022_Август/696a9a01-d0a5-48a8-9fa3-41bae336bc77.jpg","open")</f>
        <v/>
      </c>
      <c r="C2253" t="inlineStr">
        <is>
          <t>a28f597e-d1cd-4d3b-b572-c86d033412e9</t>
        </is>
      </c>
      <c r="D2253" t="n">
        <v>55.70354</v>
      </c>
      <c r="E2253" t="n">
        <v>37.4688</v>
      </c>
      <c r="F2253" t="inlineStr"/>
      <c r="G2253" t="inlineStr"/>
      <c r="H2253" t="inlineStr"/>
    </row>
    <row r="2254">
      <c r="A2254" t="inlineStr">
        <is>
          <t>b415f32f-1ec5-46fd-afec-6b1338a75e07.jpg</t>
        </is>
      </c>
      <c r="B2254">
        <f>HYPERLINK("Объекты недвижимости, не соответствующие градостроительным нормам_00-022_Август/b415f32f-1ec5-46fd-afec-6b1338a75e07.jpg","open")</f>
        <v/>
      </c>
      <c r="C2254" t="inlineStr">
        <is>
          <t>e26f5fc2-1353-4f29-85f3-87c56419161c</t>
        </is>
      </c>
      <c r="D2254" t="n">
        <v>56.17833</v>
      </c>
      <c r="E2254" t="n">
        <v>37.4353</v>
      </c>
      <c r="F2254" t="inlineStr"/>
      <c r="G2254" t="inlineStr"/>
      <c r="H2254" t="inlineStr"/>
    </row>
    <row r="2255">
      <c r="A2255" t="inlineStr">
        <is>
          <t>96ea36c5-2400-4710-9d4a-8010932df417.jpg</t>
        </is>
      </c>
      <c r="B2255">
        <f>HYPERLINK("Объекты недвижимости, не соответствующие градостроительным нормам_00-022_Август/96ea36c5-2400-4710-9d4a-8010932df417.jpg","open")</f>
        <v/>
      </c>
      <c r="C2255" t="inlineStr">
        <is>
          <t>036c664f-5408-4fd0-b479-342c00468eeb</t>
        </is>
      </c>
      <c r="D2255" t="n">
        <v>55.70354</v>
      </c>
      <c r="E2255" t="n">
        <v>37.4688</v>
      </c>
      <c r="F2255" t="inlineStr"/>
      <c r="G2255" t="inlineStr"/>
      <c r="H2255" t="inlineStr"/>
    </row>
    <row r="2256">
      <c r="A2256" t="inlineStr">
        <is>
          <t>71d78015-c94e-4ec1-8519-dd2abe52ad1f.jpg</t>
        </is>
      </c>
      <c r="B2256">
        <f>HYPERLINK("Объекты недвижимости, не соответствующие градостроительным нормам_00-022_Август/71d78015-c94e-4ec1-8519-dd2abe52ad1f.jpg","open")</f>
        <v/>
      </c>
      <c r="C2256" t="inlineStr">
        <is>
          <t>cbf95b01-f708-45a3-9ec0-3603469b538e</t>
        </is>
      </c>
      <c r="D2256" t="n">
        <v>55.83478</v>
      </c>
      <c r="E2256" t="n">
        <v>37.64966</v>
      </c>
      <c r="F2256" t="inlineStr"/>
      <c r="G2256" t="inlineStr"/>
      <c r="H2256" t="inlineStr"/>
    </row>
    <row r="2257">
      <c r="A2257" t="inlineStr">
        <is>
          <t>d08a6a6d-fa17-438a-b89c-a350818847fc.jpg</t>
        </is>
      </c>
      <c r="B2257">
        <f>HYPERLINK("Объекты недвижимости, не соответствующие градостроительным нормам_00-022_Август/d08a6a6d-fa17-438a-b89c-a350818847fc.jpg","open")</f>
        <v/>
      </c>
      <c r="C2257" t="inlineStr">
        <is>
          <t>db8b536c-32f2-4d9a-ae08-679d227e61f1</t>
        </is>
      </c>
      <c r="D2257" t="n">
        <v>55.68409</v>
      </c>
      <c r="E2257" t="n">
        <v>37.56028</v>
      </c>
      <c r="F2257" t="inlineStr"/>
      <c r="G2257" t="inlineStr"/>
      <c r="H2257" t="inlineStr"/>
    </row>
    <row r="2258">
      <c r="A2258" t="inlineStr">
        <is>
          <t>31c66009-9037-4e8a-b633-1f0d88a87e64.jpg</t>
        </is>
      </c>
      <c r="B2258">
        <f>HYPERLINK("Объекты недвижимости, не соответствующие градостроительным нормам_00-022_Август/31c66009-9037-4e8a-b633-1f0d88a87e64.jpg","open")</f>
        <v/>
      </c>
      <c r="C2258" t="inlineStr">
        <is>
          <t>29ad9edb-d533-4272-a986-be24eb004851</t>
        </is>
      </c>
      <c r="D2258" t="n">
        <v>55.78152</v>
      </c>
      <c r="E2258" t="n">
        <v>37.66844</v>
      </c>
      <c r="F2258" t="inlineStr"/>
      <c r="G2258" t="inlineStr"/>
      <c r="H2258" t="inlineStr"/>
    </row>
    <row r="2259">
      <c r="A2259" t="inlineStr">
        <is>
          <t>d6f4ef93-baff-4031-addd-7babd435f6c4.jpg</t>
        </is>
      </c>
      <c r="B2259">
        <f>HYPERLINK("Объекты недвижимости, не соответствующие градостроительным нормам_00-022_Август/d6f4ef93-baff-4031-addd-7babd435f6c4.jpg","open")</f>
        <v/>
      </c>
      <c r="C2259" t="inlineStr">
        <is>
          <t>cbf95b01-f708-45a3-9ec0-3603469b538e</t>
        </is>
      </c>
      <c r="D2259" t="n">
        <v>55.74818</v>
      </c>
      <c r="E2259" t="n">
        <v>37.64285</v>
      </c>
      <c r="F2259" t="inlineStr"/>
      <c r="G2259" t="inlineStr"/>
      <c r="H2259" t="inlineStr"/>
    </row>
    <row r="2260">
      <c r="A2260" t="inlineStr">
        <is>
          <t>1e8b572f-114f-42ba-abf1-bd8668c525bf.jpg</t>
        </is>
      </c>
      <c r="B2260">
        <f>HYPERLINK("Объекты недвижимости, не соответствующие градостроительным нормам_00-022_Август/1e8b572f-114f-42ba-abf1-bd8668c525bf.jpg","open")</f>
        <v/>
      </c>
      <c r="C2260" t="inlineStr">
        <is>
          <t>cbf95b01-f708-45a3-9ec0-3603469b538e</t>
        </is>
      </c>
      <c r="D2260" t="n">
        <v>55.74834</v>
      </c>
      <c r="E2260" t="n">
        <v>37.64276</v>
      </c>
      <c r="F2260" t="inlineStr"/>
      <c r="G2260" t="inlineStr"/>
      <c r="H2260" t="inlineStr"/>
    </row>
    <row r="2261">
      <c r="A2261" t="inlineStr">
        <is>
          <t>9ab9d574-0522-4db6-a3c8-9ca3e07e192c.jpg</t>
        </is>
      </c>
      <c r="B2261">
        <f>HYPERLINK("Объекты недвижимости, не соответствующие градостроительным нормам_00-022_Август/9ab9d574-0522-4db6-a3c8-9ca3e07e192c.jpg","open")</f>
        <v/>
      </c>
      <c r="C2261" t="inlineStr">
        <is>
          <t>ed2bf0f1-3a66-4913-896e-4420a9796c0b</t>
        </is>
      </c>
      <c r="D2261" t="n">
        <v>55.84851</v>
      </c>
      <c r="E2261" t="n">
        <v>37.59717</v>
      </c>
      <c r="F2261" t="inlineStr"/>
      <c r="G2261" t="inlineStr"/>
      <c r="H2261" t="inlineStr"/>
    </row>
    <row r="2262">
      <c r="A2262" t="inlineStr">
        <is>
          <t>c609e87d-e695-4e72-964f-87462123dbe9.jpg</t>
        </is>
      </c>
      <c r="B2262">
        <f>HYPERLINK("Объекты недвижимости, не соответствующие градостроительным нормам_00-022_Август/c609e87d-e695-4e72-964f-87462123dbe9.jpg","open")</f>
        <v/>
      </c>
      <c r="C2262" t="inlineStr">
        <is>
          <t>9f88688f-4c81-42a8-b76a-3c3e7edf869e</t>
        </is>
      </c>
      <c r="D2262" t="n">
        <v>55.96488</v>
      </c>
      <c r="E2262" t="n">
        <v>37.42172</v>
      </c>
      <c r="F2262" t="inlineStr"/>
      <c r="G2262" t="inlineStr"/>
      <c r="H2262" t="inlineStr"/>
    </row>
    <row r="2263">
      <c r="A2263" t="inlineStr">
        <is>
          <t>212dc01b-4039-4253-96bb-601f4edff142.jpg</t>
        </is>
      </c>
      <c r="B2263">
        <f>HYPERLINK("Объекты недвижимости, не соответствующие градостроительным нормам_00-022_Август/212dc01b-4039-4253-96bb-601f4edff142.jpg","open")</f>
        <v/>
      </c>
      <c r="C2263" t="inlineStr">
        <is>
          <t>a1a9db89-3f74-42ef-8fad-ad69705102cd</t>
        </is>
      </c>
      <c r="D2263" t="n">
        <v>55.75254</v>
      </c>
      <c r="E2263" t="n">
        <v>37.6428</v>
      </c>
      <c r="F2263" t="inlineStr"/>
      <c r="G2263" t="inlineStr"/>
      <c r="H2263" t="inlineStr"/>
    </row>
    <row r="2264">
      <c r="A2264" t="inlineStr">
        <is>
          <t>272d39c9-0e1c-4cc7-b8be-d62f01197477.jpg</t>
        </is>
      </c>
      <c r="B2264">
        <f>HYPERLINK("Объекты недвижимости, не соответствующие градостроительным нормам_00-022_Август/272d39c9-0e1c-4cc7-b8be-d62f01197477.jpg","open")</f>
        <v/>
      </c>
      <c r="C2264" t="inlineStr">
        <is>
          <t>1a55986c-2c3f-40c0-b3d1-014dce77832e</t>
        </is>
      </c>
      <c r="D2264" t="n">
        <v>55.84866</v>
      </c>
      <c r="E2264" t="n">
        <v>37.60814</v>
      </c>
      <c r="F2264" t="inlineStr"/>
      <c r="G2264" t="inlineStr"/>
      <c r="H2264" t="inlineStr"/>
    </row>
    <row r="2265">
      <c r="A2265" t="inlineStr">
        <is>
          <t>0dbe0e4e-92d7-4070-9303-0e03423e1304.jpg</t>
        </is>
      </c>
      <c r="B2265">
        <f>HYPERLINK("Объекты недвижимости, не соответствующие градостроительным нормам_00-022_Август/0dbe0e4e-92d7-4070-9303-0e03423e1304.jpg","open")</f>
        <v/>
      </c>
      <c r="C2265" t="inlineStr">
        <is>
          <t>1a55986c-2c3f-40c0-b3d1-014dce77832e</t>
        </is>
      </c>
      <c r="D2265" t="n">
        <v>55.84856</v>
      </c>
      <c r="E2265" t="n">
        <v>37.60828</v>
      </c>
      <c r="F2265" t="inlineStr"/>
      <c r="G2265" t="inlineStr"/>
      <c r="H2265" t="inlineStr"/>
    </row>
    <row r="2266">
      <c r="A2266" t="inlineStr">
        <is>
          <t>c0774783-fad7-4850-a9fd-e1a840de8307.jpg</t>
        </is>
      </c>
      <c r="B2266">
        <f>HYPERLINK("Объекты недвижимости, не соответствующие градостроительным нормам_00-022_Август/c0774783-fad7-4850-a9fd-e1a840de8307.jpg","open")</f>
        <v/>
      </c>
      <c r="C2266" t="inlineStr">
        <is>
          <t>1a55986c-2c3f-40c0-b3d1-014dce77832e</t>
        </is>
      </c>
      <c r="D2266" t="n">
        <v>55.84814</v>
      </c>
      <c r="E2266" t="n">
        <v>37.60886</v>
      </c>
      <c r="F2266" t="inlineStr"/>
      <c r="G2266" t="inlineStr"/>
      <c r="H2266" t="inlineStr"/>
    </row>
    <row r="2267">
      <c r="A2267" t="inlineStr">
        <is>
          <t>2ecb3206-1b34-411a-a38d-7301058a2fd8.jpg</t>
        </is>
      </c>
      <c r="B2267">
        <f>HYPERLINK("Объекты недвижимости, не соответствующие градостроительным нормам_00-022_Август/2ecb3206-1b34-411a-a38d-7301058a2fd8.jpg","open")</f>
        <v/>
      </c>
      <c r="C2267" t="inlineStr">
        <is>
          <t>1a55986c-2c3f-40c0-b3d1-014dce77832e</t>
        </is>
      </c>
      <c r="D2267" t="n">
        <v>55.84889</v>
      </c>
      <c r="E2267" t="n">
        <v>37.60799</v>
      </c>
      <c r="F2267" t="inlineStr"/>
      <c r="G2267" t="inlineStr"/>
      <c r="H2267" t="inlineStr"/>
    </row>
    <row r="2268">
      <c r="A2268" t="inlineStr">
        <is>
          <t>2dd5d222-fb30-4787-a34a-2fcafc2b037b.jpg</t>
        </is>
      </c>
      <c r="B2268">
        <f>HYPERLINK("Объекты недвижимости, не соответствующие градостроительным нормам_00-022_Август/2dd5d222-fb30-4787-a34a-2fcafc2b037b.jpg","open")</f>
        <v/>
      </c>
      <c r="C2268" t="inlineStr">
        <is>
          <t>ed2bf0f1-3a66-4913-896e-4420a9796c0b</t>
        </is>
      </c>
      <c r="D2268" t="n">
        <v>55.84896</v>
      </c>
      <c r="E2268" t="n">
        <v>37.60789</v>
      </c>
      <c r="F2268" t="inlineStr"/>
      <c r="G2268" t="inlineStr"/>
      <c r="H2268" t="inlineStr"/>
    </row>
    <row r="2269">
      <c r="A2269" t="inlineStr">
        <is>
          <t>aceaaa7a-c546-4d18-aee9-a5329a40b5cd.jpg</t>
        </is>
      </c>
      <c r="B2269">
        <f>HYPERLINK("Объекты недвижимости, не соответствующие градостроительным нормам_00-022_Август/aceaaa7a-c546-4d18-aee9-a5329a40b5cd.jpg","open")</f>
        <v/>
      </c>
      <c r="C2269" t="inlineStr">
        <is>
          <t>5e5b9944-4f9e-4223-bf96-0bc0c8a93dfa</t>
        </is>
      </c>
      <c r="D2269" t="n">
        <v>55.71119</v>
      </c>
      <c r="E2269" t="n">
        <v>37.61794</v>
      </c>
      <c r="F2269" t="inlineStr"/>
      <c r="G2269" t="inlineStr"/>
      <c r="H2269" t="inlineStr"/>
    </row>
    <row r="2270">
      <c r="A2270" t="inlineStr">
        <is>
          <t>c509f824-fd5f-481f-be86-d3cadfc6df16.jpg</t>
        </is>
      </c>
      <c r="B2270">
        <f>HYPERLINK("Объекты недвижимости, не соответствующие градостроительным нормам_00-022_Август/c509f824-fd5f-481f-be86-d3cadfc6df16.jpg","open")</f>
        <v/>
      </c>
      <c r="C2270" t="inlineStr">
        <is>
          <t>cbf95b01-f708-45a3-9ec0-3603469b538e</t>
        </is>
      </c>
      <c r="D2270" t="n">
        <v>55.75254</v>
      </c>
      <c r="E2270" t="n">
        <v>37.6428</v>
      </c>
      <c r="F2270" t="inlineStr"/>
      <c r="G2270" t="inlineStr"/>
      <c r="H2270" t="inlineStr"/>
    </row>
    <row r="2271">
      <c r="A2271" t="inlineStr">
        <is>
          <t>10e7ee62-2e08-4da3-a5db-fbe1e4d5efb1.jpg</t>
        </is>
      </c>
      <c r="B2271">
        <f>HYPERLINK("Объекты недвижимости, не соответствующие градостроительным нормам_00-022_Август/10e7ee62-2e08-4da3-a5db-fbe1e4d5efb1.jpg","open")</f>
        <v/>
      </c>
      <c r="C2271" t="inlineStr">
        <is>
          <t>2acfb2da-e3f6-464c-bd17-4b713522c142</t>
        </is>
      </c>
      <c r="D2271" t="n">
        <v>55.79961</v>
      </c>
      <c r="E2271" t="n">
        <v>37.62179</v>
      </c>
      <c r="F2271" t="inlineStr"/>
      <c r="G2271" t="inlineStr"/>
      <c r="H2271" t="inlineStr"/>
    </row>
    <row r="2272">
      <c r="A2272" t="inlineStr">
        <is>
          <t>bc4db56b-227f-4f36-89a6-4949328b00c9.jpg</t>
        </is>
      </c>
      <c r="B2272">
        <f>HYPERLINK("Объекты недвижимости, не соответствующие градостроительным нормам_00-022_Август/bc4db56b-227f-4f36-89a6-4949328b00c9.jpg","open")</f>
        <v/>
      </c>
      <c r="C2272" t="inlineStr">
        <is>
          <t>2acfb2da-e3f6-464c-bd17-4b713522c142</t>
        </is>
      </c>
      <c r="D2272" t="n">
        <v>55.79917</v>
      </c>
      <c r="E2272" t="n">
        <v>37.62095</v>
      </c>
      <c r="F2272" t="inlineStr"/>
      <c r="G2272" t="inlineStr"/>
      <c r="H2272" t="inlineStr"/>
    </row>
    <row r="2273">
      <c r="A2273" t="inlineStr">
        <is>
          <t>fdd54464-1dcd-4872-9d6e-8e48aa09890b.jpg</t>
        </is>
      </c>
      <c r="B2273">
        <f>HYPERLINK("Объекты недвижимости, не соответствующие градостроительным нормам_00-022_Август/fdd54464-1dcd-4872-9d6e-8e48aa09890b.jpg","open")</f>
        <v/>
      </c>
      <c r="C2273" t="inlineStr">
        <is>
          <t>789f6c51-64ee-4078-b7bd-443af8b8b68a</t>
        </is>
      </c>
      <c r="D2273" t="n">
        <v>55.79916</v>
      </c>
      <c r="E2273" t="n">
        <v>37.62097</v>
      </c>
      <c r="F2273" t="inlineStr"/>
      <c r="G2273" t="inlineStr"/>
      <c r="H2273" t="inlineStr"/>
    </row>
    <row r="2274">
      <c r="A2274" t="inlineStr">
        <is>
          <t>224bb706-32d9-444e-aeb8-ac6447ad9a05.jpg</t>
        </is>
      </c>
      <c r="B2274">
        <f>HYPERLINK("Объекты недвижимости, не соответствующие градостроительным нормам_00-022_Август/224bb706-32d9-444e-aeb8-ac6447ad9a05.jpg","open")</f>
        <v/>
      </c>
      <c r="C2274" t="inlineStr">
        <is>
          <t>9f88688f-4c81-42a8-b76a-3c3e7edf869e</t>
        </is>
      </c>
      <c r="D2274" t="n">
        <v>55.96488</v>
      </c>
      <c r="E2274" t="n">
        <v>37.42172</v>
      </c>
      <c r="F2274" t="inlineStr"/>
      <c r="G2274" t="inlineStr"/>
      <c r="H2274" t="inlineStr"/>
    </row>
    <row r="2275">
      <c r="A2275" t="inlineStr">
        <is>
          <t>7d7dd0af-ed7f-4f54-8098-502c7f008315.jpg</t>
        </is>
      </c>
      <c r="B2275">
        <f>HYPERLINK("Объекты недвижимости, не соответствующие градостроительным нормам_00-022_Август/7d7dd0af-ed7f-4f54-8098-502c7f008315.jpg","open")</f>
        <v/>
      </c>
      <c r="C2275" t="inlineStr">
        <is>
          <t>cbf95b01-f708-45a3-9ec0-3603469b538e</t>
        </is>
      </c>
      <c r="D2275" t="n">
        <v>55.75254</v>
      </c>
      <c r="E2275" t="n">
        <v>37.6428</v>
      </c>
      <c r="F2275" t="inlineStr"/>
      <c r="G2275" t="inlineStr"/>
      <c r="H2275" t="inlineStr"/>
    </row>
    <row r="2276">
      <c r="A2276" t="inlineStr">
        <is>
          <t>2a920d46-03ca-437d-b109-692f09a6b981.jpg</t>
        </is>
      </c>
      <c r="B2276">
        <f>HYPERLINK("Объекты недвижимости, не соответствующие градостроительным нормам_00-022_Август/2a920d46-03ca-437d-b109-692f09a6b981.jpg","open")</f>
        <v/>
      </c>
      <c r="C2276" t="inlineStr">
        <is>
          <t>cbf95b01-f708-45a3-9ec0-3603469b538e</t>
        </is>
      </c>
      <c r="D2276" t="n">
        <v>55.75254</v>
      </c>
      <c r="E2276" t="n">
        <v>37.6428</v>
      </c>
      <c r="F2276" t="inlineStr"/>
      <c r="G2276" t="inlineStr"/>
      <c r="H2276" t="inlineStr"/>
    </row>
    <row r="2277">
      <c r="A2277" t="inlineStr">
        <is>
          <t>4381d630-700a-4e9d-bcf3-c6a91e8c7817.jpg</t>
        </is>
      </c>
      <c r="B2277">
        <f>HYPERLINK("Объекты недвижимости, не соответствующие градостроительным нормам_00-022_Август/4381d630-700a-4e9d-bcf3-c6a91e8c7817.jpg","open")</f>
        <v/>
      </c>
      <c r="C2277" t="inlineStr">
        <is>
          <t>fce890a6-27da-4062-a046-08262a160ee6</t>
        </is>
      </c>
      <c r="D2277" t="n">
        <v>55.96488</v>
      </c>
      <c r="E2277" t="n">
        <v>37.42172</v>
      </c>
      <c r="F2277" t="inlineStr"/>
      <c r="G2277" t="inlineStr"/>
      <c r="H2277" t="inlineStr"/>
    </row>
    <row r="2278">
      <c r="A2278" t="inlineStr">
        <is>
          <t>0e62d9c0-b83a-4f5d-bb16-dbfbeea6e382.jpg</t>
        </is>
      </c>
      <c r="B2278">
        <f>HYPERLINK("Объекты недвижимости, не соответствующие градостроительным нормам_00-022_Август/0e62d9c0-b83a-4f5d-bb16-dbfbeea6e382.jpg","open")</f>
        <v/>
      </c>
      <c r="C2278" t="inlineStr">
        <is>
          <t>a1a9db89-3f74-42ef-8fad-ad69705102cd</t>
        </is>
      </c>
      <c r="D2278" t="n">
        <v>55.75254</v>
      </c>
      <c r="E2278" t="n">
        <v>37.6428</v>
      </c>
      <c r="F2278" t="inlineStr"/>
      <c r="G2278" t="inlineStr"/>
      <c r="H2278" t="inlineStr"/>
    </row>
    <row r="2279">
      <c r="A2279" t="inlineStr">
        <is>
          <t>24b736b6-ed0d-4d85-85b1-013afcb97c81.jpg</t>
        </is>
      </c>
      <c r="B2279">
        <f>HYPERLINK("Объекты недвижимости, не соответствующие градостроительным нормам_00-022_Август/24b736b6-ed0d-4d85-85b1-013afcb97c81.jpg","open")</f>
        <v/>
      </c>
      <c r="C2279" t="inlineStr">
        <is>
          <t>a1a9db89-3f74-42ef-8fad-ad69705102cd</t>
        </is>
      </c>
      <c r="D2279" t="n">
        <v>55.75254</v>
      </c>
      <c r="E2279" t="n">
        <v>37.6428</v>
      </c>
      <c r="F2279" t="inlineStr"/>
      <c r="G2279" t="inlineStr"/>
      <c r="H2279" t="inlineStr"/>
    </row>
    <row r="2280">
      <c r="A2280" t="inlineStr">
        <is>
          <t>4a19cd53-4707-40c0-8921-6422dd68130c.jpg</t>
        </is>
      </c>
      <c r="B2280">
        <f>HYPERLINK("Объекты недвижимости, не соответствующие градостроительным нормам_00-022_Август/4a19cd53-4707-40c0-8921-6422dd68130c.jpg","open")</f>
        <v/>
      </c>
      <c r="C2280" t="inlineStr">
        <is>
          <t>cbf95b01-f708-45a3-9ec0-3603469b538e</t>
        </is>
      </c>
      <c r="D2280" t="n">
        <v>55.75254</v>
      </c>
      <c r="E2280" t="n">
        <v>37.6428</v>
      </c>
      <c r="F2280" t="inlineStr"/>
      <c r="G2280" t="inlineStr"/>
      <c r="H2280" t="inlineStr"/>
    </row>
    <row r="2281">
      <c r="A2281" t="inlineStr">
        <is>
          <t>acb9129b-bcf1-4377-a719-5393c4d43618.jpg</t>
        </is>
      </c>
      <c r="B2281">
        <f>HYPERLINK("Объекты недвижимости, не соответствующие градостроительным нормам_00-022_Август/acb9129b-bcf1-4377-a719-5393c4d43618.jpg","open")</f>
        <v/>
      </c>
      <c r="C2281" t="inlineStr">
        <is>
          <t>cbf95b01-f708-45a3-9ec0-3603469b538e</t>
        </is>
      </c>
      <c r="D2281" t="n">
        <v>55.75254</v>
      </c>
      <c r="E2281" t="n">
        <v>37.6428</v>
      </c>
      <c r="F2281" t="inlineStr"/>
      <c r="G2281" t="inlineStr"/>
      <c r="H2281" t="inlineStr"/>
    </row>
    <row r="2282">
      <c r="A2282" t="inlineStr">
        <is>
          <t>3ca4cc83-9d19-4354-ad80-8a004fd28507.jpg</t>
        </is>
      </c>
      <c r="B2282">
        <f>HYPERLINK("Объекты недвижимости, не соответствующие градостроительным нормам_00-022_Август/3ca4cc83-9d19-4354-ad80-8a004fd28507.jpg","open")</f>
        <v/>
      </c>
      <c r="C2282" t="inlineStr">
        <is>
          <t>cbf95b01-f708-45a3-9ec0-3603469b538e</t>
        </is>
      </c>
      <c r="D2282" t="n">
        <v>55.75254</v>
      </c>
      <c r="E2282" t="n">
        <v>37.6428</v>
      </c>
      <c r="F2282" t="inlineStr"/>
      <c r="G2282" t="inlineStr"/>
      <c r="H2282" t="inlineStr"/>
    </row>
    <row r="2283">
      <c r="A2283" t="inlineStr">
        <is>
          <t>5796e47e-e733-4246-81e2-a14aff71a96f.jpg</t>
        </is>
      </c>
      <c r="B2283">
        <f>HYPERLINK("Объекты недвижимости, не соответствующие градостроительным нормам_00-022_Август/5796e47e-e733-4246-81e2-a14aff71a96f.jpg","open")</f>
        <v/>
      </c>
      <c r="C2283" t="inlineStr">
        <is>
          <t>a1a9db89-3f74-42ef-8fad-ad69705102cd</t>
        </is>
      </c>
      <c r="D2283" t="n">
        <v>55.75254</v>
      </c>
      <c r="E2283" t="n">
        <v>37.6428</v>
      </c>
      <c r="F2283" t="inlineStr"/>
      <c r="G2283" t="inlineStr"/>
      <c r="H2283" t="inlineStr"/>
    </row>
    <row r="2284">
      <c r="A2284" t="inlineStr">
        <is>
          <t>8a40b70d-ebc8-47a8-9e87-4557d6f0a80e.jpg</t>
        </is>
      </c>
      <c r="B2284">
        <f>HYPERLINK("Объекты недвижимости, не соответствующие градостроительным нормам_00-022_Август/8a40b70d-ebc8-47a8-9e87-4557d6f0a80e.jpg","open")</f>
        <v/>
      </c>
      <c r="C2284" t="inlineStr">
        <is>
          <t>2acfb2da-e3f6-464c-bd17-4b713522c142</t>
        </is>
      </c>
      <c r="D2284" t="n">
        <v>55.8</v>
      </c>
      <c r="E2284" t="n">
        <v>37.61728</v>
      </c>
      <c r="F2284" t="inlineStr"/>
      <c r="G2284" t="inlineStr"/>
      <c r="H2284" t="inlineStr"/>
    </row>
    <row r="2285">
      <c r="A2285" t="inlineStr">
        <is>
          <t>45af4da3-57e7-4b1b-82ab-bd1baf0957e8.jpg</t>
        </is>
      </c>
      <c r="B2285">
        <f>HYPERLINK("Объекты недвижимости, не соответствующие градостроительным нормам_00-022_Август/45af4da3-57e7-4b1b-82ab-bd1baf0957e8.jpg","open")</f>
        <v/>
      </c>
      <c r="C2285" t="inlineStr">
        <is>
          <t>789f6c51-64ee-4078-b7bd-443af8b8b68a</t>
        </is>
      </c>
      <c r="D2285" t="n">
        <v>55.80007</v>
      </c>
      <c r="E2285" t="n">
        <v>37.61635</v>
      </c>
      <c r="F2285" t="inlineStr"/>
      <c r="G2285" t="inlineStr"/>
      <c r="H2285" t="inlineStr"/>
    </row>
    <row r="2286">
      <c r="A2286" t="inlineStr">
        <is>
          <t>4ad37f95-8fd8-4236-8e3a-0f90f2d86a75.jpg</t>
        </is>
      </c>
      <c r="B2286">
        <f>HYPERLINK("Объекты недвижимости, не соответствующие градостроительным нормам_00-022_Август/4ad37f95-8fd8-4236-8e3a-0f90f2d86a75.jpg","open")</f>
        <v/>
      </c>
      <c r="C2286" t="inlineStr">
        <is>
          <t>2ba4f567-3981-4fd7-ac4a-45e8b3d68429</t>
        </is>
      </c>
      <c r="D2286" t="n">
        <v>55.75934</v>
      </c>
      <c r="E2286" t="n">
        <v>37.77962</v>
      </c>
      <c r="F2286" t="inlineStr"/>
      <c r="G2286" t="inlineStr"/>
      <c r="H2286" t="inlineStr"/>
    </row>
    <row r="2287">
      <c r="A2287" t="inlineStr">
        <is>
          <t>96044c47-17ee-4329-9f0a-1937e9795f61.jpg</t>
        </is>
      </c>
      <c r="B2287">
        <f>HYPERLINK("Объекты недвижимости, не соответствующие градостроительным нормам_00-022_Август/96044c47-17ee-4329-9f0a-1937e9795f61.jpg","open")</f>
        <v/>
      </c>
      <c r="C2287" t="inlineStr">
        <is>
          <t>ed2bf0f1-3a66-4913-896e-4420a9796c0b</t>
        </is>
      </c>
      <c r="D2287" t="n">
        <v>55.85753</v>
      </c>
      <c r="E2287" t="n">
        <v>37.60918</v>
      </c>
      <c r="F2287" t="inlineStr"/>
      <c r="G2287" t="inlineStr"/>
      <c r="H2287" t="inlineStr"/>
    </row>
    <row r="2288">
      <c r="A2288" t="inlineStr">
        <is>
          <t>a5612297-5898-4476-a8e2-c268a9fa6024.jpg</t>
        </is>
      </c>
      <c r="B2288">
        <f>HYPERLINK("Объекты недвижимости, не соответствующие градостроительным нормам_00-022_Август/a5612297-5898-4476-a8e2-c268a9fa6024.jpg","open")</f>
        <v/>
      </c>
      <c r="C2288" t="inlineStr">
        <is>
          <t>2acfb2da-e3f6-464c-bd17-4b713522c142</t>
        </is>
      </c>
      <c r="D2288" t="n">
        <v>55.79977</v>
      </c>
      <c r="E2288" t="n">
        <v>37.61624</v>
      </c>
      <c r="F2288" t="inlineStr"/>
      <c r="G2288" t="inlineStr"/>
      <c r="H2288" t="inlineStr"/>
    </row>
    <row r="2289">
      <c r="A2289" t="inlineStr">
        <is>
          <t>996e90d2-231e-4add-921d-f781a3860620.jpg</t>
        </is>
      </c>
      <c r="B2289">
        <f>HYPERLINK("Объекты недвижимости, не соответствующие градостроительным нормам_00-022_Август/996e90d2-231e-4add-921d-f781a3860620.jpg","open")</f>
        <v/>
      </c>
      <c r="C2289" t="inlineStr">
        <is>
          <t>789f6c51-64ee-4078-b7bd-443af8b8b68a</t>
        </is>
      </c>
      <c r="D2289" t="n">
        <v>55.8001</v>
      </c>
      <c r="E2289" t="n">
        <v>37.61658</v>
      </c>
      <c r="F2289" t="inlineStr"/>
      <c r="G2289" t="inlineStr"/>
      <c r="H2289" t="inlineStr"/>
    </row>
    <row r="2290">
      <c r="A2290" t="inlineStr">
        <is>
          <t>1c4f6823-076a-4e1b-843e-ba0e3d8f7aa9.jpg</t>
        </is>
      </c>
      <c r="B2290">
        <f>HYPERLINK("Объекты недвижимости, не соответствующие градостроительным нормам_00-022_Август/1c4f6823-076a-4e1b-843e-ba0e3d8f7aa9.jpg","open")</f>
        <v/>
      </c>
      <c r="C2290" t="inlineStr">
        <is>
          <t>ed2bf0f1-3a66-4913-896e-4420a9796c0b</t>
        </is>
      </c>
      <c r="D2290" t="n">
        <v>55.85818</v>
      </c>
      <c r="E2290" t="n">
        <v>37.61209</v>
      </c>
      <c r="F2290" t="inlineStr"/>
      <c r="G2290" t="inlineStr"/>
      <c r="H2290" t="inlineStr"/>
    </row>
    <row r="2291">
      <c r="A2291" t="inlineStr">
        <is>
          <t>bee35337-e8cb-4267-9e0e-8d8b5a5ed60e.jpg</t>
        </is>
      </c>
      <c r="B2291">
        <f>HYPERLINK("Объекты недвижимости, не соответствующие градостроительным нормам_00-022_Август/bee35337-e8cb-4267-9e0e-8d8b5a5ed60e.jpg","open")</f>
        <v/>
      </c>
      <c r="C2291" t="inlineStr">
        <is>
          <t>31a713a9-b910-424b-b847-e0eaa2f70c70</t>
        </is>
      </c>
      <c r="D2291" t="n">
        <v>55.74796</v>
      </c>
      <c r="E2291" t="n">
        <v>37.78116</v>
      </c>
      <c r="F2291" t="inlineStr"/>
      <c r="G2291" t="inlineStr"/>
      <c r="H2291" t="inlineStr"/>
    </row>
    <row r="2292">
      <c r="A2292" t="inlineStr">
        <is>
          <t>d1e92408-b9b8-448d-8c61-4d957279f463.jpg</t>
        </is>
      </c>
      <c r="B2292">
        <f>HYPERLINK("Объекты недвижимости, не соответствующие градостроительным нормам_00-022_Август/d1e92408-b9b8-448d-8c61-4d957279f463.jpg","open")</f>
        <v/>
      </c>
      <c r="C2292" t="inlineStr">
        <is>
          <t>5adecbcf-6742-48b8-951f-8e3abc9509e4</t>
        </is>
      </c>
      <c r="D2292" t="n">
        <v>55.71119</v>
      </c>
      <c r="E2292" t="n">
        <v>37.61794</v>
      </c>
      <c r="F2292" t="inlineStr"/>
      <c r="G2292" t="inlineStr"/>
      <c r="H2292" t="inlineStr"/>
    </row>
    <row r="2293">
      <c r="A2293" t="inlineStr">
        <is>
          <t>809a140e-6692-44b4-8e5b-ef742e486c7c.jpg</t>
        </is>
      </c>
      <c r="B2293">
        <f>HYPERLINK("Объекты недвижимости, не соответствующие градостроительным нормам_00-022_Август/809a140e-6692-44b4-8e5b-ef742e486c7c.jpg","open")</f>
        <v/>
      </c>
      <c r="C2293" t="inlineStr">
        <is>
          <t>b0429a31-0c70-4b9f-8ea5-73929d82f89e</t>
        </is>
      </c>
      <c r="D2293" t="n">
        <v>55.63745</v>
      </c>
      <c r="E2293" t="n">
        <v>37.76417</v>
      </c>
      <c r="F2293" t="inlineStr"/>
      <c r="G2293" t="inlineStr"/>
      <c r="H2293" t="inlineStr"/>
    </row>
    <row r="2294">
      <c r="A2294" t="inlineStr">
        <is>
          <t>fc6932de-2e16-4c63-9696-b0774eccbca8.jpg</t>
        </is>
      </c>
      <c r="B2294">
        <f>HYPERLINK("Объекты недвижимости, не соответствующие градостроительным нормам_00-022_Август/fc6932de-2e16-4c63-9696-b0774eccbca8.jpg","open")</f>
        <v/>
      </c>
      <c r="C2294" t="inlineStr">
        <is>
          <t>2acfb2da-e3f6-464c-bd17-4b713522c142</t>
        </is>
      </c>
      <c r="D2294" t="n">
        <v>55.80778</v>
      </c>
      <c r="E2294" t="n">
        <v>37.61438</v>
      </c>
      <c r="F2294" t="inlineStr"/>
      <c r="G2294" t="inlineStr"/>
      <c r="H2294" t="inlineStr"/>
    </row>
    <row r="2295">
      <c r="A2295" t="inlineStr">
        <is>
          <t>9e7baefe-1595-4d71-8b8e-4cc5b3cdaa65.jpg</t>
        </is>
      </c>
      <c r="B2295">
        <f>HYPERLINK("Объекты недвижимости, не соответствующие градостроительным нормам_00-022_Август/9e7baefe-1595-4d71-8b8e-4cc5b3cdaa65.jpg","open")</f>
        <v/>
      </c>
      <c r="C2295" t="inlineStr">
        <is>
          <t>1a55986c-2c3f-40c0-b3d1-014dce77832e</t>
        </is>
      </c>
      <c r="D2295" t="n">
        <v>55.86479</v>
      </c>
      <c r="E2295" t="n">
        <v>37.61454</v>
      </c>
      <c r="F2295" t="inlineStr"/>
      <c r="G2295" t="inlineStr"/>
      <c r="H2295" t="inlineStr"/>
    </row>
    <row r="2296">
      <c r="A2296" t="inlineStr">
        <is>
          <t>e5f8563d-3beb-4589-b0ba-cb97568c998d.jpg</t>
        </is>
      </c>
      <c r="B2296">
        <f>HYPERLINK("Объекты недвижимости, не соответствующие градостроительным нормам_00-022_Август/e5f8563d-3beb-4589-b0ba-cb97568c998d.jpg","open")</f>
        <v/>
      </c>
      <c r="C2296" t="inlineStr">
        <is>
          <t>5e5b9944-4f9e-4223-bf96-0bc0c8a93dfa</t>
        </is>
      </c>
      <c r="D2296" t="n">
        <v>55.71119</v>
      </c>
      <c r="E2296" t="n">
        <v>37.61794</v>
      </c>
      <c r="F2296" t="inlineStr"/>
      <c r="G2296" t="inlineStr"/>
      <c r="H2296" t="inlineStr"/>
    </row>
    <row r="2297">
      <c r="A2297" t="inlineStr">
        <is>
          <t>17245ad2-3b95-4da5-a368-88578116bf48.jpg</t>
        </is>
      </c>
      <c r="B2297">
        <f>HYPERLINK("Объекты недвижимости, не соответствующие градостроительным нормам_00-022_Август/17245ad2-3b95-4da5-a368-88578116bf48.jpg","open")</f>
        <v/>
      </c>
      <c r="C2297" t="inlineStr">
        <is>
          <t>ed2bf0f1-3a66-4913-896e-4420a9796c0b</t>
        </is>
      </c>
      <c r="D2297" t="n">
        <v>55.86755</v>
      </c>
      <c r="E2297" t="n">
        <v>37.61324</v>
      </c>
      <c r="F2297" t="inlineStr"/>
      <c r="G2297" t="inlineStr"/>
      <c r="H2297" t="inlineStr"/>
    </row>
    <row r="2298">
      <c r="A2298" t="inlineStr">
        <is>
          <t>a27adbea-bd88-4237-8f27-501fc694c2d6.jpg</t>
        </is>
      </c>
      <c r="B2298">
        <f>HYPERLINK("Объекты недвижимости, не соответствующие градостроительным нормам_00-022_Август/a27adbea-bd88-4237-8f27-501fc694c2d6.jpg","open")</f>
        <v/>
      </c>
      <c r="C2298" t="inlineStr">
        <is>
          <t>ed2bf0f1-3a66-4913-896e-4420a9796c0b</t>
        </is>
      </c>
      <c r="D2298" t="n">
        <v>55.86888</v>
      </c>
      <c r="E2298" t="n">
        <v>37.61622</v>
      </c>
      <c r="F2298" t="inlineStr"/>
      <c r="G2298" t="inlineStr"/>
      <c r="H2298" t="inlineStr"/>
    </row>
    <row r="2299">
      <c r="A2299" t="inlineStr">
        <is>
          <t>5671d3cb-6d23-47d6-a83d-17d5bd411a7e.jpg</t>
        </is>
      </c>
      <c r="B2299">
        <f>HYPERLINK("Объекты недвижимости, не соответствующие градостроительным нормам_00-022_Август/5671d3cb-6d23-47d6-a83d-17d5bd411a7e.jpg","open")</f>
        <v/>
      </c>
      <c r="C2299" t="inlineStr">
        <is>
          <t>dd48f742-b338-42e2-bbaf-b3a9701b437c</t>
        </is>
      </c>
      <c r="D2299" t="n">
        <v>55.86412</v>
      </c>
      <c r="E2299" t="n">
        <v>37.65879</v>
      </c>
      <c r="F2299" t="inlineStr"/>
      <c r="G2299" t="inlineStr"/>
      <c r="H2299" t="inlineStr"/>
    </row>
    <row r="2300">
      <c r="A2300" t="inlineStr">
        <is>
          <t>34b05572-81d3-4e87-ac77-6f5607598212.jpg</t>
        </is>
      </c>
      <c r="B2300">
        <f>HYPERLINK("Объекты недвижимости, не соответствующие градостроительным нормам_00-022_Август/34b05572-81d3-4e87-ac77-6f5607598212.jpg","open")</f>
        <v/>
      </c>
      <c r="C2300" t="inlineStr">
        <is>
          <t>cbf95b01-f708-45a3-9ec0-3603469b538e</t>
        </is>
      </c>
      <c r="D2300" t="n">
        <v>55.74238</v>
      </c>
      <c r="E2300" t="n">
        <v>37.64643</v>
      </c>
      <c r="F2300" t="inlineStr"/>
      <c r="G2300" t="inlineStr"/>
      <c r="H2300" t="inlineStr"/>
    </row>
    <row r="2301">
      <c r="A2301" t="inlineStr">
        <is>
          <t>4ee21fa9-1851-4c45-9198-eb3ea772c492.jpg</t>
        </is>
      </c>
      <c r="B2301">
        <f>HYPERLINK("Объекты недвижимости, не соответствующие градостроительным нормам_00-022_Август/4ee21fa9-1851-4c45-9198-eb3ea772c492.jpg","open")</f>
        <v/>
      </c>
      <c r="C2301" t="inlineStr">
        <is>
          <t>cbf95b01-f708-45a3-9ec0-3603469b538e</t>
        </is>
      </c>
      <c r="D2301" t="n">
        <v>55.70337</v>
      </c>
      <c r="E2301" t="n">
        <v>37.66009</v>
      </c>
      <c r="F2301" t="inlineStr"/>
      <c r="G2301" t="inlineStr"/>
      <c r="H2301" t="inlineStr"/>
    </row>
    <row r="2302">
      <c r="A2302" t="inlineStr">
        <is>
          <t>7fd5a371-bf3d-4bca-883e-bf30610c31bd.jpg</t>
        </is>
      </c>
      <c r="B2302">
        <f>HYPERLINK("Объекты недвижимости, не соответствующие градостроительным нормам_00-022_Август/7fd5a371-bf3d-4bca-883e-bf30610c31bd.jpg","open")</f>
        <v/>
      </c>
      <c r="C2302" t="inlineStr">
        <is>
          <t>1a55986c-2c3f-40c0-b3d1-014dce77832e</t>
        </is>
      </c>
      <c r="D2302" t="n">
        <v>55.86562</v>
      </c>
      <c r="E2302" t="n">
        <v>37.60266</v>
      </c>
      <c r="F2302" t="inlineStr"/>
      <c r="G2302" t="inlineStr"/>
      <c r="H2302" t="inlineStr"/>
    </row>
    <row r="2303">
      <c r="A2303" t="inlineStr">
        <is>
          <t>6f61dd10-2629-427d-bdbd-fe1ac5311e37.jpg</t>
        </is>
      </c>
      <c r="B2303">
        <f>HYPERLINK("Объекты недвижимости, не соответствующие градостроительным нормам_00-022_Август/6f61dd10-2629-427d-bdbd-fe1ac5311e37.jpg","open")</f>
        <v/>
      </c>
      <c r="C2303" t="inlineStr">
        <is>
          <t>18a5c468-d9e6-4814-8477-1caf4a2e1fe9</t>
        </is>
      </c>
      <c r="D2303" t="n">
        <v>55.76226</v>
      </c>
      <c r="E2303" t="n">
        <v>37.6731</v>
      </c>
      <c r="F2303" t="inlineStr"/>
      <c r="G2303" t="inlineStr"/>
      <c r="H2303" t="inlineStr"/>
    </row>
    <row r="2304">
      <c r="A2304" t="inlineStr">
        <is>
          <t>82e2e439-6514-4915-91de-0cc0f3e9dfcd.jpg</t>
        </is>
      </c>
      <c r="B2304">
        <f>HYPERLINK("Объекты недвижимости, не соответствующие градостроительным нормам_00-022_Август/82e2e439-6514-4915-91de-0cc0f3e9dfcd.jpg","open")</f>
        <v/>
      </c>
      <c r="C2304" t="inlineStr">
        <is>
          <t>48b533d5-d106-4175-ac9b-d5ce8d90cccf</t>
        </is>
      </c>
      <c r="D2304" t="n">
        <v>55.72192</v>
      </c>
      <c r="E2304" t="n">
        <v>37.42791</v>
      </c>
      <c r="F2304" t="inlineStr"/>
      <c r="G2304" t="inlineStr"/>
      <c r="H2304" t="inlineStr"/>
    </row>
    <row r="2305">
      <c r="A2305" t="inlineStr">
        <is>
          <t>35fa99b0-230a-440d-bab4-10184800d1e4.jpg</t>
        </is>
      </c>
      <c r="B2305">
        <f>HYPERLINK("Объекты недвижимости, не соответствующие градостроительным нормам_00-022_Август/35fa99b0-230a-440d-bab4-10184800d1e4.jpg","open")</f>
        <v/>
      </c>
      <c r="C2305" t="inlineStr">
        <is>
          <t>8996eb30-6497-4318-8a0e-b95314b8172e</t>
        </is>
      </c>
      <c r="D2305" t="n">
        <v>55.7219</v>
      </c>
      <c r="E2305" t="n">
        <v>37.42786</v>
      </c>
      <c r="F2305" t="inlineStr"/>
      <c r="G2305" t="inlineStr"/>
      <c r="H2305" t="inlineStr"/>
    </row>
    <row r="2306">
      <c r="A2306" t="inlineStr">
        <is>
          <t>c88349e7-78b7-4df2-8721-461e9ffd9cd0.jpg</t>
        </is>
      </c>
      <c r="B2306">
        <f>HYPERLINK("Объекты недвижимости, не соответствующие градостроительным нормам_00-022_Август/c88349e7-78b7-4df2-8721-461e9ffd9cd0.jpg","open")</f>
        <v/>
      </c>
      <c r="C2306" t="inlineStr">
        <is>
          <t>1231bbc5-e64c-4dc7-9acc-77710f47607a</t>
        </is>
      </c>
      <c r="D2306" t="n">
        <v>55.62926</v>
      </c>
      <c r="E2306" t="n">
        <v>37.47837</v>
      </c>
      <c r="F2306" t="inlineStr"/>
      <c r="G2306" t="inlineStr"/>
      <c r="H2306" t="inlineStr"/>
    </row>
    <row r="2307">
      <c r="A2307" t="inlineStr">
        <is>
          <t>4e1d1b31-69a6-4c60-9bcf-473dc27a050f.jpg</t>
        </is>
      </c>
      <c r="B2307">
        <f>HYPERLINK("Объекты недвижимости, не соответствующие градостроительным нормам_00-022_Август/4e1d1b31-69a6-4c60-9bcf-473dc27a050f.jpg","open")</f>
        <v/>
      </c>
      <c r="C2307" t="inlineStr">
        <is>
          <t>ed2bf0f1-3a66-4913-896e-4420a9796c0b</t>
        </is>
      </c>
      <c r="D2307" t="n">
        <v>55.86738</v>
      </c>
      <c r="E2307" t="n">
        <v>37.61049</v>
      </c>
      <c r="F2307" t="inlineStr"/>
      <c r="G2307" t="inlineStr"/>
      <c r="H2307" t="inlineStr"/>
    </row>
    <row r="2308">
      <c r="A2308" t="inlineStr">
        <is>
          <t>03939225-3333-4e3f-944f-06a43813c5f5.jpg</t>
        </is>
      </c>
      <c r="B2308">
        <f>HYPERLINK("Объекты недвижимости, не соответствующие градостроительным нормам_00-022_Август/03939225-3333-4e3f-944f-06a43813c5f5.jpg","open")</f>
        <v/>
      </c>
      <c r="C2308" t="inlineStr">
        <is>
          <t>cbf95b01-f708-45a3-9ec0-3603469b538e</t>
        </is>
      </c>
      <c r="D2308" t="n">
        <v>55.6876</v>
      </c>
      <c r="E2308" t="n">
        <v>37.66665</v>
      </c>
      <c r="F2308" t="inlineStr"/>
      <c r="G2308" t="inlineStr"/>
      <c r="H2308" t="inlineStr"/>
    </row>
    <row r="2309">
      <c r="A2309" t="inlineStr">
        <is>
          <t>3a3e395d-29ec-4024-a38b-14688e084c5c.jpg</t>
        </is>
      </c>
      <c r="B2309">
        <f>HYPERLINK("Объекты недвижимости, не соответствующие градостроительным нормам_00-022_Август/3a3e395d-29ec-4024-a38b-14688e084c5c.jpg","open")</f>
        <v/>
      </c>
      <c r="C2309" t="inlineStr">
        <is>
          <t>5adecbcf-6742-48b8-951f-8e3abc9509e4</t>
        </is>
      </c>
      <c r="D2309" t="n">
        <v>55.71009</v>
      </c>
      <c r="E2309" t="n">
        <v>37.66432</v>
      </c>
      <c r="F2309" t="inlineStr"/>
      <c r="G2309" t="inlineStr"/>
      <c r="H2309" t="inlineStr"/>
    </row>
    <row r="2310">
      <c r="A2310" t="inlineStr">
        <is>
          <t>b365154f-2462-4d5c-b7bf-38a428588593.jpg</t>
        </is>
      </c>
      <c r="B2310">
        <f>HYPERLINK("Объекты недвижимости, не соответствующие градостроительным нормам_00-022_Август/b365154f-2462-4d5c-b7bf-38a428588593.jpg","open")</f>
        <v/>
      </c>
      <c r="C2310" t="inlineStr">
        <is>
          <t>1c951e11-4940-43c6-a447-394097e5609a</t>
        </is>
      </c>
      <c r="D2310" t="n">
        <v>55.71481</v>
      </c>
      <c r="E2310" t="n">
        <v>37.84453</v>
      </c>
      <c r="F2310" t="inlineStr"/>
      <c r="G2310" t="inlineStr"/>
      <c r="H2310" t="inlineStr"/>
    </row>
    <row r="2311">
      <c r="A2311" t="inlineStr">
        <is>
          <t>df970816-6d53-446b-bb77-72accadf585a.jpg</t>
        </is>
      </c>
      <c r="B2311">
        <f>HYPERLINK("Объекты недвижимости, не соответствующие градостроительным нормам_00-022_Август/df970816-6d53-446b-bb77-72accadf585a.jpg","open")</f>
        <v/>
      </c>
      <c r="C2311" t="inlineStr">
        <is>
          <t>1c951e11-4940-43c6-a447-394097e5609a</t>
        </is>
      </c>
      <c r="D2311" t="n">
        <v>55.71481</v>
      </c>
      <c r="E2311" t="n">
        <v>37.84454</v>
      </c>
      <c r="F2311" t="inlineStr"/>
      <c r="G2311" t="inlineStr"/>
      <c r="H2311" t="inlineStr"/>
    </row>
    <row r="2312">
      <c r="A2312" t="inlineStr">
        <is>
          <t>15136114-1a25-4073-bad0-dc8d5412f4e5.jpg</t>
        </is>
      </c>
      <c r="B2312">
        <f>HYPERLINK("Объекты недвижимости, не соответствующие градостроительным нормам_00-022_Август/15136114-1a25-4073-bad0-dc8d5412f4e5.jpg","open")</f>
        <v/>
      </c>
      <c r="C2312" t="inlineStr">
        <is>
          <t>91248771-2c4d-44f3-b3cf-d536bd4ae73c</t>
        </is>
      </c>
      <c r="D2312" t="n">
        <v>55.78237</v>
      </c>
      <c r="E2312" t="n">
        <v>37.70739</v>
      </c>
      <c r="F2312" t="inlineStr"/>
      <c r="G2312" t="inlineStr"/>
      <c r="H2312" t="inlineStr"/>
    </row>
    <row r="2313">
      <c r="A2313" t="inlineStr">
        <is>
          <t>481b1272-8d15-42af-9e6e-507565b27bf2.jpg</t>
        </is>
      </c>
      <c r="B2313">
        <f>HYPERLINK("Объекты недвижимости, не соответствующие градостроительным нормам_00-022_Август/481b1272-8d15-42af-9e6e-507565b27bf2.jpg","open")</f>
        <v/>
      </c>
      <c r="C2313" t="inlineStr">
        <is>
          <t>1c951e11-4940-43c6-a447-394097e5609a</t>
        </is>
      </c>
      <c r="D2313" t="n">
        <v>55.71481</v>
      </c>
      <c r="E2313" t="n">
        <v>37.84454</v>
      </c>
      <c r="F2313" t="inlineStr"/>
      <c r="G2313" t="inlineStr"/>
      <c r="H2313" t="inlineStr"/>
    </row>
    <row r="2314">
      <c r="A2314" t="inlineStr">
        <is>
          <t>7525dadc-1205-4093-9808-b7c9b7ba6464.jpg</t>
        </is>
      </c>
      <c r="B2314">
        <f>HYPERLINK("Объекты недвижимости, не соответствующие градостроительным нормам_00-022_Август/7525dadc-1205-4093-9808-b7c9b7ba6464.jpg","open")</f>
        <v/>
      </c>
      <c r="C2314" t="inlineStr">
        <is>
          <t>8cde1fd0-eca1-4510-86ab-3c743b65fdfc</t>
        </is>
      </c>
      <c r="D2314" t="n">
        <v>55.71481</v>
      </c>
      <c r="E2314" t="n">
        <v>37.84454</v>
      </c>
      <c r="F2314" t="inlineStr"/>
      <c r="G2314" t="inlineStr"/>
      <c r="H2314" t="inlineStr"/>
    </row>
    <row r="2315">
      <c r="A2315" t="inlineStr">
        <is>
          <t>46e1f8e3-6146-4ff8-b5fa-306eb05ac520.jpg</t>
        </is>
      </c>
      <c r="B2315">
        <f>HYPERLINK("Объекты недвижимости, не соответствующие градостроительным нормам_00-022_Август/46e1f8e3-6146-4ff8-b5fa-306eb05ac520.jpg","open")</f>
        <v/>
      </c>
      <c r="C2315" t="inlineStr">
        <is>
          <t>1c951e11-4940-43c6-a447-394097e5609a</t>
        </is>
      </c>
      <c r="D2315" t="n">
        <v>55.71481</v>
      </c>
      <c r="E2315" t="n">
        <v>37.84454</v>
      </c>
      <c r="F2315" t="inlineStr"/>
      <c r="G2315" t="inlineStr"/>
      <c r="H2315" t="inlineStr"/>
    </row>
    <row r="2316">
      <c r="A2316" t="inlineStr">
        <is>
          <t>65831073-6576-433f-88bd-581610527d3a.jpg</t>
        </is>
      </c>
      <c r="B2316">
        <f>HYPERLINK("Объекты недвижимости, не соответствующие градостроительным нормам_00-022_Август/65831073-6576-433f-88bd-581610527d3a.jpg","open")</f>
        <v/>
      </c>
      <c r="C2316" t="inlineStr">
        <is>
          <t>1c951e11-4940-43c6-a447-394097e5609a</t>
        </is>
      </c>
      <c r="D2316" t="n">
        <v>55.71481</v>
      </c>
      <c r="E2316" t="n">
        <v>37.84455</v>
      </c>
      <c r="F2316" t="inlineStr"/>
      <c r="G2316" t="inlineStr"/>
      <c r="H2316" t="inlineStr"/>
    </row>
    <row r="2317">
      <c r="A2317" t="inlineStr">
        <is>
          <t>eb0accc4-2639-4ef3-b894-c1aaca4f29c5.jpg</t>
        </is>
      </c>
      <c r="B2317">
        <f>HYPERLINK("Объекты недвижимости, не соответствующие градостроительным нормам_00-022_Август/eb0accc4-2639-4ef3-b894-c1aaca4f29c5.jpg","open")</f>
        <v/>
      </c>
      <c r="C2317" t="inlineStr">
        <is>
          <t>1231bbc5-e64c-4dc7-9acc-77710f47607a</t>
        </is>
      </c>
      <c r="D2317" t="n">
        <v>55.63183</v>
      </c>
      <c r="E2317" t="n">
        <v>37.47998</v>
      </c>
      <c r="F2317" t="inlineStr"/>
      <c r="G2317" t="inlineStr"/>
      <c r="H2317" t="inlineStr"/>
    </row>
    <row r="2318">
      <c r="A2318" t="inlineStr">
        <is>
          <t>bc53c020-b71f-4418-8d5f-ab9332888f35.jpg</t>
        </is>
      </c>
      <c r="B2318">
        <f>HYPERLINK("Объекты недвижимости, не соответствующие градостроительным нормам_00-022_Август/bc53c020-b71f-4418-8d5f-ab9332888f35.jpg","open")</f>
        <v/>
      </c>
      <c r="C2318" t="inlineStr">
        <is>
          <t>b0b7ea82-53be-40d0-b992-e2fd18611d5c</t>
        </is>
      </c>
      <c r="D2318" t="n">
        <v>55.64319</v>
      </c>
      <c r="E2318" t="n">
        <v>37.71496</v>
      </c>
      <c r="F2318" t="inlineStr"/>
      <c r="G2318" t="inlineStr"/>
      <c r="H2318" t="inlineStr"/>
    </row>
    <row r="2319">
      <c r="A2319" t="inlineStr">
        <is>
          <t>72b60d6e-df6a-48ca-a75b-7040bd7df493.jpg</t>
        </is>
      </c>
      <c r="B2319">
        <f>HYPERLINK("Объекты недвижимости, не соответствующие градостроительным нормам_00-022_Август/72b60d6e-df6a-48ca-a75b-7040bd7df493.jpg","open")</f>
        <v/>
      </c>
      <c r="C2319" t="inlineStr">
        <is>
          <t>685d9054-b74f-49ab-857b-109fd2cec80d</t>
        </is>
      </c>
      <c r="D2319" t="n">
        <v>55.63308</v>
      </c>
      <c r="E2319" t="n">
        <v>37.47918</v>
      </c>
      <c r="F2319" t="inlineStr"/>
      <c r="G2319" t="inlineStr"/>
      <c r="H2319" t="inlineStr"/>
    </row>
    <row r="2320">
      <c r="A2320" t="inlineStr">
        <is>
          <t>4fcb0378-397e-4a1f-974c-9bed3a048bb3.jpg</t>
        </is>
      </c>
      <c r="B2320">
        <f>HYPERLINK("Объекты недвижимости, не соответствующие градостроительным нормам_00-022_Август/4fcb0378-397e-4a1f-974c-9bed3a048bb3.jpg","open")</f>
        <v/>
      </c>
      <c r="C2320" t="inlineStr">
        <is>
          <t>1231bbc5-e64c-4dc7-9acc-77710f47607a</t>
        </is>
      </c>
      <c r="D2320" t="n">
        <v>55.63308</v>
      </c>
      <c r="E2320" t="n">
        <v>37.47918</v>
      </c>
      <c r="F2320" t="inlineStr"/>
      <c r="G2320" t="inlineStr"/>
      <c r="H2320" t="inlineStr"/>
    </row>
    <row r="2321">
      <c r="A2321" t="inlineStr">
        <is>
          <t>25590c03-6736-4545-94f7-0a9437e17d17.jpg</t>
        </is>
      </c>
      <c r="B2321">
        <f>HYPERLINK("Объекты недвижимости, не соответствующие градостроительным нормам_00-022_Август/25590c03-6736-4545-94f7-0a9437e17d17.jpg","open")</f>
        <v/>
      </c>
      <c r="C2321" t="inlineStr">
        <is>
          <t>f60286ac-55e7-4099-85bd-cc599a7a0c65</t>
        </is>
      </c>
      <c r="D2321" t="n">
        <v>55.79085</v>
      </c>
      <c r="E2321" t="n">
        <v>37.71325</v>
      </c>
      <c r="F2321" t="inlineStr"/>
      <c r="G2321" t="inlineStr"/>
      <c r="H2321" t="inlineStr"/>
    </row>
    <row r="2322">
      <c r="A2322" t="inlineStr">
        <is>
          <t>c81de220-ca70-49c4-8a83-cdfa3d9619db.jpg</t>
        </is>
      </c>
      <c r="B2322">
        <f>HYPERLINK("Объекты недвижимости, не соответствующие градостроительным нормам_00-022_Август/c81de220-ca70-49c4-8a83-cdfa3d9619db.jpg","open")</f>
        <v/>
      </c>
      <c r="C2322" t="inlineStr">
        <is>
          <t>cb4060b2-34d3-44a4-9f60-115fb1e9278e</t>
        </is>
      </c>
      <c r="D2322" t="n">
        <v>55.84484</v>
      </c>
      <c r="E2322" t="n">
        <v>37.67005</v>
      </c>
      <c r="F2322" t="inlineStr"/>
      <c r="G2322" t="inlineStr"/>
      <c r="H2322" t="inlineStr"/>
    </row>
    <row r="2323">
      <c r="A2323" t="inlineStr">
        <is>
          <t>0bd35f6a-4bf8-4b66-add7-f5b55b45c97d.jpg</t>
        </is>
      </c>
      <c r="B2323">
        <f>HYPERLINK("Объекты недвижимости, не соответствующие градостроительным нормам_00-022_Август/0bd35f6a-4bf8-4b66-add7-f5b55b45c97d.jpg","open")</f>
        <v/>
      </c>
      <c r="C2323" t="inlineStr">
        <is>
          <t>1231bbc5-e64c-4dc7-9acc-77710f47607a</t>
        </is>
      </c>
      <c r="D2323" t="n">
        <v>55.63287</v>
      </c>
      <c r="E2323" t="n">
        <v>37.47916</v>
      </c>
      <c r="F2323" t="inlineStr"/>
      <c r="G2323" t="inlineStr"/>
      <c r="H2323" t="inlineStr"/>
    </row>
    <row r="2324">
      <c r="A2324" t="inlineStr">
        <is>
          <t>46bf8194-ffca-48ae-85d6-f9d98c053873.jpg</t>
        </is>
      </c>
      <c r="B2324">
        <f>HYPERLINK("Объекты недвижимости, не соответствующие градостроительным нормам_00-022_Август/46bf8194-ffca-48ae-85d6-f9d98c053873.jpg","open")</f>
        <v/>
      </c>
      <c r="C2324" t="inlineStr">
        <is>
          <t>1a55986c-2c3f-40c0-b3d1-014dce77832e</t>
        </is>
      </c>
      <c r="D2324" t="n">
        <v>55.86991</v>
      </c>
      <c r="E2324" t="n">
        <v>37.58675</v>
      </c>
      <c r="F2324" t="inlineStr"/>
      <c r="G2324" t="inlineStr"/>
      <c r="H2324" t="inlineStr"/>
    </row>
    <row r="2325">
      <c r="A2325" t="inlineStr">
        <is>
          <t>da18501c-8e1e-40f7-a0da-444a542d2be3.jpg</t>
        </is>
      </c>
      <c r="B2325">
        <f>HYPERLINK("Объекты недвижимости, не соответствующие градостроительным нормам_00-022_Август/da18501c-8e1e-40f7-a0da-444a542d2be3.jpg","open")</f>
        <v/>
      </c>
      <c r="C2325" t="inlineStr">
        <is>
          <t>a28f597e-d1cd-4d3b-b572-c86d033412e9</t>
        </is>
      </c>
      <c r="D2325" t="n">
        <v>55.96893</v>
      </c>
      <c r="E2325" t="n">
        <v>37.42806</v>
      </c>
      <c r="F2325" t="inlineStr"/>
      <c r="G2325" t="inlineStr"/>
      <c r="H2325" t="inlineStr"/>
    </row>
    <row r="2326">
      <c r="A2326" t="inlineStr">
        <is>
          <t>84bd89f3-625c-4671-9587-b76d3fec877e.jpg</t>
        </is>
      </c>
      <c r="B2326">
        <f>HYPERLINK("Объекты недвижимости, не соответствующие градостроительным нормам_00-022_Август/84bd89f3-625c-4671-9587-b76d3fec877e.jpg","open")</f>
        <v/>
      </c>
      <c r="C2326" t="inlineStr">
        <is>
          <t>1231bbc5-e64c-4dc7-9acc-77710f47607a</t>
        </is>
      </c>
      <c r="D2326" t="n">
        <v>55.6327</v>
      </c>
      <c r="E2326" t="n">
        <v>37.47794</v>
      </c>
      <c r="F2326" t="inlineStr"/>
      <c r="G2326" t="inlineStr"/>
      <c r="H2326" t="inlineStr"/>
    </row>
    <row r="2327">
      <c r="A2327" t="inlineStr">
        <is>
          <t>1c196f6c-f913-4611-a040-c6791977595d.jpg</t>
        </is>
      </c>
      <c r="B2327">
        <f>HYPERLINK("Объекты недвижимости, не соответствующие градостроительным нормам_00-022_Август/1c196f6c-f913-4611-a040-c6791977595d.jpg","open")</f>
        <v/>
      </c>
      <c r="C2327" t="inlineStr">
        <is>
          <t>1c951e11-4940-43c6-a447-394097e5609a</t>
        </is>
      </c>
      <c r="D2327" t="n">
        <v>55.71481</v>
      </c>
      <c r="E2327" t="n">
        <v>37.84455</v>
      </c>
      <c r="F2327" t="inlineStr"/>
      <c r="G2327" t="inlineStr"/>
      <c r="H2327" t="inlineStr"/>
    </row>
    <row r="2328">
      <c r="A2328" t="inlineStr">
        <is>
          <t>97e83ea7-4b29-460b-a198-1bea4dbc28fa.jpg</t>
        </is>
      </c>
      <c r="B2328">
        <f>HYPERLINK("Объекты недвижимости, не соответствующие градостроительным нормам_00-022_Август/97e83ea7-4b29-460b-a198-1bea4dbc28fa.jpg","open")</f>
        <v/>
      </c>
      <c r="C2328" t="inlineStr">
        <is>
          <t>cbf95b01-f708-45a3-9ec0-3603469b538e</t>
        </is>
      </c>
      <c r="D2328" t="n">
        <v>55.75272</v>
      </c>
      <c r="E2328" t="n">
        <v>37.6423</v>
      </c>
      <c r="F2328" t="inlineStr"/>
      <c r="G2328" t="inlineStr"/>
      <c r="H2328" t="inlineStr"/>
    </row>
    <row r="2329">
      <c r="A2329" t="inlineStr">
        <is>
          <t>1a2e9c62-3f44-4516-a3ef-c9ada4140d4c.jpg</t>
        </is>
      </c>
      <c r="B2329">
        <f>HYPERLINK("Объекты недвижимости, не соответствующие градостроительным нормам_00-022_Август/1a2e9c62-3f44-4516-a3ef-c9ada4140d4c.jpg","open")</f>
        <v/>
      </c>
      <c r="C2329" t="inlineStr">
        <is>
          <t>a1a9db89-3f74-42ef-8fad-ad69705102cd</t>
        </is>
      </c>
      <c r="D2329" t="n">
        <v>55.75236</v>
      </c>
      <c r="E2329" t="n">
        <v>37.64369</v>
      </c>
      <c r="F2329" t="inlineStr"/>
      <c r="G2329" t="inlineStr"/>
      <c r="H2329" t="inlineStr"/>
    </row>
    <row r="2330">
      <c r="A2330" t="inlineStr">
        <is>
          <t>7f9ba143-be59-4603-b6ea-43aa273b0d31.jpg</t>
        </is>
      </c>
      <c r="B2330">
        <f>HYPERLINK("Объекты недвижимости, не соответствующие градостроительным нормам_00-022_Август/7f9ba143-be59-4603-b6ea-43aa273b0d31.jpg","open")</f>
        <v/>
      </c>
      <c r="C2330" t="inlineStr">
        <is>
          <t>8996eb30-6497-4318-8a0e-b95314b8172e</t>
        </is>
      </c>
      <c r="D2330" t="n">
        <v>55.72205</v>
      </c>
      <c r="E2330" t="n">
        <v>37.4072</v>
      </c>
      <c r="F2330" t="inlineStr"/>
      <c r="G2330" t="inlineStr"/>
      <c r="H2330" t="inlineStr"/>
    </row>
    <row r="2331">
      <c r="A2331" t="inlineStr">
        <is>
          <t>c1ca1f4a-e297-48e0-aa20-e7c618ebb436.jpg</t>
        </is>
      </c>
      <c r="B2331">
        <f>HYPERLINK("Объекты недвижимости, не соответствующие градостроительным нормам_00-022_Август/c1ca1f4a-e297-48e0-aa20-e7c618ebb436.jpg","open")</f>
        <v/>
      </c>
      <c r="C2331" t="inlineStr">
        <is>
          <t>a1a9db89-3f74-42ef-8fad-ad69705102cd</t>
        </is>
      </c>
      <c r="D2331" t="n">
        <v>55.75236</v>
      </c>
      <c r="E2331" t="n">
        <v>37.64369</v>
      </c>
      <c r="F2331" t="inlineStr"/>
      <c r="G2331" t="inlineStr"/>
      <c r="H2331" t="inlineStr"/>
    </row>
    <row r="2332">
      <c r="A2332" t="inlineStr">
        <is>
          <t>bea1d7f4-c467-43ba-b5bb-eb433663047c.jpg</t>
        </is>
      </c>
      <c r="B2332">
        <f>HYPERLINK("Объекты недвижимости, не соответствующие градостроительным нормам_00-022_Август/bea1d7f4-c467-43ba-b5bb-eb433663047c.jpg","open")</f>
        <v/>
      </c>
      <c r="C2332" t="inlineStr">
        <is>
          <t>cbf95b01-f708-45a3-9ec0-3603469b538e</t>
        </is>
      </c>
      <c r="D2332" t="n">
        <v>55.75236</v>
      </c>
      <c r="E2332" t="n">
        <v>37.64369</v>
      </c>
      <c r="F2332" t="inlineStr"/>
      <c r="G2332" t="inlineStr"/>
      <c r="H2332" t="inlineStr"/>
    </row>
    <row r="2333">
      <c r="A2333" t="inlineStr">
        <is>
          <t>f546537f-2ac2-4762-97c0-066148bc67a4.jpg</t>
        </is>
      </c>
      <c r="B2333">
        <f>HYPERLINK("Объекты недвижимости, не соответствующие градостроительным нормам_00-022_Август/f546537f-2ac2-4762-97c0-066148bc67a4.jpg","open")</f>
        <v/>
      </c>
      <c r="C2333" t="inlineStr">
        <is>
          <t>cbf95b01-f708-45a3-9ec0-3603469b538e</t>
        </is>
      </c>
      <c r="D2333" t="n">
        <v>55.75236</v>
      </c>
      <c r="E2333" t="n">
        <v>37.64369</v>
      </c>
      <c r="F2333" t="inlineStr"/>
      <c r="G2333" t="inlineStr"/>
      <c r="H2333" t="inlineStr"/>
    </row>
    <row r="2334">
      <c r="A2334" t="inlineStr">
        <is>
          <t>9f046d3b-91c7-4840-a341-0742c306e0a6.jpg</t>
        </is>
      </c>
      <c r="B2334">
        <f>HYPERLINK("Объекты недвижимости, не соответствующие градостроительным нормам_00-022_Август/9f046d3b-91c7-4840-a341-0742c306e0a6.jpg","open")</f>
        <v/>
      </c>
      <c r="C2334" t="inlineStr">
        <is>
          <t>a1a9db89-3f74-42ef-8fad-ad69705102cd</t>
        </is>
      </c>
      <c r="D2334" t="n">
        <v>55.75236</v>
      </c>
      <c r="E2334" t="n">
        <v>37.64369</v>
      </c>
      <c r="F2334" t="inlineStr"/>
      <c r="G2334" t="inlineStr"/>
      <c r="H2334" t="inlineStr"/>
    </row>
    <row r="2335">
      <c r="A2335" t="inlineStr">
        <is>
          <t>8aa32608-604b-454e-9c4b-04b8567fe0f4.jpg</t>
        </is>
      </c>
      <c r="B2335">
        <f>HYPERLINK("Объекты недвижимости, не соответствующие градостроительным нормам_00-022_Август/8aa32608-604b-454e-9c4b-04b8567fe0f4.jpg","open")</f>
        <v/>
      </c>
      <c r="C2335" t="inlineStr">
        <is>
          <t>cbf95b01-f708-45a3-9ec0-3603469b538e</t>
        </is>
      </c>
      <c r="D2335" t="n">
        <v>55.75236</v>
      </c>
      <c r="E2335" t="n">
        <v>37.64369</v>
      </c>
      <c r="F2335" t="inlineStr"/>
      <c r="G2335" t="inlineStr"/>
      <c r="H2335" t="inlineStr"/>
    </row>
    <row r="2336">
      <c r="A2336" t="inlineStr">
        <is>
          <t>f81c93b3-017e-44cc-806f-bb43cc28bdb4.jpg</t>
        </is>
      </c>
      <c r="B2336">
        <f>HYPERLINK("Объекты недвижимости, не соответствующие градостроительным нормам_00-022_Август/f81c93b3-017e-44cc-806f-bb43cc28bdb4.jpg","open")</f>
        <v/>
      </c>
      <c r="C2336" t="inlineStr">
        <is>
          <t>1231bbc5-e64c-4dc7-9acc-77710f47607a</t>
        </is>
      </c>
      <c r="D2336" t="n">
        <v>55.63461</v>
      </c>
      <c r="E2336" t="n">
        <v>37.47536</v>
      </c>
      <c r="F2336" t="inlineStr"/>
      <c r="G2336" t="inlineStr"/>
      <c r="H2336" t="inlineStr"/>
    </row>
    <row r="2337">
      <c r="A2337" t="inlineStr">
        <is>
          <t>b3d34bd4-fc39-4042-a259-b553236cea05.jpg</t>
        </is>
      </c>
      <c r="B2337">
        <f>HYPERLINK("Объекты недвижимости, не соответствующие градостроительным нормам_00-022_Август/b3d34bd4-fc39-4042-a259-b553236cea05.jpg","open")</f>
        <v/>
      </c>
      <c r="C2337" t="inlineStr">
        <is>
          <t>685d9054-b74f-49ab-857b-109fd2cec80d</t>
        </is>
      </c>
      <c r="D2337" t="n">
        <v>55.63461</v>
      </c>
      <c r="E2337" t="n">
        <v>37.47536</v>
      </c>
      <c r="F2337" t="inlineStr"/>
      <c r="G2337" t="inlineStr"/>
      <c r="H2337" t="inlineStr"/>
    </row>
    <row r="2338">
      <c r="A2338" t="inlineStr">
        <is>
          <t>380c636b-87fb-42d5-98e6-65673b28297d.jpg</t>
        </is>
      </c>
      <c r="B2338">
        <f>HYPERLINK("Объекты недвижимости, не соответствующие градостроительным нормам_00-022_Август/380c636b-87fb-42d5-98e6-65673b28297d.jpg","open")</f>
        <v/>
      </c>
      <c r="C2338" t="inlineStr">
        <is>
          <t>8996eb30-6497-4318-8a0e-b95314b8172e</t>
        </is>
      </c>
      <c r="D2338" t="n">
        <v>55.72527</v>
      </c>
      <c r="E2338" t="n">
        <v>37.40384</v>
      </c>
      <c r="F2338" t="inlineStr"/>
      <c r="G2338" t="inlineStr"/>
      <c r="H2338" t="inlineStr"/>
    </row>
    <row r="2339">
      <c r="A2339" t="inlineStr">
        <is>
          <t>ffedf0db-f016-405b-91c6-495522bd0096.jpg</t>
        </is>
      </c>
      <c r="B2339">
        <f>HYPERLINK("Объекты недвижимости, не соответствующие градостроительным нормам_00-022_Август/ffedf0db-f016-405b-91c6-495522bd0096.jpg","open")</f>
        <v/>
      </c>
      <c r="C2339" t="inlineStr">
        <is>
          <t>cbf95b01-f708-45a3-9ec0-3603469b538e</t>
        </is>
      </c>
      <c r="D2339" t="n">
        <v>55.76862</v>
      </c>
      <c r="E2339" t="n">
        <v>37.67909</v>
      </c>
      <c r="F2339" t="inlineStr"/>
      <c r="G2339" t="inlineStr"/>
      <c r="H2339" t="inlineStr"/>
    </row>
    <row r="2340">
      <c r="A2340" t="inlineStr">
        <is>
          <t>7721021b-ed25-43a7-b6d6-ffca867654aa.jpg</t>
        </is>
      </c>
      <c r="B2340">
        <f>HYPERLINK("Объекты недвижимости, не соответствующие градостроительным нормам_00-022_Август/7721021b-ed25-43a7-b6d6-ffca867654aa.jpg","open")</f>
        <v/>
      </c>
      <c r="C2340" t="inlineStr">
        <is>
          <t>cbf95b01-f708-45a3-9ec0-3603469b538e</t>
        </is>
      </c>
      <c r="D2340" t="n">
        <v>55.7686</v>
      </c>
      <c r="E2340" t="n">
        <v>37.67914</v>
      </c>
      <c r="F2340" t="inlineStr"/>
      <c r="G2340" t="inlineStr"/>
      <c r="H2340" t="inlineStr"/>
    </row>
    <row r="2341">
      <c r="A2341" t="inlineStr">
        <is>
          <t>77d1b0e3-ac3a-4f68-8e3f-714cef5aa449.jpg</t>
        </is>
      </c>
      <c r="B2341">
        <f>HYPERLINK("Объекты недвижимости, не соответствующие градостроительным нормам_00-022_Август/77d1b0e3-ac3a-4f68-8e3f-714cef5aa449.jpg","open")</f>
        <v/>
      </c>
      <c r="C2341" t="inlineStr">
        <is>
          <t>cbf95b01-f708-45a3-9ec0-3603469b538e</t>
        </is>
      </c>
      <c r="D2341" t="n">
        <v>55.76857</v>
      </c>
      <c r="E2341" t="n">
        <v>37.67916</v>
      </c>
      <c r="F2341" t="inlineStr"/>
      <c r="G2341" t="inlineStr"/>
      <c r="H2341" t="inlineStr"/>
    </row>
    <row r="2342">
      <c r="A2342" t="inlineStr">
        <is>
          <t>9669438a-7f2c-426d-a235-e45194854c1f.jpg</t>
        </is>
      </c>
      <c r="B2342">
        <f>HYPERLINK("Объекты недвижимости, не соответствующие градостроительным нормам_00-022_Август/9669438a-7f2c-426d-a235-e45194854c1f.jpg","open")</f>
        <v/>
      </c>
      <c r="C2342" t="inlineStr">
        <is>
          <t>61936922-4d4b-458e-80ea-6d4c450aa1d5</t>
        </is>
      </c>
      <c r="D2342" t="n">
        <v>55.65769</v>
      </c>
      <c r="E2342" t="n">
        <v>37.48523</v>
      </c>
      <c r="F2342" t="inlineStr"/>
      <c r="G2342" t="inlineStr"/>
      <c r="H2342" t="inlineStr"/>
    </row>
    <row r="2343">
      <c r="A2343" t="inlineStr">
        <is>
          <t>d1abc40b-e14b-47cd-b2ca-99d11332f304.jpg</t>
        </is>
      </c>
      <c r="B2343">
        <f>HYPERLINK("Объекты недвижимости, не соответствующие градостроительным нормам_00-022_Август/d1abc40b-e14b-47cd-b2ca-99d11332f304.jpg","open")</f>
        <v/>
      </c>
      <c r="C2343" t="inlineStr">
        <is>
          <t>cbf95b01-f708-45a3-9ec0-3603469b538e</t>
        </is>
      </c>
      <c r="D2343" t="n">
        <v>55.76855</v>
      </c>
      <c r="E2343" t="n">
        <v>37.67914</v>
      </c>
      <c r="F2343" t="inlineStr"/>
      <c r="G2343" t="inlineStr"/>
      <c r="H2343" t="inlineStr"/>
    </row>
    <row r="2344">
      <c r="A2344" t="inlineStr">
        <is>
          <t>4ec3f5b4-e1fd-4dde-9e32-fac6411dba0c.jpg</t>
        </is>
      </c>
      <c r="B2344">
        <f>HYPERLINK("Объекты недвижимости, не соответствующие градостроительным нормам_00-022_Август/4ec3f5b4-e1fd-4dde-9e32-fac6411dba0c.jpg","open")</f>
        <v/>
      </c>
      <c r="C2344" t="inlineStr">
        <is>
          <t>cbf95b01-f708-45a3-9ec0-3603469b538e</t>
        </is>
      </c>
      <c r="D2344" t="n">
        <v>55.76852</v>
      </c>
      <c r="E2344" t="n">
        <v>37.6791</v>
      </c>
      <c r="F2344" t="inlineStr"/>
      <c r="G2344" t="inlineStr"/>
      <c r="H2344" t="inlineStr"/>
    </row>
    <row r="2345">
      <c r="A2345" t="inlineStr">
        <is>
          <t>efa783a9-a7cc-4c0c-ae01-ddbfc0370975.jpg</t>
        </is>
      </c>
      <c r="B2345">
        <f>HYPERLINK("Объекты недвижимости, не соответствующие градостроительным нормам_00-022_Август/efa783a9-a7cc-4c0c-ae01-ddbfc0370975.jpg","open")</f>
        <v/>
      </c>
      <c r="C2345" t="inlineStr">
        <is>
          <t>cbf95b01-f708-45a3-9ec0-3603469b538e</t>
        </is>
      </c>
      <c r="D2345" t="n">
        <v>55.76847</v>
      </c>
      <c r="E2345" t="n">
        <v>37.67903</v>
      </c>
      <c r="F2345" t="inlineStr"/>
      <c r="G2345" t="inlineStr"/>
      <c r="H2345" t="inlineStr"/>
    </row>
    <row r="2346">
      <c r="A2346" t="inlineStr">
        <is>
          <t>20f12c5e-3500-43a7-aeb1-2506ff4adde8.jpg</t>
        </is>
      </c>
      <c r="B2346">
        <f>HYPERLINK("Объекты недвижимости, не соответствующие градостроительным нормам_00-022_Август/20f12c5e-3500-43a7-aeb1-2506ff4adde8.jpg","open")</f>
        <v/>
      </c>
      <c r="C2346" t="inlineStr">
        <is>
          <t>cbf95b01-f708-45a3-9ec0-3603469b538e</t>
        </is>
      </c>
      <c r="D2346" t="n">
        <v>55.7684</v>
      </c>
      <c r="E2346" t="n">
        <v>37.67894</v>
      </c>
      <c r="F2346" t="inlineStr"/>
      <c r="G2346" t="inlineStr"/>
      <c r="H2346" t="inlineStr"/>
    </row>
    <row r="2347">
      <c r="A2347" t="inlineStr">
        <is>
          <t>051fede6-da43-4074-ab8d-128a5a5082d2.jpg</t>
        </is>
      </c>
      <c r="B2347">
        <f>HYPERLINK("Объекты недвижимости, не соответствующие градостроительным нормам_00-022_Август/051fede6-da43-4074-ab8d-128a5a5082d2.jpg","open")</f>
        <v/>
      </c>
      <c r="C2347" t="inlineStr">
        <is>
          <t>cbf95b01-f708-45a3-9ec0-3603469b538e</t>
        </is>
      </c>
      <c r="D2347" t="n">
        <v>55.76833</v>
      </c>
      <c r="E2347" t="n">
        <v>37.67886</v>
      </c>
      <c r="F2347" t="inlineStr"/>
      <c r="G2347" t="inlineStr"/>
      <c r="H2347" t="inlineStr"/>
    </row>
    <row r="2348">
      <c r="A2348" t="inlineStr">
        <is>
          <t>9cf5cdf2-54d3-4bce-8e13-2b72a29c367d.jpg</t>
        </is>
      </c>
      <c r="B2348">
        <f>HYPERLINK("Объекты недвижимости, не соответствующие градостроительным нормам_00-022_Август/9cf5cdf2-54d3-4bce-8e13-2b72a29c367d.jpg","open")</f>
        <v/>
      </c>
      <c r="C2348" t="inlineStr">
        <is>
          <t>a1a9db89-3f74-42ef-8fad-ad69705102cd</t>
        </is>
      </c>
      <c r="D2348" t="n">
        <v>55.76835</v>
      </c>
      <c r="E2348" t="n">
        <v>37.67887</v>
      </c>
      <c r="F2348" t="inlineStr"/>
      <c r="G2348" t="inlineStr"/>
      <c r="H2348" t="inlineStr"/>
    </row>
    <row r="2349">
      <c r="A2349" t="inlineStr">
        <is>
          <t>74ff55ba-7a16-4a72-b7fd-716c8d2f34b8.jpg</t>
        </is>
      </c>
      <c r="B2349">
        <f>HYPERLINK("Объекты недвижимости, не соответствующие градостроительным нормам_00-022_Август/74ff55ba-7a16-4a72-b7fd-716c8d2f34b8.jpg","open")</f>
        <v/>
      </c>
      <c r="C2349" t="inlineStr">
        <is>
          <t>cbf95b01-f708-45a3-9ec0-3603469b538e</t>
        </is>
      </c>
      <c r="D2349" t="n">
        <v>55.7683</v>
      </c>
      <c r="E2349" t="n">
        <v>37.67889</v>
      </c>
      <c r="F2349" t="inlineStr"/>
      <c r="G2349" t="inlineStr"/>
      <c r="H2349" t="inlineStr"/>
    </row>
    <row r="2350">
      <c r="A2350" t="inlineStr">
        <is>
          <t>8f2ec0e1-b025-4843-90d8-b7b6e3673996.jpg</t>
        </is>
      </c>
      <c r="B2350">
        <f>HYPERLINK("Объекты недвижимости, не соответствующие градостроительным нормам_00-022_Август/8f2ec0e1-b025-4843-90d8-b7b6e3673996.jpg","open")</f>
        <v/>
      </c>
      <c r="C2350" t="inlineStr">
        <is>
          <t>685d9054-b74f-49ab-857b-109fd2cec80d</t>
        </is>
      </c>
      <c r="D2350" t="n">
        <v>55.63461</v>
      </c>
      <c r="E2350" t="n">
        <v>37.47536</v>
      </c>
      <c r="F2350" t="inlineStr"/>
      <c r="G2350" t="inlineStr"/>
      <c r="H2350" t="inlineStr"/>
    </row>
    <row r="2351">
      <c r="A2351" t="inlineStr">
        <is>
          <t>b82ea957-c2d0-4271-8d5a-8d3acc30a119.jpg</t>
        </is>
      </c>
      <c r="B2351">
        <f>HYPERLINK("Объекты недвижимости, не соответствующие градостроительным нормам_00-022_Август/b82ea957-c2d0-4271-8d5a-8d3acc30a119.jpg","open")</f>
        <v/>
      </c>
      <c r="C2351" t="inlineStr">
        <is>
          <t>db8b536c-32f2-4d9a-ae08-679d227e61f1</t>
        </is>
      </c>
      <c r="D2351" t="n">
        <v>55.68409</v>
      </c>
      <c r="E2351" t="n">
        <v>37.56028</v>
      </c>
      <c r="F2351" t="inlineStr"/>
      <c r="G2351" t="inlineStr"/>
      <c r="H2351" t="inlineStr"/>
    </row>
    <row r="2352">
      <c r="A2352" t="inlineStr">
        <is>
          <t>b67bb71f-26ff-4d6d-9be2-4806431a44b6.jpg</t>
        </is>
      </c>
      <c r="B2352">
        <f>HYPERLINK("Объекты недвижимости, не соответствующие градостроительным нормам_00-022_Август/b67bb71f-26ff-4d6d-9be2-4806431a44b6.jpg","open")</f>
        <v/>
      </c>
      <c r="C2352" t="inlineStr">
        <is>
          <t>cbf95b01-f708-45a3-9ec0-3603469b538e</t>
        </is>
      </c>
      <c r="D2352" t="n">
        <v>55.76981</v>
      </c>
      <c r="E2352" t="n">
        <v>37.67901</v>
      </c>
      <c r="F2352" t="inlineStr"/>
      <c r="G2352" t="inlineStr"/>
      <c r="H2352" t="inlineStr"/>
    </row>
    <row r="2353">
      <c r="A2353" t="inlineStr">
        <is>
          <t>77b5d0ea-6581-40c1-a234-2a3d0572d5ab.jpg</t>
        </is>
      </c>
      <c r="B2353">
        <f>HYPERLINK("Объекты недвижимости, не соответствующие градостроительным нормам_00-022_Август/77b5d0ea-6581-40c1-a234-2a3d0572d5ab.jpg","open")</f>
        <v/>
      </c>
      <c r="C2353" t="inlineStr">
        <is>
          <t>cbf95b01-f708-45a3-9ec0-3603469b538e</t>
        </is>
      </c>
      <c r="D2353" t="n">
        <v>55.77058</v>
      </c>
      <c r="E2353" t="n">
        <v>37.67887</v>
      </c>
      <c r="F2353" t="inlineStr"/>
      <c r="G2353" t="inlineStr"/>
      <c r="H2353" t="inlineStr"/>
    </row>
    <row r="2354">
      <c r="A2354" t="inlineStr">
        <is>
          <t>1f967604-20ea-40e4-9090-ff3d3f5b654d.jpg</t>
        </is>
      </c>
      <c r="B2354">
        <f>HYPERLINK("Объекты недвижимости, не соответствующие градостроительным нормам_00-022_Август/1f967604-20ea-40e4-9090-ff3d3f5b654d.jpg","open")</f>
        <v/>
      </c>
      <c r="C2354" t="inlineStr">
        <is>
          <t>f60286ac-55e7-4099-85bd-cc599a7a0c65</t>
        </is>
      </c>
      <c r="D2354" t="n">
        <v>55.78576</v>
      </c>
      <c r="E2354" t="n">
        <v>37.71589</v>
      </c>
      <c r="F2354" t="inlineStr"/>
      <c r="G2354" t="inlineStr"/>
      <c r="H2354" t="inlineStr"/>
    </row>
    <row r="2355">
      <c r="A2355" t="inlineStr">
        <is>
          <t>f1e02082-3510-4026-ba0b-1cd918d3dccb.jpg</t>
        </is>
      </c>
      <c r="B2355">
        <f>HYPERLINK("Объекты недвижимости, не соответствующие градостроительным нормам_00-022_Август/f1e02082-3510-4026-ba0b-1cd918d3dccb.jpg","open")</f>
        <v/>
      </c>
      <c r="C2355" t="inlineStr">
        <is>
          <t>a1a9db89-3f74-42ef-8fad-ad69705102cd</t>
        </is>
      </c>
      <c r="D2355" t="n">
        <v>55.77286</v>
      </c>
      <c r="E2355" t="n">
        <v>37.68262</v>
      </c>
      <c r="F2355" t="inlineStr"/>
      <c r="G2355" t="inlineStr"/>
      <c r="H2355" t="inlineStr"/>
    </row>
    <row r="2356">
      <c r="A2356" t="inlineStr">
        <is>
          <t>406ef150-0f11-4ee5-a7bf-db6c9391f35c.jpg</t>
        </is>
      </c>
      <c r="B2356">
        <f>HYPERLINK("Объекты недвижимости, не соответствующие градостроительным нормам_00-022_Август/406ef150-0f11-4ee5-a7bf-db6c9391f35c.jpg","open")</f>
        <v/>
      </c>
      <c r="C2356" t="inlineStr">
        <is>
          <t>cbf95b01-f708-45a3-9ec0-3603469b538e</t>
        </is>
      </c>
      <c r="D2356" t="n">
        <v>55.77286</v>
      </c>
      <c r="E2356" t="n">
        <v>37.68266</v>
      </c>
      <c r="F2356" t="inlineStr"/>
      <c r="G2356" t="inlineStr"/>
      <c r="H2356" t="inlineStr"/>
    </row>
    <row r="2357">
      <c r="A2357" t="inlineStr">
        <is>
          <t>193df5e1-c42b-401f-b633-fb52493296b5.jpg</t>
        </is>
      </c>
      <c r="B2357">
        <f>HYPERLINK("Объекты недвижимости, не соответствующие градостроительным нормам_00-022_Август/193df5e1-c42b-401f-b633-fb52493296b5.jpg","open")</f>
        <v/>
      </c>
      <c r="C2357" t="inlineStr">
        <is>
          <t>a28f597e-d1cd-4d3b-b572-c86d033412e9</t>
        </is>
      </c>
      <c r="D2357" t="n">
        <v>55.70567</v>
      </c>
      <c r="E2357" t="n">
        <v>37.46082</v>
      </c>
      <c r="F2357" t="inlineStr"/>
      <c r="G2357" t="inlineStr"/>
      <c r="H2357" t="inlineStr"/>
    </row>
    <row r="2358">
      <c r="A2358" t="inlineStr">
        <is>
          <t>74ca8681-a127-4811-8d58-cca8724341c7.jpg</t>
        </is>
      </c>
      <c r="B2358">
        <f>HYPERLINK("Объекты недвижимости, не соответствующие градостроительным нормам_00-022_Август/74ca8681-a127-4811-8d58-cca8724341c7.jpg","open")</f>
        <v/>
      </c>
      <c r="C2358" t="inlineStr">
        <is>
          <t>036c664f-5408-4fd0-b479-342c00468eeb</t>
        </is>
      </c>
      <c r="D2358" t="n">
        <v>55.70568</v>
      </c>
      <c r="E2358" t="n">
        <v>37.46087</v>
      </c>
      <c r="F2358" t="inlineStr"/>
      <c r="G2358" t="inlineStr"/>
      <c r="H2358" t="inlineStr"/>
    </row>
    <row r="2359">
      <c r="A2359" t="inlineStr">
        <is>
          <t>85490e15-77e8-446d-9bb0-4d35896c1808.jpg</t>
        </is>
      </c>
      <c r="B2359">
        <f>HYPERLINK("Объекты недвижимости, не соответствующие градостроительным нормам_00-022_Август/85490e15-77e8-446d-9bb0-4d35896c1808.jpg","open")</f>
        <v/>
      </c>
      <c r="C2359" t="inlineStr">
        <is>
          <t>a1a9db89-3f74-42ef-8fad-ad69705102cd</t>
        </is>
      </c>
      <c r="D2359" t="n">
        <v>55.77177</v>
      </c>
      <c r="E2359" t="n">
        <v>37.68158</v>
      </c>
      <c r="F2359" t="inlineStr"/>
      <c r="G2359" t="inlineStr"/>
      <c r="H2359" t="inlineStr"/>
    </row>
    <row r="2360">
      <c r="A2360" t="inlineStr">
        <is>
          <t>eb46e7e5-3410-4d78-8505-78d01350fd92.jpg</t>
        </is>
      </c>
      <c r="B2360">
        <f>HYPERLINK("Объекты недвижимости, не соответствующие градостроительным нормам_00-022_Август/eb46e7e5-3410-4d78-8505-78d01350fd92.jpg","open")</f>
        <v/>
      </c>
      <c r="C2360" t="inlineStr">
        <is>
          <t>cbf95b01-f708-45a3-9ec0-3603469b538e</t>
        </is>
      </c>
      <c r="D2360" t="n">
        <v>55.77333</v>
      </c>
      <c r="E2360" t="n">
        <v>37.6862</v>
      </c>
      <c r="F2360" t="inlineStr"/>
      <c r="G2360" t="inlineStr"/>
      <c r="H2360" t="inlineStr"/>
    </row>
    <row r="2361">
      <c r="A2361" t="inlineStr">
        <is>
          <t>44b70f4f-99f0-46e2-8e64-5e919fead2c1.jpg</t>
        </is>
      </c>
      <c r="B2361">
        <f>HYPERLINK("Объекты недвижимости, не соответствующие градостроительным нормам_00-022_Август/44b70f4f-99f0-46e2-8e64-5e919fead2c1.jpg","open")</f>
        <v/>
      </c>
      <c r="C2361" t="inlineStr">
        <is>
          <t>8996eb30-6497-4318-8a0e-b95314b8172e</t>
        </is>
      </c>
      <c r="D2361" t="n">
        <v>55.72636</v>
      </c>
      <c r="E2361" t="n">
        <v>37.43183</v>
      </c>
      <c r="F2361" t="inlineStr"/>
      <c r="G2361" t="inlineStr"/>
      <c r="H2361" t="inlineStr"/>
    </row>
    <row r="2362">
      <c r="A2362" t="inlineStr">
        <is>
          <t>d7899c0b-3c0d-4d1b-958d-99ed0de17f09.jpg</t>
        </is>
      </c>
      <c r="B2362">
        <f>HYPERLINK("Объекты недвижимости, не соответствующие градостроительным нормам_00-022_Август/d7899c0b-3c0d-4d1b-958d-99ed0de17f09.jpg","open")</f>
        <v/>
      </c>
      <c r="C2362" t="inlineStr">
        <is>
          <t>12e795ad-2aa7-49de-b2da-2c6aa35a4559</t>
        </is>
      </c>
      <c r="D2362" t="n">
        <v>55.67978</v>
      </c>
      <c r="E2362" t="n">
        <v>37.588</v>
      </c>
      <c r="F2362" t="inlineStr"/>
      <c r="G2362" t="inlineStr"/>
      <c r="H2362" t="inlineStr"/>
    </row>
    <row r="2363">
      <c r="A2363" t="inlineStr">
        <is>
          <t>4fbaf774-a990-40d2-84b3-d46b7b9386e4.jpg</t>
        </is>
      </c>
      <c r="B2363">
        <f>HYPERLINK("Объекты недвижимости, не соответствующие градостроительным нормам_00-022_Август/4fbaf774-a990-40d2-84b3-d46b7b9386e4.jpg","open")</f>
        <v/>
      </c>
      <c r="C2363" t="inlineStr">
        <is>
          <t>750bf7e4-0f0f-4f1a-96af-607dc8c1f1c9</t>
        </is>
      </c>
      <c r="D2363" t="n">
        <v>55.7558</v>
      </c>
      <c r="E2363" t="n">
        <v>37.79372</v>
      </c>
      <c r="F2363" t="inlineStr"/>
      <c r="G2363" t="inlineStr"/>
      <c r="H2363" t="inlineStr"/>
    </row>
    <row r="2364">
      <c r="A2364" t="inlineStr">
        <is>
          <t>23a71360-ecdc-4194-99be-16385abf14be.jpg</t>
        </is>
      </c>
      <c r="B2364">
        <f>HYPERLINK("Объекты недвижимости, не соответствующие градостроительным нормам_00-022_Август/23a71360-ecdc-4194-99be-16385abf14be.jpg","open")</f>
        <v/>
      </c>
      <c r="C2364" t="inlineStr">
        <is>
          <t>cbf95b01-f708-45a3-9ec0-3603469b538e</t>
        </is>
      </c>
      <c r="D2364" t="n">
        <v>55.74258</v>
      </c>
      <c r="E2364" t="n">
        <v>37.67095</v>
      </c>
      <c r="F2364" t="inlineStr"/>
      <c r="G2364" t="inlineStr"/>
      <c r="H2364" t="inlineStr"/>
    </row>
    <row r="2365">
      <c r="A2365" t="inlineStr">
        <is>
          <t>528a798f-3172-4e7b-a0f3-c160bc27185e.jpg</t>
        </is>
      </c>
      <c r="B2365">
        <f>HYPERLINK("Объекты недвижимости, не соответствующие градостроительным нормам_00-022_Август/528a798f-3172-4e7b-a0f3-c160bc27185e.jpg","open")</f>
        <v/>
      </c>
      <c r="C2365" t="inlineStr">
        <is>
          <t>cbf95b01-f708-45a3-9ec0-3603469b538e</t>
        </is>
      </c>
      <c r="D2365" t="n">
        <v>55.74258</v>
      </c>
      <c r="E2365" t="n">
        <v>37.67095</v>
      </c>
      <c r="F2365" t="inlineStr"/>
      <c r="G2365" t="inlineStr"/>
      <c r="H2365" t="inlineStr"/>
    </row>
    <row r="2366">
      <c r="A2366" t="inlineStr">
        <is>
          <t>45e76bb2-d258-4655-9280-26bf01c4bfb1.jpg</t>
        </is>
      </c>
      <c r="B2366">
        <f>HYPERLINK("Объекты недвижимости, не соответствующие градостроительным нормам_00-022_Август/45e76bb2-d258-4655-9280-26bf01c4bfb1.jpg","open")</f>
        <v/>
      </c>
      <c r="C2366" t="inlineStr">
        <is>
          <t>a1a9db89-3f74-42ef-8fad-ad69705102cd</t>
        </is>
      </c>
      <c r="D2366" t="n">
        <v>55.74258</v>
      </c>
      <c r="E2366" t="n">
        <v>37.67095</v>
      </c>
      <c r="F2366" t="inlineStr"/>
      <c r="G2366" t="inlineStr"/>
      <c r="H2366" t="inlineStr"/>
    </row>
    <row r="2367">
      <c r="A2367" t="inlineStr">
        <is>
          <t>71c999f0-d385-48b4-b479-af1ed1b35fc9.jpg</t>
        </is>
      </c>
      <c r="B2367">
        <f>HYPERLINK("Объекты недвижимости, не соответствующие градостроительным нормам_00-022_Август/71c999f0-d385-48b4-b479-af1ed1b35fc9.jpg","open")</f>
        <v/>
      </c>
      <c r="C2367" t="inlineStr">
        <is>
          <t>cbf95b01-f708-45a3-9ec0-3603469b538e</t>
        </is>
      </c>
      <c r="D2367" t="n">
        <v>55.74258</v>
      </c>
      <c r="E2367" t="n">
        <v>37.67095</v>
      </c>
      <c r="F2367" t="inlineStr"/>
      <c r="G2367" t="inlineStr"/>
      <c r="H2367" t="inlineStr"/>
    </row>
    <row r="2368">
      <c r="A2368" t="inlineStr">
        <is>
          <t>26562c5f-d91f-4d7e-b693-31379b4b1555.jpg</t>
        </is>
      </c>
      <c r="B2368">
        <f>HYPERLINK("Объекты недвижимости, не соответствующие градостроительным нормам_00-022_Август/26562c5f-d91f-4d7e-b693-31379b4b1555.jpg","open")</f>
        <v/>
      </c>
      <c r="C2368" t="inlineStr">
        <is>
          <t>a1a9db89-3f74-42ef-8fad-ad69705102cd</t>
        </is>
      </c>
      <c r="D2368" t="n">
        <v>55.74258</v>
      </c>
      <c r="E2368" t="n">
        <v>37.67095</v>
      </c>
      <c r="F2368" t="inlineStr"/>
      <c r="G2368" t="inlineStr"/>
      <c r="H2368" t="inlineStr"/>
    </row>
    <row r="2369">
      <c r="A2369" t="inlineStr">
        <is>
          <t>76433c84-aff8-4621-a640-1e739505e96c.jpg</t>
        </is>
      </c>
      <c r="B2369">
        <f>HYPERLINK("Объекты недвижимости, не соответствующие градостроительным нормам_00-022_Август/76433c84-aff8-4621-a640-1e739505e96c.jpg","open")</f>
        <v/>
      </c>
      <c r="C2369" t="inlineStr">
        <is>
          <t>cbf95b01-f708-45a3-9ec0-3603469b538e</t>
        </is>
      </c>
      <c r="D2369" t="n">
        <v>55.74258</v>
      </c>
      <c r="E2369" t="n">
        <v>37.67095</v>
      </c>
      <c r="F2369" t="inlineStr"/>
      <c r="G2369" t="inlineStr"/>
      <c r="H2369" t="inlineStr"/>
    </row>
    <row r="2370">
      <c r="A2370" t="inlineStr">
        <is>
          <t>4774afe1-6c0a-4c24-81d1-6a74d6d928de.jpg</t>
        </is>
      </c>
      <c r="B2370">
        <f>HYPERLINK("Объекты недвижимости, не соответствующие градостроительным нормам_00-022_Август/4774afe1-6c0a-4c24-81d1-6a74d6d928de.jpg","open")</f>
        <v/>
      </c>
      <c r="C2370" t="inlineStr">
        <is>
          <t>030e8755-17c1-44eb-9530-707d0d3121cb</t>
        </is>
      </c>
      <c r="D2370" t="n">
        <v>55.62789</v>
      </c>
      <c r="E2370" t="n">
        <v>37.67785</v>
      </c>
      <c r="F2370" t="inlineStr"/>
      <c r="G2370" t="inlineStr"/>
      <c r="H2370" t="inlineStr"/>
    </row>
    <row r="2371">
      <c r="A2371" t="inlineStr">
        <is>
          <t>d69afafb-8f70-4ad8-be35-6139bb4d5d80.jpg</t>
        </is>
      </c>
      <c r="B2371">
        <f>HYPERLINK("Объекты недвижимости, не соответствующие градостроительным нормам_00-022_Август/d69afafb-8f70-4ad8-be35-6139bb4d5d80.jpg","open")</f>
        <v/>
      </c>
      <c r="C2371" t="inlineStr">
        <is>
          <t>936502dd-24a4-4256-9fdf-0d8fb72af3ed</t>
        </is>
      </c>
      <c r="D2371" t="n">
        <v>55.62797</v>
      </c>
      <c r="E2371" t="n">
        <v>37.6777</v>
      </c>
      <c r="F2371" t="inlineStr"/>
      <c r="G2371" t="inlineStr"/>
      <c r="H2371" t="inlineStr"/>
    </row>
    <row r="2372">
      <c r="A2372" t="inlineStr">
        <is>
          <t>1ba7e9ca-e13c-4a8c-b1fe-b4a1033858bd.jpg</t>
        </is>
      </c>
      <c r="B2372">
        <f>HYPERLINK("Объекты недвижимости, не соответствующие градостроительным нормам_00-022_Август/1ba7e9ca-e13c-4a8c-b1fe-b4a1033858bd.jpg","open")</f>
        <v/>
      </c>
      <c r="C2372" t="inlineStr">
        <is>
          <t>030e8755-17c1-44eb-9530-707d0d3121cb</t>
        </is>
      </c>
      <c r="D2372" t="n">
        <v>55.62794</v>
      </c>
      <c r="E2372" t="n">
        <v>37.67773</v>
      </c>
      <c r="F2372" t="inlineStr"/>
      <c r="G2372" t="inlineStr"/>
      <c r="H2372" t="inlineStr"/>
    </row>
    <row r="2373">
      <c r="A2373" t="inlineStr">
        <is>
          <t>3b26a38c-6507-4f5b-99f1-b4ee94ee8f3e.jpg</t>
        </is>
      </c>
      <c r="B2373">
        <f>HYPERLINK("Объекты недвижимости, не соответствующие градостроительным нормам_00-022_Август/3b26a38c-6507-4f5b-99f1-b4ee94ee8f3e.jpg","open")</f>
        <v/>
      </c>
      <c r="C2373" t="inlineStr">
        <is>
          <t>a1a9db89-3f74-42ef-8fad-ad69705102cd</t>
        </is>
      </c>
      <c r="D2373" t="n">
        <v>52.78451</v>
      </c>
      <c r="E2373" t="n">
        <v>43.86579</v>
      </c>
      <c r="F2373" t="inlineStr"/>
      <c r="G2373" t="inlineStr"/>
      <c r="H2373" t="inlineStr"/>
    </row>
    <row r="2374">
      <c r="A2374" t="inlineStr">
        <is>
          <t>662b45c9-6ec1-4b1c-b3d4-e34bb140e236.jpg</t>
        </is>
      </c>
      <c r="B2374">
        <f>HYPERLINK("Объекты недвижимости, не соответствующие градостроительным нормам_00-022_Август/662b45c9-6ec1-4b1c-b3d4-e34bb140e236.jpg","open")</f>
        <v/>
      </c>
      <c r="C2374" t="inlineStr">
        <is>
          <t>a1a9db89-3f74-42ef-8fad-ad69705102cd</t>
        </is>
      </c>
      <c r="D2374" t="n">
        <v>55.44459</v>
      </c>
      <c r="E2374" t="n">
        <v>37.50422</v>
      </c>
      <c r="F2374" t="inlineStr"/>
      <c r="G2374" t="inlineStr"/>
      <c r="H2374" t="inlineStr"/>
    </row>
    <row r="2375">
      <c r="A2375" t="inlineStr">
        <is>
          <t>d3d585a5-d62f-4d97-a1e0-10386c7f7bbe.jpg</t>
        </is>
      </c>
      <c r="B2375">
        <f>HYPERLINK("Объекты недвижимости, не соответствующие градостроительным нормам_00-022_Август/d3d585a5-d62f-4d97-a1e0-10386c7f7bbe.jpg","open")</f>
        <v/>
      </c>
      <c r="C2375" t="inlineStr">
        <is>
          <t>cbf95b01-f708-45a3-9ec0-3603469b538e</t>
        </is>
      </c>
      <c r="D2375" t="n">
        <v>55.44459</v>
      </c>
      <c r="E2375" t="n">
        <v>37.50422</v>
      </c>
      <c r="F2375" t="inlineStr"/>
      <c r="G2375" t="inlineStr"/>
      <c r="H2375" t="inlineStr"/>
    </row>
    <row r="2376">
      <c r="A2376" t="inlineStr">
        <is>
          <t>11ef6162-a570-4a70-8825-56d3194b6386.jpg</t>
        </is>
      </c>
      <c r="B2376">
        <f>HYPERLINK("Объекты недвижимости, не соответствующие градостроительным нормам_00-022_Август/11ef6162-a570-4a70-8825-56d3194b6386.jpg","open")</f>
        <v/>
      </c>
      <c r="C2376" t="inlineStr">
        <is>
          <t>48b533d5-d106-4175-ac9b-d5ce8d90cccf</t>
        </is>
      </c>
      <c r="D2376" t="n">
        <v>55.71587</v>
      </c>
      <c r="E2376" t="n">
        <v>37.40229</v>
      </c>
      <c r="F2376" t="inlineStr"/>
      <c r="G2376" t="inlineStr"/>
      <c r="H2376" t="inlineStr"/>
    </row>
    <row r="2377">
      <c r="A2377" t="inlineStr">
        <is>
          <t>06a6d038-5b0c-4db4-ba0b-6624fc260293.jpg</t>
        </is>
      </c>
      <c r="B2377">
        <f>HYPERLINK("Объекты недвижимости, не соответствующие градостроительным нормам_00-022_Август/06a6d038-5b0c-4db4-ba0b-6624fc260293.jpg","open")</f>
        <v/>
      </c>
      <c r="C2377" t="inlineStr">
        <is>
          <t>a1a9db89-3f74-42ef-8fad-ad69705102cd</t>
        </is>
      </c>
      <c r="D2377" t="n">
        <v>52.78451</v>
      </c>
      <c r="E2377" t="n">
        <v>43.86579</v>
      </c>
      <c r="F2377" t="inlineStr"/>
      <c r="G2377" t="inlineStr"/>
      <c r="H2377" t="inlineStr"/>
    </row>
    <row r="2378">
      <c r="A2378" t="inlineStr">
        <is>
          <t>64985fd6-c882-448e-ac4d-db123bd34150.jpg</t>
        </is>
      </c>
      <c r="B2378">
        <f>HYPERLINK("Объекты недвижимости, не соответствующие градостроительным нормам_00-022_Август/64985fd6-c882-448e-ac4d-db123bd34150.jpg","open")</f>
        <v/>
      </c>
      <c r="C2378" t="inlineStr">
        <is>
          <t>a1a9db89-3f74-42ef-8fad-ad69705102cd</t>
        </is>
      </c>
      <c r="D2378" t="n">
        <v>52.78451</v>
      </c>
      <c r="E2378" t="n">
        <v>43.86579</v>
      </c>
      <c r="F2378" t="inlineStr"/>
      <c r="G2378" t="inlineStr"/>
      <c r="H2378" t="inlineStr"/>
    </row>
    <row r="2379">
      <c r="A2379" t="inlineStr">
        <is>
          <t>28d0dad4-a3c5-42ce-a561-78249c80a150.jpg</t>
        </is>
      </c>
      <c r="B2379">
        <f>HYPERLINK("Объекты недвижимости, не соответствующие градостроительным нормам_00-022_Август/28d0dad4-a3c5-42ce-a561-78249c80a150.jpg","open")</f>
        <v/>
      </c>
      <c r="C2379" t="inlineStr">
        <is>
          <t>cbf95b01-f708-45a3-9ec0-3603469b538e</t>
        </is>
      </c>
      <c r="D2379" t="n">
        <v>52.78451</v>
      </c>
      <c r="E2379" t="n">
        <v>43.86579</v>
      </c>
      <c r="F2379" t="inlineStr"/>
      <c r="G2379" t="inlineStr"/>
      <c r="H2379" t="inlineStr"/>
    </row>
    <row r="2380">
      <c r="A2380" t="inlineStr">
        <is>
          <t>bac26682-c17d-4b69-b7e5-cce145794b3e.jpg</t>
        </is>
      </c>
      <c r="B2380">
        <f>HYPERLINK("Объекты недвижимости, не соответствующие градостроительным нормам_00-022_Август/bac26682-c17d-4b69-b7e5-cce145794b3e.jpg","open")</f>
        <v/>
      </c>
      <c r="C2380" t="inlineStr">
        <is>
          <t>a1a9db89-3f74-42ef-8fad-ad69705102cd</t>
        </is>
      </c>
      <c r="D2380" t="n">
        <v>52.78451</v>
      </c>
      <c r="E2380" t="n">
        <v>43.86579</v>
      </c>
      <c r="F2380" t="inlineStr"/>
      <c r="G2380" t="inlineStr"/>
      <c r="H2380" t="inlineStr"/>
    </row>
    <row r="2381">
      <c r="A2381" t="inlineStr">
        <is>
          <t>85553006-79f9-47a2-86b2-cd6235c08447.jpg</t>
        </is>
      </c>
      <c r="B2381">
        <f>HYPERLINK("Объекты недвижимости, не соответствующие градостроительным нормам_00-022_Август/85553006-79f9-47a2-86b2-cd6235c08447.jpg","open")</f>
        <v/>
      </c>
      <c r="C2381" t="inlineStr">
        <is>
          <t>57aae8a4-582b-4309-8045-c8127a9f86ae</t>
        </is>
      </c>
      <c r="D2381" t="n">
        <v>55.00883</v>
      </c>
      <c r="E2381" t="n">
        <v>82.65228</v>
      </c>
      <c r="F2381" t="inlineStr"/>
      <c r="G2381" t="inlineStr"/>
      <c r="H2381" t="inlineStr"/>
    </row>
    <row r="2382">
      <c r="A2382" t="inlineStr">
        <is>
          <t>985e45a8-e75d-4276-b391-774d27985788.jpg</t>
        </is>
      </c>
      <c r="B2382">
        <f>HYPERLINK("Объекты недвижимости, не соответствующие градостроительным нормам_00-022_Август/985e45a8-e75d-4276-b391-774d27985788.jpg","open")</f>
        <v/>
      </c>
      <c r="C2382" t="inlineStr">
        <is>
          <t>acedacc2-0d8b-4fc1-9622-25621a89d071</t>
        </is>
      </c>
      <c r="D2382" t="n">
        <v>55.00883</v>
      </c>
      <c r="E2382" t="n">
        <v>82.65228</v>
      </c>
      <c r="F2382" t="inlineStr"/>
      <c r="G2382" t="inlineStr"/>
      <c r="H2382" t="inlineStr"/>
    </row>
    <row r="2383">
      <c r="A2383" t="inlineStr">
        <is>
          <t>84b8eca2-14ea-455a-bcf8-bfd6bb4192da.jpg</t>
        </is>
      </c>
      <c r="B2383">
        <f>HYPERLINK("Объекты недвижимости, не соответствующие градостроительным нормам_00-022_Август/84b8eca2-14ea-455a-bcf8-bfd6bb4192da.jpg","open")</f>
        <v/>
      </c>
      <c r="C2383" t="inlineStr">
        <is>
          <t>ffd931da-542f-43e9-979f-5552b17fe3dc</t>
        </is>
      </c>
      <c r="D2383" t="n">
        <v>55.79411</v>
      </c>
      <c r="E2383" t="n">
        <v>37.72068</v>
      </c>
      <c r="F2383" t="inlineStr"/>
      <c r="G2383" t="inlineStr"/>
      <c r="H2383" t="inlineStr"/>
    </row>
    <row r="2384">
      <c r="A2384" t="inlineStr">
        <is>
          <t>807f9ad7-1319-40e6-8c40-b7d75b3351ba.jpg</t>
        </is>
      </c>
      <c r="B2384">
        <f>HYPERLINK("Объекты недвижимости, не соответствующие градостроительным нормам_00-022_Август/807f9ad7-1319-40e6-8c40-b7d75b3351ba.jpg","open")</f>
        <v/>
      </c>
      <c r="C2384" t="inlineStr">
        <is>
          <t>ffd931da-542f-43e9-979f-5552b17fe3dc</t>
        </is>
      </c>
      <c r="D2384" t="n">
        <v>55.79371</v>
      </c>
      <c r="E2384" t="n">
        <v>37.72184</v>
      </c>
      <c r="F2384" t="inlineStr"/>
      <c r="G2384" t="inlineStr"/>
      <c r="H2384" t="inlineStr"/>
    </row>
    <row r="2385">
      <c r="A2385" t="inlineStr">
        <is>
          <t>fe6c7fea-fea3-4b11-ad60-2d3f1470d571.jpg</t>
        </is>
      </c>
      <c r="B2385">
        <f>HYPERLINK("Объекты недвижимости, не соответствующие градостроительным нормам_00-022_Август/fe6c7fea-fea3-4b11-ad60-2d3f1470d571.jpg","open")</f>
        <v/>
      </c>
      <c r="C2385" t="inlineStr">
        <is>
          <t>57aae8a4-582b-4309-8045-c8127a9f86ae</t>
        </is>
      </c>
      <c r="D2385" t="n">
        <v>55.00883</v>
      </c>
      <c r="E2385" t="n">
        <v>82.65228</v>
      </c>
      <c r="F2385" t="inlineStr"/>
      <c r="G2385" t="inlineStr"/>
      <c r="H2385" t="inlineStr"/>
    </row>
    <row r="2386">
      <c r="A2386" t="inlineStr">
        <is>
          <t>44d86183-b5d3-4ff7-9711-5e3948bb8654.jpg</t>
        </is>
      </c>
      <c r="B2386">
        <f>HYPERLINK("Объекты недвижимости, не соответствующие градостроительным нормам_00-022_Август/44d86183-b5d3-4ff7-9711-5e3948bb8654.jpg","open")</f>
        <v/>
      </c>
      <c r="C2386" t="inlineStr">
        <is>
          <t>a1a9db89-3f74-42ef-8fad-ad69705102cd</t>
        </is>
      </c>
      <c r="D2386" t="n">
        <v>52.78451</v>
      </c>
      <c r="E2386" t="n">
        <v>43.86579</v>
      </c>
      <c r="F2386" t="inlineStr"/>
      <c r="G2386" t="inlineStr"/>
      <c r="H2386" t="inlineStr"/>
    </row>
    <row r="2387">
      <c r="A2387" t="inlineStr">
        <is>
          <t>338b0dd3-e304-49b4-a250-1fe9cbc93c9b.jpg</t>
        </is>
      </c>
      <c r="B2387">
        <f>HYPERLINK("Объекты недвижимости, не соответствующие градостроительным нормам_00-022_Август/338b0dd3-e304-49b4-a250-1fe9cbc93c9b.jpg","open")</f>
        <v/>
      </c>
      <c r="C2387" t="inlineStr">
        <is>
          <t>8cde1fd0-eca1-4510-86ab-3c743b65fdfc</t>
        </is>
      </c>
      <c r="D2387" t="n">
        <v>55.71481</v>
      </c>
      <c r="E2387" t="n">
        <v>37.84479</v>
      </c>
      <c r="F2387" t="inlineStr"/>
      <c r="G2387" t="inlineStr"/>
      <c r="H2387" t="inlineStr"/>
    </row>
    <row r="2388">
      <c r="A2388" t="inlineStr">
        <is>
          <t>ba6c362f-b6b4-42e7-bcea-8e02cb4e38c7.jpg</t>
        </is>
      </c>
      <c r="B2388">
        <f>HYPERLINK("Объекты недвижимости, не соответствующие градостроительным нормам_00-022_Август/ba6c362f-b6b4-42e7-bcea-8e02cb4e38c7.jpg","open")</f>
        <v/>
      </c>
      <c r="C2388" t="inlineStr">
        <is>
          <t>acedacc2-0d8b-4fc1-9622-25621a89d071</t>
        </is>
      </c>
      <c r="D2388" t="n">
        <v>55.00883</v>
      </c>
      <c r="E2388" t="n">
        <v>82.65228</v>
      </c>
      <c r="F2388" t="inlineStr"/>
      <c r="G2388" t="inlineStr"/>
      <c r="H2388" t="inlineStr"/>
    </row>
    <row r="2389">
      <c r="A2389" t="inlineStr">
        <is>
          <t>039a26d9-fa59-4946-813f-baab5b57cd6b.jpg</t>
        </is>
      </c>
      <c r="B2389">
        <f>HYPERLINK("Объекты недвижимости, не соответствующие градостроительным нормам_00-022_Август/039a26d9-fa59-4946-813f-baab5b57cd6b.jpg","open")</f>
        <v/>
      </c>
      <c r="C2389" t="inlineStr">
        <is>
          <t>8cde1fd0-eca1-4510-86ab-3c743b65fdfc</t>
        </is>
      </c>
      <c r="D2389" t="n">
        <v>55.71483</v>
      </c>
      <c r="E2389" t="n">
        <v>37.84478</v>
      </c>
      <c r="F2389" t="inlineStr"/>
      <c r="G2389" t="inlineStr"/>
      <c r="H2389" t="inlineStr"/>
    </row>
    <row r="2390">
      <c r="A2390" t="inlineStr">
        <is>
          <t>e13429c2-5b2f-427a-ac56-aff5f92ae104.jpg</t>
        </is>
      </c>
      <c r="B2390">
        <f>HYPERLINK("Объекты недвижимости, не соответствующие градостроительным нормам_00-022_Август/e13429c2-5b2f-427a-ac56-aff5f92ae104.jpg","open")</f>
        <v/>
      </c>
      <c r="C2390" t="inlineStr">
        <is>
          <t>e26f5fc2-1353-4f29-85f3-87c56419161c</t>
        </is>
      </c>
      <c r="D2390" t="n">
        <v>55.86162</v>
      </c>
      <c r="E2390" t="n">
        <v>37.69776</v>
      </c>
      <c r="F2390" t="inlineStr"/>
      <c r="G2390" t="inlineStr"/>
      <c r="H2390" t="inlineStr"/>
    </row>
    <row r="2391">
      <c r="A2391" t="inlineStr">
        <is>
          <t>4415c5f3-0e1b-4b49-a8bb-2840a01158ec.jpg</t>
        </is>
      </c>
      <c r="B2391">
        <f>HYPERLINK("Объекты недвижимости, не соответствующие градостроительным нормам_00-022_Август/4415c5f3-0e1b-4b49-a8bb-2840a01158ec.jpg","open")</f>
        <v/>
      </c>
      <c r="C2391" t="inlineStr">
        <is>
          <t>e26f5fc2-1353-4f29-85f3-87c56419161c</t>
        </is>
      </c>
      <c r="D2391" t="n">
        <v>55.86164</v>
      </c>
      <c r="E2391" t="n">
        <v>37.69774</v>
      </c>
      <c r="F2391" t="inlineStr"/>
      <c r="G2391" t="inlineStr"/>
      <c r="H2391" t="inlineStr"/>
    </row>
    <row r="2392">
      <c r="A2392" t="inlineStr">
        <is>
          <t>9b9ea2e2-657e-483f-ae73-24a467dfaa94.jpg</t>
        </is>
      </c>
      <c r="B2392">
        <f>HYPERLINK("Объекты недвижимости, не соответствующие градостроительным нормам_00-022_Август/9b9ea2e2-657e-483f-ae73-24a467dfaa94.jpg","open")</f>
        <v/>
      </c>
      <c r="C2392" t="inlineStr">
        <is>
          <t>8cde1fd0-eca1-4510-86ab-3c743b65fdfc</t>
        </is>
      </c>
      <c r="D2392" t="n">
        <v>55.7106</v>
      </c>
      <c r="E2392" t="n">
        <v>37.85088</v>
      </c>
      <c r="F2392" t="inlineStr"/>
      <c r="G2392" t="inlineStr"/>
      <c r="H2392" t="inlineStr"/>
    </row>
    <row r="2393">
      <c r="A2393" t="inlineStr">
        <is>
          <t>ff293d70-bf4c-4a1a-9b97-1c205e642735.jpg</t>
        </is>
      </c>
      <c r="B2393">
        <f>HYPERLINK("Объекты недвижимости, не соответствующие градостроительным нормам_00-022_Август/ff293d70-bf4c-4a1a-9b97-1c205e642735.jpg","open")</f>
        <v/>
      </c>
      <c r="C2393" t="inlineStr">
        <is>
          <t>8cde1fd0-eca1-4510-86ab-3c743b65fdfc</t>
        </is>
      </c>
      <c r="D2393" t="n">
        <v>55.71071</v>
      </c>
      <c r="E2393" t="n">
        <v>37.85076</v>
      </c>
      <c r="F2393" t="inlineStr"/>
      <c r="G2393" t="inlineStr"/>
      <c r="H2393" t="inlineStr"/>
    </row>
    <row r="2394">
      <c r="A2394" t="inlineStr">
        <is>
          <t>96d31b44-f480-4185-a2e3-d17b5f7a945b.jpg</t>
        </is>
      </c>
      <c r="B2394">
        <f>HYPERLINK("Объекты недвижимости, не соответствующие градостроительным нормам_00-022_Август/96d31b44-f480-4185-a2e3-d17b5f7a945b.jpg","open")</f>
        <v/>
      </c>
      <c r="C2394" t="inlineStr">
        <is>
          <t>e26f5fc2-1353-4f29-85f3-87c56419161c</t>
        </is>
      </c>
      <c r="D2394" t="n">
        <v>55.86166</v>
      </c>
      <c r="E2394" t="n">
        <v>37.69772</v>
      </c>
      <c r="F2394" t="inlineStr"/>
      <c r="G2394" t="inlineStr"/>
      <c r="H2394" t="inlineStr"/>
    </row>
    <row r="2395">
      <c r="A2395" t="inlineStr">
        <is>
          <t>926c51e2-7363-4feb-b1b5-54e0fdd5ee0d.jpg</t>
        </is>
      </c>
      <c r="B2395">
        <f>HYPERLINK("Объекты недвижимости, не соответствующие градостроительным нормам_00-022_Август/926c51e2-7363-4feb-b1b5-54e0fdd5ee0d.jpg","open")</f>
        <v/>
      </c>
      <c r="C2395" t="inlineStr">
        <is>
          <t>e26f5fc2-1353-4f29-85f3-87c56419161c</t>
        </is>
      </c>
      <c r="D2395" t="n">
        <v>55.86166</v>
      </c>
      <c r="E2395" t="n">
        <v>37.69772</v>
      </c>
      <c r="F2395" t="inlineStr"/>
      <c r="G2395" t="inlineStr"/>
      <c r="H2395" t="inlineStr"/>
    </row>
    <row r="2396">
      <c r="A2396" t="inlineStr">
        <is>
          <t>abe23c4b-3b32-4e47-af19-f3efc02ada78.jpg</t>
        </is>
      </c>
      <c r="B2396">
        <f>HYPERLINK("Объекты недвижимости, не соответствующие градостроительным нормам_00-022_Август/abe23c4b-3b32-4e47-af19-f3efc02ada78.jpg","open")</f>
        <v/>
      </c>
      <c r="C2396" t="inlineStr">
        <is>
          <t>e26f5fc2-1353-4f29-85f3-87c56419161c</t>
        </is>
      </c>
      <c r="D2396" t="n">
        <v>55.86161</v>
      </c>
      <c r="E2396" t="n">
        <v>37.69776</v>
      </c>
      <c r="F2396" t="inlineStr"/>
      <c r="G2396" t="inlineStr"/>
      <c r="H2396" t="inlineStr"/>
    </row>
    <row r="2397">
      <c r="A2397" t="inlineStr">
        <is>
          <t>28279fa1-72b9-4275-ae55-792cf1870df7.jpg</t>
        </is>
      </c>
      <c r="B2397">
        <f>HYPERLINK("Объекты недвижимости, не соответствующие градостроительным нормам_00-022_Август/28279fa1-72b9-4275-ae55-792cf1870df7.jpg","open")</f>
        <v/>
      </c>
      <c r="C2397" t="inlineStr">
        <is>
          <t>e26f5fc2-1353-4f29-85f3-87c56419161c</t>
        </is>
      </c>
      <c r="D2397" t="n">
        <v>55.86169</v>
      </c>
      <c r="E2397" t="n">
        <v>37.69769</v>
      </c>
      <c r="F2397" t="inlineStr"/>
      <c r="G2397" t="inlineStr"/>
      <c r="H2397" t="inlineStr"/>
    </row>
    <row r="2398">
      <c r="A2398" t="inlineStr">
        <is>
          <t>44beca6a-da28-4c22-a600-5c78aab1c054.jpg</t>
        </is>
      </c>
      <c r="B2398">
        <f>HYPERLINK("Объекты недвижимости, не соответствующие градостроительным нормам_00-022_Август/44beca6a-da28-4c22-a600-5c78aab1c054.jpg","open")</f>
        <v/>
      </c>
      <c r="C2398" t="inlineStr">
        <is>
          <t>f20fbc2b-b369-4734-bb66-92af02fbb0d1</t>
        </is>
      </c>
      <c r="D2398" t="n">
        <v>55.64319</v>
      </c>
      <c r="E2398" t="n">
        <v>37.71487</v>
      </c>
      <c r="F2398" t="inlineStr"/>
      <c r="G2398" t="inlineStr"/>
      <c r="H2398" t="inlineStr"/>
    </row>
    <row r="2399">
      <c r="A2399" t="inlineStr">
        <is>
          <t>bc4d10c0-e30b-4332-8ecf-5f42ce4dcc1c.jpg</t>
        </is>
      </c>
      <c r="B2399">
        <f>HYPERLINK("Объекты недвижимости, не соответствующие градостроительным нормам_00-022_Август/bc4d10c0-e30b-4332-8ecf-5f42ce4dcc1c.jpg","open")</f>
        <v/>
      </c>
      <c r="C2399" t="inlineStr">
        <is>
          <t>1a55986c-2c3f-40c0-b3d1-014dce77832e</t>
        </is>
      </c>
      <c r="D2399" t="n">
        <v>55.8541</v>
      </c>
      <c r="E2399" t="n">
        <v>37.60504</v>
      </c>
      <c r="F2399" t="inlineStr"/>
      <c r="G2399" t="inlineStr"/>
      <c r="H2399" t="inlineStr"/>
    </row>
    <row r="2400">
      <c r="A2400" t="inlineStr">
        <is>
          <t>be6803f8-423b-4fd1-a275-3c4f57b240ca.jpg</t>
        </is>
      </c>
      <c r="B2400">
        <f>HYPERLINK("Объекты недвижимости, не соответствующие градостроительным нормам_00-022_Август/be6803f8-423b-4fd1-a275-3c4f57b240ca.jpg","open")</f>
        <v/>
      </c>
      <c r="C2400" t="inlineStr">
        <is>
          <t>685d9054-b74f-49ab-857b-109fd2cec80d</t>
        </is>
      </c>
      <c r="D2400" t="n">
        <v>55.64144</v>
      </c>
      <c r="E2400" t="n">
        <v>37.47684</v>
      </c>
      <c r="F2400" t="inlineStr"/>
      <c r="G2400" t="inlineStr"/>
      <c r="H2400" t="inlineStr"/>
    </row>
    <row r="2401">
      <c r="A2401" t="inlineStr">
        <is>
          <t>5553af53-9943-4f07-adb5-7a874281cc06.jpg</t>
        </is>
      </c>
      <c r="B2401">
        <f>HYPERLINK("Объекты недвижимости, не соответствующие градостроительным нормам_00-022_Август/5553af53-9943-4f07-adb5-7a874281cc06.jpg","open")</f>
        <v/>
      </c>
      <c r="C2401" t="inlineStr">
        <is>
          <t>685d9054-b74f-49ab-857b-109fd2cec80d</t>
        </is>
      </c>
      <c r="D2401" t="n">
        <v>55.64536</v>
      </c>
      <c r="E2401" t="n">
        <v>37.4754</v>
      </c>
      <c r="F2401" t="inlineStr"/>
      <c r="G2401" t="inlineStr"/>
      <c r="H2401" t="inlineStr"/>
    </row>
    <row r="2402">
      <c r="A2402" t="inlineStr">
        <is>
          <t>d689167b-9aee-4b6c-a655-b1deb7ca1bce.jpg</t>
        </is>
      </c>
      <c r="B2402">
        <f>HYPERLINK("Объекты недвижимости, не соответствующие градостроительным нормам_00-022_Август/d689167b-9aee-4b6c-a655-b1deb7ca1bce.jpg","open")</f>
        <v/>
      </c>
      <c r="C2402" t="inlineStr">
        <is>
          <t>1231bbc5-e64c-4dc7-9acc-77710f47607a</t>
        </is>
      </c>
      <c r="D2402" t="n">
        <v>55.64537</v>
      </c>
      <c r="E2402" t="n">
        <v>37.4754</v>
      </c>
      <c r="F2402" t="inlineStr"/>
      <c r="G2402" t="inlineStr"/>
      <c r="H2402" t="inlineStr"/>
    </row>
    <row r="2403">
      <c r="A2403" t="inlineStr">
        <is>
          <t>971cd8b6-ea90-473c-b9b6-05283392507b.jpg</t>
        </is>
      </c>
      <c r="B2403">
        <f>HYPERLINK("Объекты недвижимости, не соответствующие градостроительным нормам_00-022_Август/971cd8b6-ea90-473c-b9b6-05283392507b.jpg","open")</f>
        <v/>
      </c>
      <c r="C2403" t="inlineStr">
        <is>
          <t>ed2bf0f1-3a66-4913-896e-4420a9796c0b</t>
        </is>
      </c>
      <c r="D2403" t="n">
        <v>55.85527</v>
      </c>
      <c r="E2403" t="n">
        <v>37.59476</v>
      </c>
      <c r="F2403" t="inlineStr"/>
      <c r="G2403" t="inlineStr"/>
      <c r="H2403" t="inlineStr"/>
    </row>
    <row r="2404">
      <c r="A2404" t="inlineStr">
        <is>
          <t>e62fb01e-a7b0-4726-9b25-36b2c1171520.jpg</t>
        </is>
      </c>
      <c r="B2404">
        <f>HYPERLINK("Объекты недвижимости, не соответствующие градостроительным нормам_00-022_Август/e62fb01e-a7b0-4726-9b25-36b2c1171520.jpg","open")</f>
        <v/>
      </c>
      <c r="C2404" t="inlineStr">
        <is>
          <t>030e8755-17c1-44eb-9530-707d0d3121cb</t>
        </is>
      </c>
      <c r="D2404" t="n">
        <v>55.63099</v>
      </c>
      <c r="E2404" t="n">
        <v>37.66802</v>
      </c>
      <c r="F2404" t="inlineStr"/>
      <c r="G2404" t="inlineStr"/>
      <c r="H2404" t="inlineStr"/>
    </row>
    <row r="2405">
      <c r="A2405" t="inlineStr">
        <is>
          <t>e51dd972-43bf-4dd9-ab2c-4acd5097e0ce.jpg</t>
        </is>
      </c>
      <c r="B2405">
        <f>HYPERLINK("Объекты недвижимости, не соответствующие градостроительным нормам_00-022_Август/e51dd972-43bf-4dd9-ab2c-4acd5097e0ce.jpg","open")</f>
        <v/>
      </c>
      <c r="C2405" t="inlineStr">
        <is>
          <t>030e8755-17c1-44eb-9530-707d0d3121cb</t>
        </is>
      </c>
      <c r="D2405" t="n">
        <v>55.63108</v>
      </c>
      <c r="E2405" t="n">
        <v>37.66801</v>
      </c>
      <c r="F2405" t="inlineStr"/>
      <c r="G2405" t="inlineStr"/>
      <c r="H2405" t="inlineStr"/>
    </row>
    <row r="2406">
      <c r="A2406" t="inlineStr">
        <is>
          <t>242d3d80-e415-4e41-9a05-46ea9e24c9e6.jpg</t>
        </is>
      </c>
      <c r="B2406">
        <f>HYPERLINK("Объекты недвижимости, не соответствующие градостроительным нормам_00-022_Август/242d3d80-e415-4e41-9a05-46ea9e24c9e6.jpg","open")</f>
        <v/>
      </c>
      <c r="C2406" t="inlineStr">
        <is>
          <t>1231bbc5-e64c-4dc7-9acc-77710f47607a</t>
        </is>
      </c>
      <c r="D2406" t="n">
        <v>55.64632</v>
      </c>
      <c r="E2406" t="n">
        <v>37.47788</v>
      </c>
      <c r="F2406" t="inlineStr"/>
      <c r="G2406" t="inlineStr"/>
      <c r="H2406" t="inlineStr"/>
    </row>
    <row r="2407">
      <c r="A2407" t="inlineStr">
        <is>
          <t>78ed0afd-aaea-43de-b2fc-87084ee0d2c0.jpg</t>
        </is>
      </c>
      <c r="B2407">
        <f>HYPERLINK("Объекты недвижимости, не соответствующие градостроительным нормам_00-022_Август/78ed0afd-aaea-43de-b2fc-87084ee0d2c0.jpg","open")</f>
        <v/>
      </c>
      <c r="C2407" t="inlineStr">
        <is>
          <t>030e8755-17c1-44eb-9530-707d0d3121cb</t>
        </is>
      </c>
      <c r="D2407" t="n">
        <v>55.63121</v>
      </c>
      <c r="E2407" t="n">
        <v>37.66791</v>
      </c>
      <c r="F2407" t="inlineStr"/>
      <c r="G2407" t="inlineStr"/>
      <c r="H2407" t="inlineStr"/>
    </row>
    <row r="2408">
      <c r="A2408" t="inlineStr">
        <is>
          <t>5cc460d5-c1cf-42c8-9430-37db6c72d4f0.jpg</t>
        </is>
      </c>
      <c r="B2408">
        <f>HYPERLINK("Объекты недвижимости, не соответствующие градостроительным нормам_00-022_Август/5cc460d5-c1cf-42c8-9430-37db6c72d4f0.jpg","open")</f>
        <v/>
      </c>
      <c r="C2408" t="inlineStr">
        <is>
          <t>1231bbc5-e64c-4dc7-9acc-77710f47607a</t>
        </is>
      </c>
      <c r="D2408" t="n">
        <v>55.64522</v>
      </c>
      <c r="E2408" t="n">
        <v>37.47632</v>
      </c>
      <c r="F2408" t="inlineStr"/>
      <c r="G2408" t="inlineStr"/>
      <c r="H2408" t="inlineStr"/>
    </row>
    <row r="2409">
      <c r="A2409" t="inlineStr">
        <is>
          <t>60666b16-2206-42bd-946d-ce06be023c52.jpg</t>
        </is>
      </c>
      <c r="B2409">
        <f>HYPERLINK("Объекты недвижимости, не соответствующие градостроительным нормам_00-022_Август/60666b16-2206-42bd-946d-ce06be023c52.jpg","open")</f>
        <v/>
      </c>
      <c r="C2409" t="inlineStr">
        <is>
          <t>685d9054-b74f-49ab-857b-109fd2cec80d</t>
        </is>
      </c>
      <c r="D2409" t="n">
        <v>55.64557</v>
      </c>
      <c r="E2409" t="n">
        <v>37.47548</v>
      </c>
      <c r="F2409" t="inlineStr"/>
      <c r="G2409" t="inlineStr"/>
      <c r="H2409" t="inlineStr"/>
    </row>
    <row r="2410">
      <c r="A2410" t="inlineStr">
        <is>
          <t>7929318b-3e28-4dc4-987d-eecee13c1740.jpg</t>
        </is>
      </c>
      <c r="B2410">
        <f>HYPERLINK("Объекты недвижимости, не соответствующие градостроительным нормам_00-022_Август/7929318b-3e28-4dc4-987d-eecee13c1740.jpg","open")</f>
        <v/>
      </c>
      <c r="C2410" t="inlineStr">
        <is>
          <t>8cde1fd0-eca1-4510-86ab-3c743b65fdfc</t>
        </is>
      </c>
      <c r="D2410" t="n">
        <v>55.71403</v>
      </c>
      <c r="E2410" t="n">
        <v>37.85616</v>
      </c>
      <c r="F2410" t="inlineStr"/>
      <c r="G2410" t="inlineStr"/>
      <c r="H2410" t="inlineStr"/>
    </row>
    <row r="2411">
      <c r="A2411" t="inlineStr">
        <is>
          <t>d800155e-e1d4-4fb2-889b-cf744bd267e7.jpg</t>
        </is>
      </c>
      <c r="B2411">
        <f>HYPERLINK("Объекты недвижимости, не соответствующие градостроительным нормам_00-022_Август/d800155e-e1d4-4fb2-889b-cf744bd267e7.jpg","open")</f>
        <v/>
      </c>
      <c r="C2411" t="inlineStr">
        <is>
          <t>a28f597e-d1cd-4d3b-b572-c86d033412e9</t>
        </is>
      </c>
      <c r="D2411" t="n">
        <v>55.70659</v>
      </c>
      <c r="E2411" t="n">
        <v>37.47242</v>
      </c>
      <c r="F2411" t="inlineStr"/>
      <c r="G2411" t="inlineStr"/>
      <c r="H2411" t="inlineStr"/>
    </row>
    <row r="2412">
      <c r="A2412" t="inlineStr">
        <is>
          <t>960efee8-62ee-4ac4-a349-02f68c7e0246.jpg</t>
        </is>
      </c>
      <c r="B2412">
        <f>HYPERLINK("Объекты недвижимости, не соответствующие градостроительным нормам_00-022_Август/960efee8-62ee-4ac4-a349-02f68c7e0246.jpg","open")</f>
        <v/>
      </c>
      <c r="C2412" t="inlineStr">
        <is>
          <t>036c664f-5408-4fd0-b479-342c00468eeb</t>
        </is>
      </c>
      <c r="D2412" t="n">
        <v>55.70662</v>
      </c>
      <c r="E2412" t="n">
        <v>37.47245</v>
      </c>
      <c r="F2412" t="inlineStr"/>
      <c r="G2412" t="inlineStr"/>
      <c r="H2412" t="inlineStr"/>
    </row>
    <row r="2413">
      <c r="A2413" t="inlineStr">
        <is>
          <t>5424c80b-6252-4aa8-80b6-175b733d32b1.jpg</t>
        </is>
      </c>
      <c r="B2413">
        <f>HYPERLINK("Объекты недвижимости, не соответствующие градостроительным нормам_00-022_Август/5424c80b-6252-4aa8-80b6-175b733d32b1.jpg","open")</f>
        <v/>
      </c>
      <c r="C2413" t="inlineStr">
        <is>
          <t>8cde1fd0-eca1-4510-86ab-3c743b65fdfc</t>
        </is>
      </c>
      <c r="D2413" t="n">
        <v>55.71855</v>
      </c>
      <c r="E2413" t="n">
        <v>37.85995</v>
      </c>
      <c r="F2413" t="inlineStr"/>
      <c r="G2413" t="inlineStr"/>
      <c r="H2413" t="inlineStr"/>
    </row>
    <row r="2414">
      <c r="A2414" t="inlineStr">
        <is>
          <t>b50503ff-e71c-4419-a0dd-60b6153ba62e.jpg</t>
        </is>
      </c>
      <c r="B2414">
        <f>HYPERLINK("Объекты недвижимости, не соответствующие градостроительным нормам_00-022_Август/b50503ff-e71c-4419-a0dd-60b6153ba62e.jpg","open")</f>
        <v/>
      </c>
      <c r="C2414" t="inlineStr">
        <is>
          <t>685d9054-b74f-49ab-857b-109fd2cec80d</t>
        </is>
      </c>
      <c r="D2414" t="n">
        <v>55.64414</v>
      </c>
      <c r="E2414" t="n">
        <v>37.47776</v>
      </c>
      <c r="F2414" t="inlineStr"/>
      <c r="G2414" t="inlineStr"/>
      <c r="H2414" t="inlineStr"/>
    </row>
    <row r="2415">
      <c r="A2415" t="inlineStr">
        <is>
          <t>b04ed192-949a-4b14-8a45-b243347678ef.jpg</t>
        </is>
      </c>
      <c r="B2415">
        <f>HYPERLINK("Объекты недвижимости, не соответствующие градостроительным нормам_00-022_Август/b04ed192-949a-4b14-8a45-b243347678ef.jpg","open")</f>
        <v/>
      </c>
      <c r="C2415" t="inlineStr">
        <is>
          <t>685d9054-b74f-49ab-857b-109fd2cec80d</t>
        </is>
      </c>
      <c r="D2415" t="n">
        <v>55.64372</v>
      </c>
      <c r="E2415" t="n">
        <v>37.48332</v>
      </c>
      <c r="F2415" t="inlineStr"/>
      <c r="G2415" t="inlineStr"/>
      <c r="H2415" t="inlineStr"/>
    </row>
    <row r="2416">
      <c r="A2416" t="inlineStr">
        <is>
          <t>6225a172-c17a-4508-beec-f39034897ff2.jpg</t>
        </is>
      </c>
      <c r="B2416">
        <f>HYPERLINK("Объекты недвижимости, не соответствующие градостроительным нормам_00-022_Август/6225a172-c17a-4508-beec-f39034897ff2.jpg","open")</f>
        <v/>
      </c>
      <c r="C2416" t="inlineStr">
        <is>
          <t>685d9054-b74f-49ab-857b-109fd2cec80d</t>
        </is>
      </c>
      <c r="D2416" t="n">
        <v>55.64301</v>
      </c>
      <c r="E2416" t="n">
        <v>37.48127</v>
      </c>
      <c r="F2416" t="inlineStr"/>
      <c r="G2416" t="inlineStr"/>
      <c r="H2416" t="inlineStr"/>
    </row>
    <row r="2417">
      <c r="A2417" t="inlineStr">
        <is>
          <t>42178d6c-0d91-4072-a1c6-9d5846df7a20.jpg</t>
        </is>
      </c>
      <c r="B2417">
        <f>HYPERLINK("Объекты недвижимости, не соответствующие градостроительным нормам_00-022_Август/42178d6c-0d91-4072-a1c6-9d5846df7a20.jpg","open")</f>
        <v/>
      </c>
      <c r="C2417" t="inlineStr">
        <is>
          <t>685d9054-b74f-49ab-857b-109fd2cec80d</t>
        </is>
      </c>
      <c r="D2417" t="n">
        <v>55.64289</v>
      </c>
      <c r="E2417" t="n">
        <v>37.4807</v>
      </c>
      <c r="F2417" t="inlineStr"/>
      <c r="G2417" t="inlineStr"/>
      <c r="H2417" t="inlineStr"/>
    </row>
    <row r="2418">
      <c r="A2418" t="inlineStr">
        <is>
          <t>7836c042-232d-44f8-be3a-bc1befdf05d8.jpg</t>
        </is>
      </c>
      <c r="B2418">
        <f>HYPERLINK("Объекты недвижимости, не соответствующие градостроительным нормам_00-022_Август/7836c042-232d-44f8-be3a-bc1befdf05d8.jpg","open")</f>
        <v/>
      </c>
      <c r="C2418" t="inlineStr">
        <is>
          <t>1231bbc5-e64c-4dc7-9acc-77710f47607a</t>
        </is>
      </c>
      <c r="D2418" t="n">
        <v>55.64336</v>
      </c>
      <c r="E2418" t="n">
        <v>37.48071</v>
      </c>
      <c r="F2418" t="inlineStr"/>
      <c r="G2418" t="inlineStr"/>
      <c r="H2418" t="inlineStr"/>
    </row>
    <row r="2419">
      <c r="A2419" t="inlineStr">
        <is>
          <t>5359057a-ee4e-4ca5-958b-a1cb14b823d4.jpg</t>
        </is>
      </c>
      <c r="B2419">
        <f>HYPERLINK("Объекты недвижимости, не соответствующие градостроительным нормам_00-022_Август/5359057a-ee4e-4ca5-958b-a1cb14b823d4.jpg","open")</f>
        <v/>
      </c>
      <c r="C2419" t="inlineStr">
        <is>
          <t>ad64e6b9-1ed5-44d7-a101-4945a1f9dec6</t>
        </is>
      </c>
      <c r="D2419" t="n">
        <v>55.68092</v>
      </c>
      <c r="E2419" t="n">
        <v>37.57393</v>
      </c>
      <c r="F2419" t="inlineStr"/>
      <c r="G2419" t="inlineStr"/>
      <c r="H2419" t="inlineStr"/>
    </row>
    <row r="2420">
      <c r="A2420" t="inlineStr">
        <is>
          <t>9da29fad-3929-4ccd-8ff4-5769e756e8c2.jpg</t>
        </is>
      </c>
      <c r="B2420">
        <f>HYPERLINK("Объекты недвижимости, не соответствующие градостроительным нормам_00-022_Август/9da29fad-3929-4ccd-8ff4-5769e756e8c2.jpg","open")</f>
        <v/>
      </c>
      <c r="C2420" t="inlineStr">
        <is>
          <t>2acfb2da-e3f6-464c-bd17-4b713522c142</t>
        </is>
      </c>
      <c r="D2420" t="n">
        <v>55.78866</v>
      </c>
      <c r="E2420" t="n">
        <v>37.61345</v>
      </c>
      <c r="F2420" t="inlineStr"/>
      <c r="G2420" t="inlineStr"/>
      <c r="H2420" t="inlineStr"/>
    </row>
    <row r="2421">
      <c r="A2421" t="inlineStr">
        <is>
          <t>4590950a-2b99-4e8e-80e3-a1eacb888fd0.jpg</t>
        </is>
      </c>
      <c r="B2421">
        <f>HYPERLINK("Объекты недвижимости, не соответствующие градостроительным нормам_00-022_Август/4590950a-2b99-4e8e-80e3-a1eacb888fd0.jpg","open")</f>
        <v/>
      </c>
      <c r="C2421" t="inlineStr">
        <is>
          <t>b0b7ea82-53be-40d0-b992-e2fd18611d5c</t>
        </is>
      </c>
      <c r="D2421" t="n">
        <v>55.64528</v>
      </c>
      <c r="E2421" t="n">
        <v>37.71876</v>
      </c>
      <c r="F2421" t="inlineStr"/>
      <c r="G2421" t="inlineStr"/>
      <c r="H2421" t="inlineStr"/>
    </row>
    <row r="2422">
      <c r="A2422" t="inlineStr">
        <is>
          <t>bf48b6b6-7d4e-4280-a8b0-d646bb165250.jpg</t>
        </is>
      </c>
      <c r="B2422">
        <f>HYPERLINK("Объекты недвижимости, не соответствующие градостроительным нормам_00-022_Август/bf48b6b6-7d4e-4280-a8b0-d646bb165250.jpg","open")</f>
        <v/>
      </c>
      <c r="C2422" t="inlineStr">
        <is>
          <t>8cde1fd0-eca1-4510-86ab-3c743b65fdfc</t>
        </is>
      </c>
      <c r="D2422" t="n">
        <v>55.72043</v>
      </c>
      <c r="E2422" t="n">
        <v>37.86087</v>
      </c>
      <c r="F2422" t="inlineStr"/>
      <c r="G2422" t="inlineStr"/>
      <c r="H2422" t="inlineStr"/>
    </row>
    <row r="2423">
      <c r="A2423" t="inlineStr">
        <is>
          <t>6b6d5fb5-8ad0-4237-938e-a22aca7240ad.jpg</t>
        </is>
      </c>
      <c r="B2423">
        <f>HYPERLINK("Объекты недвижимости, не соответствующие градостроительным нормам_00-022_Август/6b6d5fb5-8ad0-4237-938e-a22aca7240ad.jpg","open")</f>
        <v/>
      </c>
      <c r="C2423" t="inlineStr">
        <is>
          <t>936502dd-24a4-4256-9fdf-0d8fb72af3ed</t>
        </is>
      </c>
      <c r="D2423" t="n">
        <v>55.63432</v>
      </c>
      <c r="E2423" t="n">
        <v>37.68256</v>
      </c>
      <c r="F2423" t="inlineStr"/>
      <c r="G2423" t="inlineStr"/>
      <c r="H2423" t="inlineStr"/>
    </row>
    <row r="2424">
      <c r="A2424" t="inlineStr">
        <is>
          <t>e6e9536c-ae84-4129-bb43-d357abb7c772.jpg</t>
        </is>
      </c>
      <c r="B2424">
        <f>HYPERLINK("Объекты недвижимости, не соответствующие градостроительным нормам_00-022_Август/e6e9536c-ae84-4129-bb43-d357abb7c772.jpg","open")</f>
        <v/>
      </c>
      <c r="C2424" t="inlineStr">
        <is>
          <t>685d9054-b74f-49ab-857b-109fd2cec80d</t>
        </is>
      </c>
      <c r="D2424" t="n">
        <v>55.646</v>
      </c>
      <c r="E2424" t="n">
        <v>37.48099</v>
      </c>
      <c r="F2424" t="inlineStr"/>
      <c r="G2424" t="inlineStr"/>
      <c r="H2424" t="inlineStr"/>
    </row>
    <row r="2425">
      <c r="A2425" t="inlineStr">
        <is>
          <t>31fa62f8-f547-4aa1-a9cb-6b4b3f425dfe.jpg</t>
        </is>
      </c>
      <c r="B2425">
        <f>HYPERLINK("Объекты недвижимости, не соответствующие градостроительным нормам_00-022_Август/31fa62f8-f547-4aa1-a9cb-6b4b3f425dfe.jpg","open")</f>
        <v/>
      </c>
      <c r="C2425" t="inlineStr">
        <is>
          <t>936502dd-24a4-4256-9fdf-0d8fb72af3ed</t>
        </is>
      </c>
      <c r="D2425" t="n">
        <v>55.63338</v>
      </c>
      <c r="E2425" t="n">
        <v>37.6792</v>
      </c>
      <c r="F2425" t="inlineStr"/>
      <c r="G2425" t="inlineStr"/>
      <c r="H2425" t="inlineStr"/>
    </row>
    <row r="2426">
      <c r="A2426" t="inlineStr">
        <is>
          <t>7d770cdf-d9ef-4b5a-9cd4-d073dc682486.jpg</t>
        </is>
      </c>
      <c r="B2426">
        <f>HYPERLINK("Объекты недвижимости, не соответствующие градостроительным нормам_00-022_Август/7d770cdf-d9ef-4b5a-9cd4-d073dc682486.jpg","open")</f>
        <v/>
      </c>
      <c r="C2426" t="inlineStr">
        <is>
          <t>31a713a9-b910-424b-b847-e0eaa2f70c70</t>
        </is>
      </c>
      <c r="D2426" t="n">
        <v>55.75808</v>
      </c>
      <c r="E2426" t="n">
        <v>37.71617</v>
      </c>
      <c r="F2426" t="inlineStr"/>
      <c r="G2426" t="inlineStr"/>
      <c r="H2426" t="inlineStr"/>
    </row>
    <row r="2427">
      <c r="A2427" t="inlineStr">
        <is>
          <t>e4f7d6b2-9a7e-43f4-ae02-39f524a7dca1.jpg</t>
        </is>
      </c>
      <c r="B2427">
        <f>HYPERLINK("Объекты недвижимости, не соответствующие градостроительным нормам_00-022_Август/e4f7d6b2-9a7e-43f4-ae02-39f524a7dca1.jpg","open")</f>
        <v/>
      </c>
      <c r="C2427" t="inlineStr">
        <is>
          <t>8cde1fd0-eca1-4510-86ab-3c743b65fdfc</t>
        </is>
      </c>
      <c r="D2427" t="n">
        <v>55.71401</v>
      </c>
      <c r="E2427" t="n">
        <v>37.88463</v>
      </c>
      <c r="F2427" t="inlineStr"/>
      <c r="G2427" t="inlineStr"/>
      <c r="H2427" t="inlineStr"/>
    </row>
    <row r="2428">
      <c r="A2428" t="inlineStr">
        <is>
          <t>876ef597-d54c-4cfa-8dd4-9e4d91ceab5c.jpg</t>
        </is>
      </c>
      <c r="B2428">
        <f>HYPERLINK("Объекты недвижимости, не соответствующие градостроительным нормам_00-022_Август/876ef597-d54c-4cfa-8dd4-9e4d91ceab5c.jpg","open")</f>
        <v/>
      </c>
      <c r="C2428" t="inlineStr">
        <is>
          <t>caa4772d-6278-4484-a046-ee25514bf521</t>
        </is>
      </c>
      <c r="D2428" t="n">
        <v>55.76371</v>
      </c>
      <c r="E2428" t="n">
        <v>37.60038</v>
      </c>
      <c r="F2428" t="inlineStr"/>
      <c r="G2428" t="inlineStr"/>
      <c r="H2428" t="inlineStr"/>
    </row>
    <row r="2429">
      <c r="A2429" t="inlineStr">
        <is>
          <t>fabfbdd7-e577-400a-bb80-5c81e3ff8d73.jpg</t>
        </is>
      </c>
      <c r="B2429">
        <f>HYPERLINK("Объекты недвижимости, не соответствующие градостроительным нормам_00-022_Август/fabfbdd7-e577-400a-bb80-5c81e3ff8d73.jpg","open")</f>
        <v/>
      </c>
      <c r="C2429" t="inlineStr">
        <is>
          <t>12e795ad-2aa7-49de-b2da-2c6aa35a4559</t>
        </is>
      </c>
      <c r="D2429" t="n">
        <v>55.6817</v>
      </c>
      <c r="E2429" t="n">
        <v>37.58018</v>
      </c>
      <c r="F2429" t="inlineStr"/>
      <c r="G2429" t="inlineStr"/>
      <c r="H2429" t="inlineStr"/>
    </row>
    <row r="2430">
      <c r="A2430" t="inlineStr">
        <is>
          <t>843bb821-1f92-4a16-8b05-a794bef54127.jpg</t>
        </is>
      </c>
      <c r="B2430">
        <f>HYPERLINK("Объекты недвижимости, не соответствующие градостроительным нормам_00-022_Август/843bb821-1f92-4a16-8b05-a794bef54127.jpg","open")</f>
        <v/>
      </c>
      <c r="C2430" t="inlineStr">
        <is>
          <t>1231bbc5-e64c-4dc7-9acc-77710f47607a</t>
        </is>
      </c>
      <c r="D2430" t="n">
        <v>55.64675</v>
      </c>
      <c r="E2430" t="n">
        <v>37.48167</v>
      </c>
      <c r="F2430" t="inlineStr"/>
      <c r="G2430" t="inlineStr"/>
      <c r="H2430" t="inlineStr"/>
    </row>
    <row r="2431">
      <c r="A2431" t="inlineStr">
        <is>
          <t>972b26d5-79a9-4275-95f2-d579ceb92d42.jpg</t>
        </is>
      </c>
      <c r="B2431">
        <f>HYPERLINK("Объекты недвижимости, не соответствующие градостроительным нормам_00-022_Август/972b26d5-79a9-4275-95f2-d579ceb92d42.jpg","open")</f>
        <v/>
      </c>
      <c r="C2431" t="inlineStr">
        <is>
          <t>a28f597e-d1cd-4d3b-b572-c86d033412e9</t>
        </is>
      </c>
      <c r="D2431" t="n">
        <v>55.70678</v>
      </c>
      <c r="E2431" t="n">
        <v>37.4762</v>
      </c>
      <c r="F2431" t="inlineStr"/>
      <c r="G2431" t="inlineStr"/>
      <c r="H2431" t="inlineStr"/>
    </row>
    <row r="2432">
      <c r="A2432" t="inlineStr">
        <is>
          <t>4e9e71ee-6648-478b-b66d-0379a92c5d3b.jpg</t>
        </is>
      </c>
      <c r="B2432">
        <f>HYPERLINK("Объекты недвижимости, не соответствующие градостроительным нормам_00-022_Август/4e9e71ee-6648-478b-b66d-0379a92c5d3b.jpg","open")</f>
        <v/>
      </c>
      <c r="C2432" t="inlineStr">
        <is>
          <t>036c664f-5408-4fd0-b479-342c00468eeb</t>
        </is>
      </c>
      <c r="D2432" t="n">
        <v>55.70678</v>
      </c>
      <c r="E2432" t="n">
        <v>37.4762</v>
      </c>
      <c r="F2432" t="inlineStr"/>
      <c r="G2432" t="inlineStr"/>
      <c r="H2432" t="inlineStr"/>
    </row>
    <row r="2433">
      <c r="A2433" t="inlineStr">
        <is>
          <t>7dd0f394-1c3c-4720-bd60-e031bf2da553.jpg</t>
        </is>
      </c>
      <c r="B2433">
        <f>HYPERLINK("Объекты недвижимости, не соответствующие градостроительным нормам_00-022_Август/7dd0f394-1c3c-4720-bd60-e031bf2da553.jpg","open")</f>
        <v/>
      </c>
      <c r="C2433" t="inlineStr">
        <is>
          <t>750bf7e4-0f0f-4f1a-96af-607dc8c1f1c9</t>
        </is>
      </c>
      <c r="D2433" t="n">
        <v>55.77259</v>
      </c>
      <c r="E2433" t="n">
        <v>37.68702</v>
      </c>
      <c r="F2433" t="inlineStr"/>
      <c r="G2433" t="inlineStr"/>
      <c r="H2433" t="inlineStr"/>
    </row>
    <row r="2434">
      <c r="A2434" t="inlineStr">
        <is>
          <t>bca4bf6a-7ec3-4e29-83d7-3faa54fd9ef5.jpg</t>
        </is>
      </c>
      <c r="B2434">
        <f>HYPERLINK("Объекты недвижимости, не соответствующие градостроительным нормам_00-022_Август/bca4bf6a-7ec3-4e29-83d7-3faa54fd9ef5.jpg","open")</f>
        <v/>
      </c>
      <c r="C2434" t="inlineStr">
        <is>
          <t>2ba4f567-3981-4fd7-ac4a-45e8b3d68429</t>
        </is>
      </c>
      <c r="D2434" t="n">
        <v>55.71743</v>
      </c>
      <c r="E2434" t="n">
        <v>37.79265</v>
      </c>
      <c r="F2434" t="inlineStr"/>
      <c r="G2434" t="inlineStr"/>
      <c r="H2434" t="inlineStr"/>
    </row>
    <row r="2435">
      <c r="A2435" t="inlineStr">
        <is>
          <t>ea834efe-e1bf-4cdd-ab99-522bdbf2738a.jpg</t>
        </is>
      </c>
      <c r="B2435">
        <f>HYPERLINK("Объекты недвижимости, не соответствующие градостроительным нормам_00-022_Август/ea834efe-e1bf-4cdd-ab99-522bdbf2738a.jpg","open")</f>
        <v/>
      </c>
      <c r="C2435" t="inlineStr">
        <is>
          <t>750bf7e4-0f0f-4f1a-96af-607dc8c1f1c9</t>
        </is>
      </c>
      <c r="D2435" t="n">
        <v>55.77256</v>
      </c>
      <c r="E2435" t="n">
        <v>37.68698</v>
      </c>
      <c r="F2435" t="inlineStr"/>
      <c r="G2435" t="inlineStr"/>
      <c r="H2435" t="inlineStr"/>
    </row>
    <row r="2436">
      <c r="A2436" t="inlineStr">
        <is>
          <t>e0decf28-3184-4284-9df2-1f6cd8362a6c.jpg</t>
        </is>
      </c>
      <c r="B2436">
        <f>HYPERLINK("Объекты недвижимости, не соответствующие градостроительным нормам_00-022_Август/e0decf28-3184-4284-9df2-1f6cd8362a6c.jpg","open")</f>
        <v/>
      </c>
      <c r="C2436" t="inlineStr">
        <is>
          <t>6e2567a0-1fb9-40d5-a0e7-0adb480d2965</t>
        </is>
      </c>
      <c r="D2436" t="n">
        <v>55.7816</v>
      </c>
      <c r="E2436" t="n">
        <v>37.66953</v>
      </c>
      <c r="F2436" t="inlineStr"/>
      <c r="G2436" t="inlineStr"/>
      <c r="H2436" t="inlineStr"/>
    </row>
    <row r="2437">
      <c r="A2437" t="inlineStr">
        <is>
          <t>f131fe8c-d024-4460-8fea-78e1a5d50c5d.jpg</t>
        </is>
      </c>
      <c r="B2437">
        <f>HYPERLINK("Объекты недвижимости, не соответствующие градостроительным нормам_00-022_Август/f131fe8c-d024-4460-8fea-78e1a5d50c5d.jpg","open")</f>
        <v/>
      </c>
      <c r="C2437" t="inlineStr">
        <is>
          <t>9fb3d110-951f-48da-9d90-cfd7e1b5800d</t>
        </is>
      </c>
      <c r="D2437" t="n">
        <v>55.66094</v>
      </c>
      <c r="E2437" t="n">
        <v>37.48697</v>
      </c>
      <c r="F2437" t="inlineStr"/>
      <c r="G2437" t="inlineStr"/>
      <c r="H2437" t="inlineStr"/>
    </row>
    <row r="2438">
      <c r="A2438" t="inlineStr">
        <is>
          <t>afc55672-54c4-4ff5-804e-c5fa1a1376aa.jpg</t>
        </is>
      </c>
      <c r="B2438">
        <f>HYPERLINK("Объекты недвижимости, не соответствующие градостроительным нормам_00-022_Август/afc55672-54c4-4ff5-804e-c5fa1a1376aa.jpg","open")</f>
        <v/>
      </c>
      <c r="C2438" t="inlineStr">
        <is>
          <t>61936922-4d4b-458e-80ea-6d4c450aa1d5</t>
        </is>
      </c>
      <c r="D2438" t="n">
        <v>55.66094</v>
      </c>
      <c r="E2438" t="n">
        <v>37.48697</v>
      </c>
      <c r="F2438" t="inlineStr"/>
      <c r="G2438" t="inlineStr"/>
      <c r="H2438" t="inlineStr"/>
    </row>
    <row r="2439">
      <c r="A2439" t="inlineStr">
        <is>
          <t>6e977a06-9a3a-4405-94ae-6af4b8137cd5.jpg</t>
        </is>
      </c>
      <c r="B2439">
        <f>HYPERLINK("Объекты недвижимости, не соответствующие градостроительным нормам_00-022_Август/6e977a06-9a3a-4405-94ae-6af4b8137cd5.jpg","open")</f>
        <v/>
      </c>
      <c r="C2439" t="inlineStr">
        <is>
          <t>1231bbc5-e64c-4dc7-9acc-77710f47607a</t>
        </is>
      </c>
      <c r="D2439" t="n">
        <v>55.6414</v>
      </c>
      <c r="E2439" t="n">
        <v>37.48515</v>
      </c>
      <c r="F2439" t="inlineStr"/>
      <c r="G2439" t="inlineStr"/>
      <c r="H2439" t="inlineStr"/>
    </row>
    <row r="2440">
      <c r="A2440" t="inlineStr">
        <is>
          <t>1ecb26ef-7ca3-4feb-ade7-0e8714b6e47a.jpg</t>
        </is>
      </c>
      <c r="B2440">
        <f>HYPERLINK("Объекты недвижимости, не соответствующие градостроительным нормам_00-022_Август/1ecb26ef-7ca3-4feb-ade7-0e8714b6e47a.jpg","open")</f>
        <v/>
      </c>
      <c r="C2440" t="inlineStr">
        <is>
          <t>8cde1fd0-eca1-4510-86ab-3c743b65fdfc</t>
        </is>
      </c>
      <c r="D2440" t="n">
        <v>55.71832</v>
      </c>
      <c r="E2440" t="n">
        <v>37.89576</v>
      </c>
      <c r="F2440" t="inlineStr"/>
      <c r="G2440" t="inlineStr"/>
      <c r="H2440" t="inlineStr"/>
    </row>
    <row r="2441">
      <c r="A2441" t="inlineStr">
        <is>
          <t>1a1bbdb7-3000-40cd-81f2-f33b19ceeb54.jpg</t>
        </is>
      </c>
      <c r="B2441">
        <f>HYPERLINK("Объекты недвижимости, не соответствующие градостроительным нормам_00-022_Август/1a1bbdb7-3000-40cd-81f2-f33b19ceeb54.jpg","open")</f>
        <v/>
      </c>
      <c r="C2441" t="inlineStr">
        <is>
          <t>1c951e11-4940-43c6-a447-394097e5609a</t>
        </is>
      </c>
      <c r="D2441" t="n">
        <v>55.71826</v>
      </c>
      <c r="E2441" t="n">
        <v>37.89594</v>
      </c>
      <c r="F2441" t="inlineStr"/>
      <c r="G2441" t="inlineStr"/>
      <c r="H2441" t="inlineStr"/>
    </row>
    <row r="2442">
      <c r="A2442" t="inlineStr">
        <is>
          <t>e85cfa82-ea92-4bb0-b97a-81de2ecb23dd.jpg</t>
        </is>
      </c>
      <c r="B2442">
        <f>HYPERLINK("Объекты недвижимости, не соответствующие градостроительным нормам_00-022_Август/e85cfa82-ea92-4bb0-b97a-81de2ecb23dd.jpg","open")</f>
        <v/>
      </c>
      <c r="C2442" t="inlineStr">
        <is>
          <t>685d9054-b74f-49ab-857b-109fd2cec80d</t>
        </is>
      </c>
      <c r="D2442" t="n">
        <v>55.64146</v>
      </c>
      <c r="E2442" t="n">
        <v>37.48483</v>
      </c>
      <c r="F2442" t="inlineStr"/>
      <c r="G2442" t="inlineStr"/>
      <c r="H2442" t="inlineStr"/>
    </row>
    <row r="2443">
      <c r="A2443" t="inlineStr">
        <is>
          <t>703d68e2-b90c-4282-a223-caf1212cd924.jpg</t>
        </is>
      </c>
      <c r="B2443">
        <f>HYPERLINK("Объекты недвижимости, не соответствующие градостроительным нормам_00-022_Август/703d68e2-b90c-4282-a223-caf1212cd924.jpg","open")</f>
        <v/>
      </c>
      <c r="C2443" t="inlineStr">
        <is>
          <t>1231bbc5-e64c-4dc7-9acc-77710f47607a</t>
        </is>
      </c>
      <c r="D2443" t="n">
        <v>55.64122</v>
      </c>
      <c r="E2443" t="n">
        <v>37.48512</v>
      </c>
      <c r="F2443" t="inlineStr"/>
      <c r="G2443" t="inlineStr"/>
      <c r="H2443" t="inlineStr"/>
    </row>
    <row r="2444">
      <c r="A2444" t="inlineStr">
        <is>
          <t>52132028-a61e-45bf-bf18-c0395807823c.jpg</t>
        </is>
      </c>
      <c r="B2444">
        <f>HYPERLINK("Объекты недвижимости, не соответствующие градостроительным нормам_00-022_Август/52132028-a61e-45bf-bf18-c0395807823c.jpg","open")</f>
        <v/>
      </c>
      <c r="C2444" t="inlineStr">
        <is>
          <t>1a55986c-2c3f-40c0-b3d1-014dce77832e</t>
        </is>
      </c>
      <c r="D2444" t="n">
        <v>55.86492</v>
      </c>
      <c r="E2444" t="n">
        <v>37.58004</v>
      </c>
      <c r="F2444" t="inlineStr"/>
      <c r="G2444" t="inlineStr"/>
      <c r="H2444" t="inlineStr"/>
    </row>
    <row r="2445">
      <c r="A2445" t="inlineStr">
        <is>
          <t>95c79eab-7334-46ba-82a0-cf2ac63f4766.jpg</t>
        </is>
      </c>
      <c r="B2445">
        <f>HYPERLINK("Объекты недвижимости, не соответствующие градостроительным нормам_00-022_Август/95c79eab-7334-46ba-82a0-cf2ac63f4766.jpg","open")</f>
        <v/>
      </c>
      <c r="C2445" t="inlineStr">
        <is>
          <t>9fb3d110-951f-48da-9d90-cfd7e1b5800d</t>
        </is>
      </c>
      <c r="D2445" t="n">
        <v>55.66238</v>
      </c>
      <c r="E2445" t="n">
        <v>37.48862</v>
      </c>
      <c r="F2445" t="inlineStr"/>
      <c r="G2445" t="inlineStr"/>
      <c r="H2445" t="inlineStr"/>
    </row>
    <row r="2446">
      <c r="A2446" t="inlineStr">
        <is>
          <t>03493695-fe17-4f38-b07a-46c562c83b3e.jpg</t>
        </is>
      </c>
      <c r="B2446">
        <f>HYPERLINK("Объекты недвижимости, не соответствующие градостроительным нормам_00-022_Август/03493695-fe17-4f38-b07a-46c562c83b3e.jpg","open")</f>
        <v/>
      </c>
      <c r="C2446" t="inlineStr">
        <is>
          <t>b0429a31-0c70-4b9f-8ea5-73929d82f89e</t>
        </is>
      </c>
      <c r="D2446" t="n">
        <v>55.63762</v>
      </c>
      <c r="E2446" t="n">
        <v>37.66904</v>
      </c>
      <c r="F2446" t="inlineStr"/>
      <c r="G2446" t="inlineStr"/>
      <c r="H2446" t="inlineStr"/>
    </row>
    <row r="2447">
      <c r="A2447" t="inlineStr">
        <is>
          <t>a68bc154-9b71-437a-969a-e3dc72631c7a.jpg</t>
        </is>
      </c>
      <c r="B2447">
        <f>HYPERLINK("Объекты недвижимости, не соответствующие градостроительным нормам_00-022_Август/a68bc154-9b71-437a-969a-e3dc72631c7a.jpg","open")</f>
        <v/>
      </c>
      <c r="C2447" t="inlineStr">
        <is>
          <t>1a55986c-2c3f-40c0-b3d1-014dce77832e</t>
        </is>
      </c>
      <c r="D2447" t="n">
        <v>55.86398</v>
      </c>
      <c r="E2447" t="n">
        <v>37.58117</v>
      </c>
      <c r="F2447" t="inlineStr"/>
      <c r="G2447" t="inlineStr"/>
      <c r="H2447" t="inlineStr"/>
    </row>
    <row r="2448">
      <c r="A2448" t="inlineStr">
        <is>
          <t>eb7fa244-2c41-494e-93a6-4f18488e0b06.jpg</t>
        </is>
      </c>
      <c r="B2448">
        <f>HYPERLINK("Объекты недвижимости, не соответствующие градостроительным нормам_00-022_Август/eb7fa244-2c41-494e-93a6-4f18488e0b06.jpg","open")</f>
        <v/>
      </c>
      <c r="C2448" t="inlineStr">
        <is>
          <t>9fb3d110-951f-48da-9d90-cfd7e1b5800d</t>
        </is>
      </c>
      <c r="D2448" t="n">
        <v>55.66195</v>
      </c>
      <c r="E2448" t="n">
        <v>37.48886</v>
      </c>
      <c r="F2448" t="inlineStr"/>
      <c r="G2448" t="inlineStr"/>
      <c r="H2448" t="inlineStr"/>
    </row>
    <row r="2449">
      <c r="A2449" t="inlineStr">
        <is>
          <t>328390b3-a7ef-4f38-8db8-0ad679dd7b80.jpg</t>
        </is>
      </c>
      <c r="B2449">
        <f>HYPERLINK("Объекты недвижимости, не соответствующие градостроительным нормам_00-022_Август/328390b3-a7ef-4f38-8db8-0ad679dd7b80.jpg","open")</f>
        <v/>
      </c>
      <c r="C2449" t="inlineStr">
        <is>
          <t>1231bbc5-e64c-4dc7-9acc-77710f47607a</t>
        </is>
      </c>
      <c r="D2449" t="n">
        <v>55.64235</v>
      </c>
      <c r="E2449" t="n">
        <v>37.48735</v>
      </c>
      <c r="F2449" t="inlineStr"/>
      <c r="G2449" t="inlineStr"/>
      <c r="H2449" t="inlineStr"/>
    </row>
    <row r="2450">
      <c r="A2450" t="inlineStr">
        <is>
          <t>88b6715c-879b-4499-bc27-64b405b1bf39.jpg</t>
        </is>
      </c>
      <c r="B2450">
        <f>HYPERLINK("Объекты недвижимости, не соответствующие градостроительным нормам_00-022_Август/88b6715c-879b-4499-bc27-64b405b1bf39.jpg","open")</f>
        <v/>
      </c>
      <c r="C2450" t="inlineStr">
        <is>
          <t>1c951e11-4940-43c6-a447-394097e5609a</t>
        </is>
      </c>
      <c r="D2450" t="n">
        <v>55.7091</v>
      </c>
      <c r="E2450" t="n">
        <v>37.88553</v>
      </c>
      <c r="F2450" t="inlineStr"/>
      <c r="G2450" t="inlineStr"/>
      <c r="H2450" t="inlineStr"/>
    </row>
    <row r="2451">
      <c r="A2451" t="inlineStr">
        <is>
          <t>f12ed8f3-24b1-446b-99c0-2e1920a73eb8.jpg</t>
        </is>
      </c>
      <c r="B2451">
        <f>HYPERLINK("Объекты недвижимости, не соответствующие градостроительным нормам_00-022_Август/f12ed8f3-24b1-446b-99c0-2e1920a73eb8.jpg","open")</f>
        <v/>
      </c>
      <c r="C2451" t="inlineStr">
        <is>
          <t>2ba4f567-3981-4fd7-ac4a-45e8b3d68429</t>
        </is>
      </c>
      <c r="D2451" t="n">
        <v>55.73719</v>
      </c>
      <c r="E2451" t="n">
        <v>37.6527</v>
      </c>
      <c r="F2451" t="inlineStr"/>
      <c r="G2451" t="inlineStr"/>
      <c r="H2451" t="inlineStr"/>
    </row>
    <row r="2452">
      <c r="A2452" t="inlineStr">
        <is>
          <t>71b54718-27ab-4a48-97cd-4dfafd58981a.jpg</t>
        </is>
      </c>
      <c r="B2452">
        <f>HYPERLINK("Объекты недвижимости, не соответствующие градостроительным нормам_00-022_Август/71b54718-27ab-4a48-97cd-4dfafd58981a.jpg","open")</f>
        <v/>
      </c>
      <c r="C2452" t="inlineStr">
        <is>
          <t>b0429a31-0c70-4b9f-8ea5-73929d82f89e</t>
        </is>
      </c>
      <c r="D2452" t="n">
        <v>55.63802</v>
      </c>
      <c r="E2452" t="n">
        <v>37.66306</v>
      </c>
      <c r="F2452" t="inlineStr"/>
      <c r="G2452" t="inlineStr"/>
      <c r="H2452" t="inlineStr"/>
    </row>
    <row r="2453">
      <c r="A2453" t="inlineStr">
        <is>
          <t>32f3c082-730d-421f-8587-c5088d07b77c.jpg</t>
        </is>
      </c>
      <c r="B2453">
        <f>HYPERLINK("Объекты недвижимости, не соответствующие градостроительным нормам_00-022_Август/32f3c082-730d-421f-8587-c5088d07b77c.jpg","open")</f>
        <v/>
      </c>
      <c r="C2453" t="inlineStr">
        <is>
          <t>1a55986c-2c3f-40c0-b3d1-014dce77832e</t>
        </is>
      </c>
      <c r="D2453" t="n">
        <v>55.86378</v>
      </c>
      <c r="E2453" t="n">
        <v>37.57496</v>
      </c>
      <c r="F2453" t="inlineStr"/>
      <c r="G2453" t="inlineStr"/>
      <c r="H2453" t="inlineStr"/>
    </row>
    <row r="2454">
      <c r="A2454" t="inlineStr">
        <is>
          <t>780ac115-18b7-4d92-b71e-516f552540b4.jpg</t>
        </is>
      </c>
      <c r="B2454">
        <f>HYPERLINK("Объекты недвижимости, не соответствующие градостроительным нормам_00-022_Август/780ac115-18b7-4d92-b71e-516f552540b4.jpg","open")</f>
        <v/>
      </c>
      <c r="C2454" t="inlineStr">
        <is>
          <t>caa4772d-6278-4484-a046-ee25514bf521</t>
        </is>
      </c>
      <c r="D2454" t="n">
        <v>55.74921</v>
      </c>
      <c r="E2454" t="n">
        <v>37.64292</v>
      </c>
      <c r="F2454" t="inlineStr"/>
      <c r="G2454" t="inlineStr"/>
      <c r="H2454" t="inlineStr"/>
    </row>
    <row r="2455">
      <c r="A2455" t="inlineStr">
        <is>
          <t>eb43f923-ba3e-4cd5-b881-b562df6ad5c0.jpg</t>
        </is>
      </c>
      <c r="B2455">
        <f>HYPERLINK("Объекты недвижимости, не соответствующие градостроительным нормам_00-022_Август/eb43f923-ba3e-4cd5-b881-b562df6ad5c0.jpg","open")</f>
        <v/>
      </c>
      <c r="C2455" t="inlineStr">
        <is>
          <t>1a55986c-2c3f-40c0-b3d1-014dce77832e</t>
        </is>
      </c>
      <c r="D2455" t="n">
        <v>55.86208</v>
      </c>
      <c r="E2455" t="n">
        <v>37.57575</v>
      </c>
      <c r="F2455" t="inlineStr"/>
      <c r="G2455" t="inlineStr"/>
      <c r="H2455" t="inlineStr"/>
    </row>
    <row r="2456">
      <c r="A2456" t="inlineStr">
        <is>
          <t>d93724cf-d466-4923-8d6d-88100e02adcc.jpg</t>
        </is>
      </c>
      <c r="B2456">
        <f>HYPERLINK("Объекты недвижимости, не соответствующие градостроительным нормам_00-022_Август/d93724cf-d466-4923-8d6d-88100e02adcc.jpg","open")</f>
        <v/>
      </c>
      <c r="C2456" t="inlineStr">
        <is>
          <t>8cde1fd0-eca1-4510-86ab-3c743b65fdfc</t>
        </is>
      </c>
      <c r="D2456" t="n">
        <v>55.70911</v>
      </c>
      <c r="E2456" t="n">
        <v>37.88489</v>
      </c>
      <c r="F2456" t="inlineStr"/>
      <c r="G2456" t="inlineStr"/>
      <c r="H2456" t="inlineStr"/>
    </row>
    <row r="2457">
      <c r="A2457" t="inlineStr">
        <is>
          <t>f43274b7-6f1f-4f81-8d53-c3f72b900d79.jpg</t>
        </is>
      </c>
      <c r="B2457">
        <f>HYPERLINK("Объекты недвижимости, не соответствующие градостроительным нормам_00-022_Август/f43274b7-6f1f-4f81-8d53-c3f72b900d79.jpg","open")</f>
        <v/>
      </c>
      <c r="C2457" t="inlineStr">
        <is>
          <t>f60286ac-55e7-4099-85bd-cc599a7a0c65</t>
        </is>
      </c>
      <c r="D2457" t="n">
        <v>55.79873</v>
      </c>
      <c r="E2457" t="n">
        <v>37.7406</v>
      </c>
      <c r="F2457" t="inlineStr"/>
      <c r="G2457" t="inlineStr"/>
      <c r="H2457" t="inlineStr"/>
    </row>
    <row r="2458">
      <c r="A2458" t="inlineStr">
        <is>
          <t>1da760b3-1b73-4e78-9d89-3e65a73cc503.jpg</t>
        </is>
      </c>
      <c r="B2458">
        <f>HYPERLINK("Объекты недвижимости, не соответствующие градостроительным нормам_00-022_Август/1da760b3-1b73-4e78-9d89-3e65a73cc503.jpg","open")</f>
        <v/>
      </c>
      <c r="C2458" t="inlineStr">
        <is>
          <t>1c951e11-4940-43c6-a447-394097e5609a</t>
        </is>
      </c>
      <c r="D2458" t="n">
        <v>55.70889</v>
      </c>
      <c r="E2458" t="n">
        <v>37.89374</v>
      </c>
      <c r="F2458" t="inlineStr"/>
      <c r="G2458" t="inlineStr"/>
      <c r="H2458" t="inlineStr"/>
    </row>
    <row r="2459">
      <c r="A2459" t="inlineStr">
        <is>
          <t>6042fcc6-5d9a-4b37-b315-2afbacb51fa8.jpg</t>
        </is>
      </c>
      <c r="B2459">
        <f>HYPERLINK("Объекты недвижимости, не соответствующие градостроительным нормам_00-022_Август/6042fcc6-5d9a-4b37-b315-2afbacb51fa8.jpg","open")</f>
        <v/>
      </c>
      <c r="C2459" t="inlineStr">
        <is>
          <t>57aae8a4-582b-4309-8045-c8127a9f86ae</t>
        </is>
      </c>
      <c r="D2459" t="n">
        <v>55.00883</v>
      </c>
      <c r="E2459" t="n">
        <v>82.65228</v>
      </c>
      <c r="F2459" t="inlineStr"/>
      <c r="G2459" t="inlineStr"/>
      <c r="H2459" t="inlineStr"/>
    </row>
    <row r="2460">
      <c r="A2460" t="inlineStr">
        <is>
          <t>01c85aca-e7a0-4bcb-8869-3c33057bc3ab.jpg</t>
        </is>
      </c>
      <c r="B2460">
        <f>HYPERLINK("Объекты недвижимости, не соответствующие градостроительным нормам_00-022_Август/01c85aca-e7a0-4bcb-8869-3c33057bc3ab.jpg","open")</f>
        <v/>
      </c>
      <c r="C2460" t="inlineStr">
        <is>
          <t>8cde1fd0-eca1-4510-86ab-3c743b65fdfc</t>
        </is>
      </c>
      <c r="D2460" t="n">
        <v>55.72276</v>
      </c>
      <c r="E2460" t="n">
        <v>37.90067</v>
      </c>
      <c r="F2460" t="inlineStr"/>
      <c r="G2460" t="inlineStr"/>
      <c r="H2460" t="inlineStr"/>
    </row>
    <row r="2461">
      <c r="A2461" t="inlineStr">
        <is>
          <t>1a113dcf-ef4b-47f9-95e9-0e679aa6b1ad.jpg</t>
        </is>
      </c>
      <c r="B2461">
        <f>HYPERLINK("Объекты недвижимости, не соответствующие градостроительным нормам_00-022_Август/1a113dcf-ef4b-47f9-95e9-0e679aa6b1ad.jpg","open")</f>
        <v/>
      </c>
      <c r="C2461" t="inlineStr">
        <is>
          <t>036c664f-5408-4fd0-b479-342c00468eeb</t>
        </is>
      </c>
      <c r="D2461" t="n">
        <v>55.70711</v>
      </c>
      <c r="E2461" t="n">
        <v>37.47617</v>
      </c>
      <c r="F2461" t="inlineStr"/>
      <c r="G2461" t="inlineStr"/>
      <c r="H2461" t="inlineStr"/>
    </row>
    <row r="2462">
      <c r="A2462" t="inlineStr">
        <is>
          <t>f04b5a86-30e5-4c10-8848-91f5ab5fcdd4.jpg</t>
        </is>
      </c>
      <c r="B2462">
        <f>HYPERLINK("Объекты недвижимости, не соответствующие градостроительным нормам_00-022_Август/f04b5a86-30e5-4c10-8848-91f5ab5fcdd4.jpg","open")</f>
        <v/>
      </c>
      <c r="C2462" t="inlineStr">
        <is>
          <t>b0b7ea82-53be-40d0-b992-e2fd18611d5c</t>
        </is>
      </c>
      <c r="D2462" t="n">
        <v>55.64543</v>
      </c>
      <c r="E2462" t="n">
        <v>37.73153</v>
      </c>
      <c r="F2462" t="inlineStr"/>
      <c r="G2462" t="inlineStr"/>
      <c r="H2462" t="inlineStr"/>
    </row>
    <row r="2463">
      <c r="A2463" t="inlineStr">
        <is>
          <t>d8fa5724-e134-402d-9ba9-7145408f5815.jpg</t>
        </is>
      </c>
      <c r="B2463">
        <f>HYPERLINK("Объекты недвижимости, не соответствующие градостроительным нормам_00-022_Август/d8fa5724-e134-402d-9ba9-7145408f5815.jpg","open")</f>
        <v/>
      </c>
      <c r="C2463" t="inlineStr">
        <is>
          <t>b0b7ea82-53be-40d0-b992-e2fd18611d5c</t>
        </is>
      </c>
      <c r="D2463" t="n">
        <v>55.67273</v>
      </c>
      <c r="E2463" t="n">
        <v>37.73975</v>
      </c>
      <c r="F2463" t="inlineStr"/>
      <c r="G2463" t="inlineStr"/>
      <c r="H2463" t="inlineStr"/>
    </row>
    <row r="2464">
      <c r="A2464" t="inlineStr">
        <is>
          <t>e2cb4001-898e-4c18-987d-c1339a9c4b2c.jpg</t>
        </is>
      </c>
      <c r="B2464">
        <f>HYPERLINK("Объекты недвижимости, не соответствующие градостроительным нормам_00-022_Август/e2cb4001-898e-4c18-987d-c1339a9c4b2c.jpg","open")</f>
        <v/>
      </c>
      <c r="C2464" t="inlineStr">
        <is>
          <t>8cde1fd0-eca1-4510-86ab-3c743b65fdfc</t>
        </is>
      </c>
      <c r="D2464" t="n">
        <v>55.71593</v>
      </c>
      <c r="E2464" t="n">
        <v>37.9313</v>
      </c>
      <c r="F2464" t="inlineStr"/>
      <c r="G2464" t="inlineStr"/>
      <c r="H2464" t="inlineStr"/>
    </row>
    <row r="2465">
      <c r="A2465" t="inlineStr">
        <is>
          <t>159b638c-da9b-47b2-b229-b36a7935c0d1.jpg</t>
        </is>
      </c>
      <c r="B2465">
        <f>HYPERLINK("Объекты недвижимости, не соответствующие градостроительным нормам_00-022_Август/159b638c-da9b-47b2-b229-b36a7935c0d1.jpg","open")</f>
        <v/>
      </c>
      <c r="C2465" t="inlineStr">
        <is>
          <t>b0429a31-0c70-4b9f-8ea5-73929d82f89e</t>
        </is>
      </c>
      <c r="D2465" t="n">
        <v>55.6011</v>
      </c>
      <c r="E2465" t="n">
        <v>37.59167</v>
      </c>
      <c r="F2465" t="inlineStr"/>
      <c r="G2465" t="inlineStr"/>
      <c r="H2465" t="inlineStr"/>
    </row>
    <row r="2466">
      <c r="A2466" t="inlineStr">
        <is>
          <t>b93e8553-d1c8-4613-88d5-24b19598c55d.jpg</t>
        </is>
      </c>
      <c r="B2466">
        <f>HYPERLINK("Объекты недвижимости, не соответствующие градостроительным нормам_00-022_Август/b93e8553-d1c8-4613-88d5-24b19598c55d.jpg","open")</f>
        <v/>
      </c>
      <c r="C2466" t="inlineStr">
        <is>
          <t>b0429a31-0c70-4b9f-8ea5-73929d82f89e</t>
        </is>
      </c>
      <c r="D2466" t="n">
        <v>55.60024</v>
      </c>
      <c r="E2466" t="n">
        <v>37.59529</v>
      </c>
      <c r="F2466" t="inlineStr"/>
      <c r="G2466" t="inlineStr"/>
      <c r="H2466" t="inlineStr"/>
    </row>
    <row r="2467">
      <c r="A2467" t="inlineStr">
        <is>
          <t>5f5555d9-3ad9-4a36-8b80-dedbcdb3455e.jpg</t>
        </is>
      </c>
      <c r="B2467">
        <f>HYPERLINK("Объекты недвижимости, не соответствующие градостроительным нормам_00-022_Август/5f5555d9-3ad9-4a36-8b80-dedbcdb3455e.jpg","open")</f>
        <v/>
      </c>
      <c r="C2467" t="inlineStr">
        <is>
          <t>57aae8a4-582b-4309-8045-c8127a9f86ae</t>
        </is>
      </c>
      <c r="D2467" t="n">
        <v>55.00883</v>
      </c>
      <c r="E2467" t="n">
        <v>82.65228</v>
      </c>
      <c r="F2467" t="inlineStr"/>
      <c r="G2467" t="inlineStr"/>
      <c r="H2467" t="inlineStr"/>
    </row>
    <row r="2468">
      <c r="A2468" t="inlineStr">
        <is>
          <t>bc02f350-3251-4425-9c8b-aa830c742e2d.jpg</t>
        </is>
      </c>
      <c r="B2468">
        <f>HYPERLINK("Объекты недвижимости, не соответствующие градостроительным нормам_00-022_Август/bc02f350-3251-4425-9c8b-aa830c742e2d.jpg","open")</f>
        <v/>
      </c>
      <c r="C2468" t="inlineStr">
        <is>
          <t>acedacc2-0d8b-4fc1-9622-25621a89d071</t>
        </is>
      </c>
      <c r="D2468" t="n">
        <v>55.00883</v>
      </c>
      <c r="E2468" t="n">
        <v>82.65228</v>
      </c>
      <c r="F2468" t="inlineStr"/>
      <c r="G2468" t="inlineStr"/>
      <c r="H2468" t="inlineStr"/>
    </row>
    <row r="2469">
      <c r="A2469" t="inlineStr">
        <is>
          <t>59da0261-a1b2-44a9-8746-2f11a4e86130.jpg</t>
        </is>
      </c>
      <c r="B2469">
        <f>HYPERLINK("Объекты недвижимости, не соответствующие градостроительным нормам_00-022_Август/59da0261-a1b2-44a9-8746-2f11a4e86130.jpg","open")</f>
        <v/>
      </c>
      <c r="C2469" t="inlineStr">
        <is>
          <t>1a55986c-2c3f-40c0-b3d1-014dce77832e</t>
        </is>
      </c>
      <c r="D2469" t="n">
        <v>55.85074</v>
      </c>
      <c r="E2469" t="n">
        <v>37.57419</v>
      </c>
      <c r="F2469" t="inlineStr"/>
      <c r="G2469" t="inlineStr"/>
      <c r="H2469" t="inlineStr"/>
    </row>
    <row r="2470">
      <c r="A2470" t="inlineStr">
        <is>
          <t>b3d8850e-ceef-490f-a55b-6bc66fa23990.jpg</t>
        </is>
      </c>
      <c r="B2470">
        <f>HYPERLINK("Объекты недвижимости, не соответствующие градостроительным нормам_00-022_Август/b3d8850e-ceef-490f-a55b-6bc66fa23990.jpg","open")</f>
        <v/>
      </c>
      <c r="C2470" t="inlineStr">
        <is>
          <t>ed2bf0f1-3a66-4913-896e-4420a9796c0b</t>
        </is>
      </c>
      <c r="D2470" t="n">
        <v>55.85072</v>
      </c>
      <c r="E2470" t="n">
        <v>37.57426</v>
      </c>
      <c r="F2470" t="inlineStr"/>
      <c r="G2470" t="inlineStr"/>
      <c r="H2470" t="inlineStr"/>
    </row>
    <row r="2471">
      <c r="A2471" t="inlineStr">
        <is>
          <t>6ccfa40a-5925-4687-a0a6-ff3063bfb84a.jpg</t>
        </is>
      </c>
      <c r="B2471">
        <f>HYPERLINK("Объекты недвижимости, не соответствующие градостроительным нормам_00-022_Август/6ccfa40a-5925-4687-a0a6-ff3063bfb84a.jpg","open")</f>
        <v/>
      </c>
      <c r="C2471" t="inlineStr">
        <is>
          <t>1c951e11-4940-43c6-a447-394097e5609a</t>
        </is>
      </c>
      <c r="D2471" t="n">
        <v>55.7153</v>
      </c>
      <c r="E2471" t="n">
        <v>37.92262</v>
      </c>
      <c r="F2471" t="inlineStr"/>
      <c r="G2471" t="inlineStr"/>
      <c r="H2471" t="inlineStr"/>
    </row>
    <row r="2472">
      <c r="A2472" t="inlineStr">
        <is>
          <t>83b2307f-3396-4571-95c7-3bffc954fcaa.jpg</t>
        </is>
      </c>
      <c r="B2472">
        <f>HYPERLINK("Объекты недвижимости, не соответствующие градостроительным нормам_00-022_Август/83b2307f-3396-4571-95c7-3bffc954fcaa.jpg","open")</f>
        <v/>
      </c>
      <c r="C2472" t="inlineStr">
        <is>
          <t>ab4e767f-65c0-455b-af20-a5527124fd21</t>
        </is>
      </c>
      <c r="D2472" t="n">
        <v>55.97624</v>
      </c>
      <c r="E2472" t="n">
        <v>37.40053</v>
      </c>
      <c r="F2472" t="inlineStr"/>
      <c r="G2472" t="inlineStr"/>
      <c r="H2472" t="inlineStr"/>
    </row>
    <row r="2473">
      <c r="A2473" t="inlineStr">
        <is>
          <t>e97329eb-6333-4200-8d8c-d708c0ca6147.jpg</t>
        </is>
      </c>
      <c r="B2473">
        <f>HYPERLINK("Объекты недвижимости, не соответствующие градостроительным нормам_00-022_Август/e97329eb-6333-4200-8d8c-d708c0ca6147.jpg","open")</f>
        <v/>
      </c>
      <c r="C2473" t="inlineStr">
        <is>
          <t>1a55986c-2c3f-40c0-b3d1-014dce77832e</t>
        </is>
      </c>
      <c r="D2473" t="n">
        <v>55.84809</v>
      </c>
      <c r="E2473" t="n">
        <v>37.58033</v>
      </c>
      <c r="F2473" t="inlineStr"/>
      <c r="G2473" t="inlineStr"/>
      <c r="H2473" t="inlineStr"/>
    </row>
    <row r="2474">
      <c r="A2474" t="inlineStr">
        <is>
          <t>65f767b9-788d-4665-86c1-28f763c915d9.jpg</t>
        </is>
      </c>
      <c r="B2474">
        <f>HYPERLINK("Объекты недвижимости, не соответствующие градостроительным нормам_00-022_Август/65f767b9-788d-4665-86c1-28f763c915d9.jpg","open")</f>
        <v/>
      </c>
      <c r="C2474" t="inlineStr">
        <is>
          <t>8cde1fd0-eca1-4510-86ab-3c743b65fdfc</t>
        </is>
      </c>
      <c r="D2474" t="n">
        <v>55.72084</v>
      </c>
      <c r="E2474" t="n">
        <v>37.92339</v>
      </c>
      <c r="F2474" t="inlineStr"/>
      <c r="G2474" t="inlineStr"/>
      <c r="H2474" t="inlineStr"/>
    </row>
    <row r="2475">
      <c r="A2475" t="inlineStr">
        <is>
          <t>23d4d50c-b7e4-4ccf-8ec8-8c55fcf1bbd5.jpg</t>
        </is>
      </c>
      <c r="B2475">
        <f>HYPERLINK("Объекты недвижимости, не соответствующие градостроительным нормам_00-022_Август/23d4d50c-b7e4-4ccf-8ec8-8c55fcf1bbd5.jpg","open")</f>
        <v/>
      </c>
      <c r="C2475" t="inlineStr">
        <is>
          <t>93848fc8-17e7-4748-9ebc-c7e379e11d2f</t>
        </is>
      </c>
      <c r="D2475" t="n">
        <v>57.63626</v>
      </c>
      <c r="E2475" t="n">
        <v>39.3181</v>
      </c>
      <c r="F2475" t="inlineStr"/>
      <c r="G2475" t="inlineStr"/>
      <c r="H2475" t="inlineStr"/>
    </row>
    <row r="2476">
      <c r="A2476" t="inlineStr">
        <is>
          <t>7aa13175-ed91-4570-8cdc-02a9d8a64d50.jpg</t>
        </is>
      </c>
      <c r="B2476">
        <f>HYPERLINK("Объекты недвижимости, не соответствующие градостроительным нормам_00-022_Август/7aa13175-ed91-4570-8cdc-02a9d8a64d50.jpg","open")</f>
        <v/>
      </c>
      <c r="C2476" t="inlineStr">
        <is>
          <t>1a55986c-2c3f-40c0-b3d1-014dce77832e</t>
        </is>
      </c>
      <c r="D2476" t="n">
        <v>55.84716</v>
      </c>
      <c r="E2476" t="n">
        <v>37.58292</v>
      </c>
      <c r="F2476" t="inlineStr"/>
      <c r="G2476" t="inlineStr"/>
      <c r="H2476" t="inlineStr"/>
    </row>
    <row r="2477">
      <c r="A2477" t="inlineStr">
        <is>
          <t>847057dc-ea6d-400b-9eac-6b8253b975fc.jpg</t>
        </is>
      </c>
      <c r="B2477">
        <f>HYPERLINK("Объекты недвижимости, не соответствующие градостроительным нормам_00-022_Август/847057dc-ea6d-400b-9eac-6b8253b975fc.jpg","open")</f>
        <v/>
      </c>
      <c r="C2477" t="inlineStr">
        <is>
          <t>ed2bf0f1-3a66-4913-896e-4420a9796c0b</t>
        </is>
      </c>
      <c r="D2477" t="n">
        <v>55.84721</v>
      </c>
      <c r="E2477" t="n">
        <v>37.58282</v>
      </c>
      <c r="F2477" t="inlineStr"/>
      <c r="G2477" t="inlineStr"/>
      <c r="H2477" t="inlineStr"/>
    </row>
    <row r="2478">
      <c r="A2478" t="inlineStr">
        <is>
          <t>22ab294a-ead0-420a-af2d-f4f4f8db8a5d.jpg</t>
        </is>
      </c>
      <c r="B2478">
        <f>HYPERLINK("Объекты недвижимости, не соответствующие градостроительным нормам_00-022_Август/22ab294a-ead0-420a-af2d-f4f4f8db8a5d.jpg","open")</f>
        <v/>
      </c>
      <c r="C2478" t="inlineStr">
        <is>
          <t>61936922-4d4b-458e-80ea-6d4c450aa1d5</t>
        </is>
      </c>
      <c r="D2478" t="n">
        <v>55.66586</v>
      </c>
      <c r="E2478" t="n">
        <v>37.49514</v>
      </c>
      <c r="F2478" t="inlineStr"/>
      <c r="G2478" t="inlineStr"/>
      <c r="H2478" t="inlineStr"/>
    </row>
    <row r="2479">
      <c r="A2479" t="inlineStr">
        <is>
          <t>14ab0854-2333-44bf-94e9-7cef80ecdf3a.jpg</t>
        </is>
      </c>
      <c r="B2479">
        <f>HYPERLINK("Объекты недвижимости, не соответствующие градостроительным нормам_00-022_Август/14ab0854-2333-44bf-94e9-7cef80ecdf3a.jpg","open")</f>
        <v/>
      </c>
      <c r="C2479" t="inlineStr">
        <is>
          <t>1231bbc5-e64c-4dc7-9acc-77710f47607a</t>
        </is>
      </c>
      <c r="D2479" t="n">
        <v>55.64302</v>
      </c>
      <c r="E2479" t="n">
        <v>37.48878</v>
      </c>
      <c r="F2479" t="inlineStr"/>
      <c r="G2479" t="inlineStr"/>
      <c r="H2479" t="inlineStr"/>
    </row>
    <row r="2480">
      <c r="A2480" t="inlineStr">
        <is>
          <t>a08c564b-1483-4945-b114-37127397f391.jpg</t>
        </is>
      </c>
      <c r="B2480">
        <f>HYPERLINK("Объекты недвижимости, не соответствующие градостроительным нормам_00-022_Август/a08c564b-1483-4945-b114-37127397f391.jpg","open")</f>
        <v/>
      </c>
      <c r="C2480" t="inlineStr">
        <is>
          <t>99f3abba-c55b-49f0-9de5-9f88e9597cc0</t>
        </is>
      </c>
      <c r="D2480" t="n">
        <v>55.60468</v>
      </c>
      <c r="E2480" t="n">
        <v>37.59425</v>
      </c>
      <c r="F2480" t="inlineStr"/>
      <c r="G2480" t="inlineStr"/>
      <c r="H2480" t="inlineStr"/>
    </row>
    <row r="2481">
      <c r="A2481" t="inlineStr">
        <is>
          <t>dc7d16d6-be22-4ba1-892b-c9cc008ad13f.jpg</t>
        </is>
      </c>
      <c r="B2481">
        <f>HYPERLINK("Объекты недвижимости, не соответствующие градостроительным нормам_00-022_Август/dc7d16d6-be22-4ba1-892b-c9cc008ad13f.jpg","open")</f>
        <v/>
      </c>
      <c r="C2481" t="inlineStr">
        <is>
          <t>b0429a31-0c70-4b9f-8ea5-73929d82f89e</t>
        </is>
      </c>
      <c r="D2481" t="n">
        <v>55.60467</v>
      </c>
      <c r="E2481" t="n">
        <v>37.59425</v>
      </c>
      <c r="F2481" t="inlineStr"/>
      <c r="G2481" t="inlineStr"/>
      <c r="H2481" t="inlineStr"/>
    </row>
    <row r="2482">
      <c r="A2482" t="inlineStr">
        <is>
          <t>81cf5171-073c-4895-92b6-94a6bd0266c8.jpg</t>
        </is>
      </c>
      <c r="B2482">
        <f>HYPERLINK("Объекты недвижимости, не соответствующие градостроительным нормам_00-022_Август/81cf5171-073c-4895-92b6-94a6bd0266c8.jpg","open")</f>
        <v/>
      </c>
      <c r="C2482" t="inlineStr">
        <is>
          <t>d2c4eccd-3e4b-406c-a903-0f5e43d0be35</t>
        </is>
      </c>
      <c r="D2482" t="n">
        <v>55.76226</v>
      </c>
      <c r="E2482" t="n">
        <v>37.6731</v>
      </c>
      <c r="F2482" t="inlineStr"/>
      <c r="G2482" t="inlineStr"/>
      <c r="H2482" t="inlineStr"/>
    </row>
    <row r="2483">
      <c r="A2483" t="inlineStr">
        <is>
          <t>0c6e6764-5ca5-4de5-be87-d2887918dc55.jpg</t>
        </is>
      </c>
      <c r="B2483">
        <f>HYPERLINK("Объекты недвижимости, не соответствующие градостроительным нормам_00-022_Август/0c6e6764-5ca5-4de5-be87-d2887918dc55.jpg","open")</f>
        <v/>
      </c>
      <c r="C2483" t="inlineStr">
        <is>
          <t>12e795ad-2aa7-49de-b2da-2c6aa35a4559</t>
        </is>
      </c>
      <c r="D2483" t="n">
        <v>55.72932</v>
      </c>
      <c r="E2483" t="n">
        <v>37.60501</v>
      </c>
      <c r="F2483" t="inlineStr"/>
      <c r="G2483" t="inlineStr"/>
      <c r="H2483" t="inlineStr"/>
    </row>
    <row r="2484">
      <c r="A2484" t="inlineStr">
        <is>
          <t>ecf24ede-6e86-406b-95aa-e08bf54e1762.jpg</t>
        </is>
      </c>
      <c r="B2484">
        <f>HYPERLINK("Объекты недвижимости, не соответствующие градостроительным нормам_00-022_Август/ecf24ede-6e86-406b-95aa-e08bf54e1762.jpg","open")</f>
        <v/>
      </c>
      <c r="C2484" t="inlineStr">
        <is>
          <t>ad64e6b9-1ed5-44d7-a101-4945a1f9dec6</t>
        </is>
      </c>
      <c r="D2484" t="n">
        <v>55.72932</v>
      </c>
      <c r="E2484" t="n">
        <v>37.60501</v>
      </c>
      <c r="F2484" t="inlineStr"/>
      <c r="G2484" t="inlineStr"/>
      <c r="H2484" t="inlineStr"/>
    </row>
    <row r="2485">
      <c r="A2485" t="inlineStr">
        <is>
          <t>e33c3bef-dae6-4c85-b923-af329cf85747.jpg</t>
        </is>
      </c>
      <c r="B2485">
        <f>HYPERLINK("Объекты недвижимости, не соответствующие градостроительным нормам_00-022_Август/e33c3bef-dae6-4c85-b923-af329cf85747.jpg","open")</f>
        <v/>
      </c>
      <c r="C2485" t="inlineStr">
        <is>
          <t>57aae8a4-582b-4309-8045-c8127a9f86ae</t>
        </is>
      </c>
      <c r="D2485" t="n">
        <v>55.00883</v>
      </c>
      <c r="E2485" t="n">
        <v>82.65228</v>
      </c>
      <c r="F2485" t="inlineStr"/>
      <c r="G2485" t="inlineStr"/>
      <c r="H2485" t="inlineStr"/>
    </row>
    <row r="2486">
      <c r="A2486" t="inlineStr">
        <is>
          <t>d7af8726-dc06-4b90-bfa9-800b14144c6b.jpg</t>
        </is>
      </c>
      <c r="B2486">
        <f>HYPERLINK("Объекты недвижимости, не соответствующие градостроительным нормам_00-022_Август/d7af8726-dc06-4b90-bfa9-800b14144c6b.jpg","open")</f>
        <v/>
      </c>
      <c r="C2486" t="inlineStr">
        <is>
          <t>12e795ad-2aa7-49de-b2da-2c6aa35a4559</t>
        </is>
      </c>
      <c r="D2486" t="n">
        <v>55.72932</v>
      </c>
      <c r="E2486" t="n">
        <v>37.60501</v>
      </c>
      <c r="F2486" t="inlineStr"/>
      <c r="G2486" t="inlineStr"/>
      <c r="H2486" t="inlineStr"/>
    </row>
    <row r="2487">
      <c r="A2487" t="inlineStr">
        <is>
          <t>91d326e1-6681-4d01-bb1e-a4096fd08fb5.jpg</t>
        </is>
      </c>
      <c r="B2487">
        <f>HYPERLINK("Объекты недвижимости, не соответствующие градостроительным нормам_00-022_Август/91d326e1-6681-4d01-bb1e-a4096fd08fb5.jpg","open")</f>
        <v/>
      </c>
      <c r="C2487" t="inlineStr">
        <is>
          <t>936502dd-24a4-4256-9fdf-0d8fb72af3ed</t>
        </is>
      </c>
      <c r="D2487" t="n">
        <v>55.60205</v>
      </c>
      <c r="E2487" t="n">
        <v>37.64938</v>
      </c>
      <c r="F2487" t="inlineStr"/>
      <c r="G2487" t="inlineStr"/>
      <c r="H2487" t="inlineStr"/>
    </row>
    <row r="2488">
      <c r="A2488" t="inlineStr">
        <is>
          <t>09adb2a1-75d7-45b5-aab3-060e3b17f839.jpg</t>
        </is>
      </c>
      <c r="B2488">
        <f>HYPERLINK("Объекты недвижимости, не соответствующие градостроительным нормам_00-022_Август/09adb2a1-75d7-45b5-aab3-060e3b17f839.jpg","open")</f>
        <v/>
      </c>
      <c r="C2488" t="inlineStr">
        <is>
          <t>a28f597e-d1cd-4d3b-b572-c86d033412e9</t>
        </is>
      </c>
      <c r="D2488" t="n">
        <v>55.73324</v>
      </c>
      <c r="E2488" t="n">
        <v>37.54274</v>
      </c>
      <c r="F2488" t="inlineStr"/>
      <c r="G2488" t="inlineStr"/>
      <c r="H2488" t="inlineStr"/>
    </row>
    <row r="2489">
      <c r="A2489" t="inlineStr">
        <is>
          <t>8f944494-a758-4d7a-aff5-ebc904c69542.jpg</t>
        </is>
      </c>
      <c r="B2489">
        <f>HYPERLINK("Объекты недвижимости, не соответствующие градостроительным нормам_00-022_Август/8f944494-a758-4d7a-aff5-ebc904c69542.jpg","open")</f>
        <v/>
      </c>
      <c r="C2489" t="inlineStr">
        <is>
          <t>036c664f-5408-4fd0-b479-342c00468eeb</t>
        </is>
      </c>
      <c r="D2489" t="n">
        <v>55.73314</v>
      </c>
      <c r="E2489" t="n">
        <v>37.54272</v>
      </c>
      <c r="F2489" t="inlineStr"/>
      <c r="G2489" t="inlineStr"/>
      <c r="H2489" t="inlineStr"/>
    </row>
    <row r="2490">
      <c r="A2490" t="inlineStr">
        <is>
          <t>e189cb11-e961-4e6b-9d70-6dcf2f5f13da.jpg</t>
        </is>
      </c>
      <c r="B2490">
        <f>HYPERLINK("Объекты недвижимости, не соответствующие градостроительным нормам_00-022_Август/e189cb11-e961-4e6b-9d70-6dcf2f5f13da.jpg","open")</f>
        <v/>
      </c>
      <c r="C2490" t="inlineStr">
        <is>
          <t>1c951e11-4940-43c6-a447-394097e5609a</t>
        </is>
      </c>
      <c r="D2490" t="n">
        <v>55.71819</v>
      </c>
      <c r="E2490" t="n">
        <v>37.91351</v>
      </c>
      <c r="F2490" t="inlineStr"/>
      <c r="G2490" t="inlineStr"/>
      <c r="H2490" t="inlineStr"/>
    </row>
    <row r="2491">
      <c r="A2491" t="inlineStr">
        <is>
          <t>c8a881da-5da5-47d6-9c27-4ea2356b8364.jpg</t>
        </is>
      </c>
      <c r="B2491">
        <f>HYPERLINK("Объекты недвижимости, не соответствующие градостроительным нормам_00-022_Август/c8a881da-5da5-47d6-9c27-4ea2356b8364.jpg","open")</f>
        <v/>
      </c>
      <c r="C2491" t="inlineStr">
        <is>
          <t>8cde1fd0-eca1-4510-86ab-3c743b65fdfc</t>
        </is>
      </c>
      <c r="D2491" t="n">
        <v>55.7182</v>
      </c>
      <c r="E2491" t="n">
        <v>37.9135</v>
      </c>
      <c r="F2491" t="inlineStr"/>
      <c r="G2491" t="inlineStr"/>
      <c r="H2491" t="inlineStr"/>
    </row>
    <row r="2492">
      <c r="A2492" t="inlineStr">
        <is>
          <t>994d5782-0661-4e7a-96d3-629bb7ead818.jpg</t>
        </is>
      </c>
      <c r="B2492">
        <f>HYPERLINK("Объекты недвижимости, не соответствующие градостроительным нормам_00-022_Август/994d5782-0661-4e7a-96d3-629bb7ead818.jpg","open")</f>
        <v/>
      </c>
      <c r="C2492" t="inlineStr">
        <is>
          <t>8cde1fd0-eca1-4510-86ab-3c743b65fdfc</t>
        </is>
      </c>
      <c r="D2492" t="n">
        <v>55.71565</v>
      </c>
      <c r="E2492" t="n">
        <v>37.90416</v>
      </c>
      <c r="F2492" t="inlineStr"/>
      <c r="G2492" t="inlineStr"/>
      <c r="H2492" t="inlineStr"/>
    </row>
    <row r="2493">
      <c r="A2493" t="inlineStr">
        <is>
          <t>02f3b337-cf38-43ff-8287-ba02a1223153.jpg</t>
        </is>
      </c>
      <c r="B2493">
        <f>HYPERLINK("Объекты недвижимости, не соответствующие градостроительным нормам_00-022_Август/02f3b337-cf38-43ff-8287-ba02a1223153.jpg","open")</f>
        <v/>
      </c>
      <c r="C2493" t="inlineStr">
        <is>
          <t>8cde1fd0-eca1-4510-86ab-3c743b65fdfc</t>
        </is>
      </c>
      <c r="D2493" t="n">
        <v>55.70744</v>
      </c>
      <c r="E2493" t="n">
        <v>37.88922</v>
      </c>
      <c r="F2493" t="inlineStr"/>
      <c r="G2493" t="inlineStr"/>
      <c r="H2493" t="inlineStr"/>
    </row>
    <row r="2494">
      <c r="A2494" t="inlineStr">
        <is>
          <t>66cd35e5-e101-489d-a0cd-2a04c52ff4a5.jpg</t>
        </is>
      </c>
      <c r="B2494">
        <f>HYPERLINK("Объекты недвижимости, не соответствующие градостроительным нормам_00-022_Август/66cd35e5-e101-489d-a0cd-2a04c52ff4a5.jpg","open")</f>
        <v/>
      </c>
      <c r="C2494" t="inlineStr">
        <is>
          <t>685d9054-b74f-49ab-857b-109fd2cec80d</t>
        </is>
      </c>
      <c r="D2494" t="n">
        <v>55.59611</v>
      </c>
      <c r="E2494" t="n">
        <v>37.64823</v>
      </c>
      <c r="F2494" t="inlineStr"/>
      <c r="G2494" t="inlineStr"/>
      <c r="H2494" t="inlineStr"/>
    </row>
    <row r="2495">
      <c r="A2495" t="inlineStr">
        <is>
          <t>b0bdeffc-c1d5-4fb3-87df-19430b3264a9.jpg</t>
        </is>
      </c>
      <c r="B2495">
        <f>HYPERLINK("Объекты недвижимости, не соответствующие градостроительным нормам_00-022_Август/b0bdeffc-c1d5-4fb3-87df-19430b3264a9.jpg","open")</f>
        <v/>
      </c>
      <c r="C2495" t="inlineStr">
        <is>
          <t>8cde1fd0-eca1-4510-86ab-3c743b65fdfc</t>
        </is>
      </c>
      <c r="D2495" t="n">
        <v>55.73059</v>
      </c>
      <c r="E2495" t="n">
        <v>37.77703</v>
      </c>
      <c r="F2495" t="inlineStr"/>
      <c r="G2495" t="inlineStr"/>
      <c r="H2495" t="inlineStr"/>
    </row>
    <row r="2496">
      <c r="A2496" t="inlineStr">
        <is>
          <t>95a8f95e-6dff-4526-b54d-83f84a428ab1.jpg</t>
        </is>
      </c>
      <c r="B2496">
        <f>HYPERLINK("Объекты недвижимости, не соответствующие градостроительным нормам_00-022_Август/95a8f95e-6dff-4526-b54d-83f84a428ab1.jpg","open")</f>
        <v/>
      </c>
      <c r="C2496" t="inlineStr">
        <is>
          <t>61936922-4d4b-458e-80ea-6d4c450aa1d5</t>
        </is>
      </c>
      <c r="D2496" t="n">
        <v>55.85306</v>
      </c>
      <c r="E2496" t="n">
        <v>37.53273</v>
      </c>
      <c r="F2496" t="inlineStr"/>
      <c r="G2496" t="inlineStr"/>
      <c r="H2496" t="inlineStr"/>
    </row>
    <row r="2497">
      <c r="A2497" t="inlineStr">
        <is>
          <t>2981f0e5-1f41-42c9-88e6-3c909c4d0840.jpg</t>
        </is>
      </c>
      <c r="B2497">
        <f>HYPERLINK("Объекты недвижимости, не соответствующие градостроительным нормам_00-022_Август/2981f0e5-1f41-42c9-88e6-3c909c4d0840.jpg","open")</f>
        <v/>
      </c>
      <c r="C2497" t="inlineStr">
        <is>
          <t>b0429a31-0c70-4b9f-8ea5-73929d82f89e</t>
        </is>
      </c>
      <c r="D2497" t="n">
        <v>55.71656</v>
      </c>
      <c r="E2497" t="n">
        <v>37.68809</v>
      </c>
      <c r="F2497" t="inlineStr"/>
      <c r="G2497" t="inlineStr"/>
      <c r="H2497" t="inlineStr"/>
    </row>
    <row r="2498">
      <c r="A2498" t="inlineStr">
        <is>
          <t>23c0856e-99ad-4304-845e-e15aa490c601.jpg</t>
        </is>
      </c>
      <c r="B2498">
        <f>HYPERLINK("Объекты недвижимости, не соответствующие градостроительным нормам_00-022_Август/23c0856e-99ad-4304-845e-e15aa490c601.jpg","open")</f>
        <v/>
      </c>
      <c r="C2498" t="inlineStr">
        <is>
          <t>685d9054-b74f-49ab-857b-109fd2cec80d</t>
        </is>
      </c>
      <c r="D2498" t="n">
        <v>55.61739</v>
      </c>
      <c r="E2498" t="n">
        <v>37.42963</v>
      </c>
      <c r="F2498" t="inlineStr"/>
      <c r="G2498" t="inlineStr"/>
      <c r="H2498" t="inlineStr"/>
    </row>
    <row r="2499">
      <c r="A2499" t="inlineStr">
        <is>
          <t>4ea13ba4-c124-4e96-b0c1-c6a91161cef0.jpg</t>
        </is>
      </c>
      <c r="B2499">
        <f>HYPERLINK("Объекты недвижимости, не соответствующие градостроительным нормам_00-022_Август/4ea13ba4-c124-4e96-b0c1-c6a91161cef0.jpg","open")</f>
        <v/>
      </c>
      <c r="C2499" t="inlineStr">
        <is>
          <t>8cde1fd0-eca1-4510-86ab-3c743b65fdfc</t>
        </is>
      </c>
      <c r="D2499" t="n">
        <v>55.74717</v>
      </c>
      <c r="E2499" t="n">
        <v>37.78731</v>
      </c>
      <c r="F2499" t="inlineStr"/>
      <c r="G2499" t="inlineStr"/>
      <c r="H2499" t="inlineStr"/>
    </row>
    <row r="2500">
      <c r="A2500" t="inlineStr">
        <is>
          <t>a7dd8f91-300c-45f4-a8aa-c3897a0f476f.jpg</t>
        </is>
      </c>
      <c r="B2500">
        <f>HYPERLINK("Объекты недвижимости, не соответствующие градостроительным нормам_00-022_Август/a7dd8f91-300c-45f4-a8aa-c3897a0f476f.jpg","open")</f>
        <v/>
      </c>
      <c r="C2500" t="inlineStr">
        <is>
          <t>8cde1fd0-eca1-4510-86ab-3c743b65fdfc</t>
        </is>
      </c>
      <c r="D2500" t="n">
        <v>55.71866</v>
      </c>
      <c r="E2500" t="n">
        <v>37.83988</v>
      </c>
      <c r="F2500" t="inlineStr"/>
      <c r="G2500" t="inlineStr"/>
      <c r="H2500" t="inlineStr"/>
    </row>
    <row r="2501">
      <c r="A2501" t="inlineStr">
        <is>
          <t>80706e00-19c3-4d6b-80c1-b7ce9414d05e.jpg</t>
        </is>
      </c>
      <c r="B2501">
        <f>HYPERLINK("Объекты недвижимости, не соответствующие градостроительным нормам_00-022_Август/80706e00-19c3-4d6b-80c1-b7ce9414d05e.jpg","open")</f>
        <v/>
      </c>
      <c r="C2501" t="inlineStr">
        <is>
          <t>685d9054-b74f-49ab-857b-109fd2cec80d</t>
        </is>
      </c>
      <c r="D2501" t="n">
        <v>55.61739</v>
      </c>
      <c r="E2501" t="n">
        <v>37.42963</v>
      </c>
      <c r="F2501" t="inlineStr"/>
      <c r="G2501" t="inlineStr"/>
      <c r="H2501" t="inlineStr"/>
    </row>
    <row r="2502">
      <c r="A2502" t="inlineStr">
        <is>
          <t>0cffed30-c06a-40c6-953a-af3ef0e7f132.jpg</t>
        </is>
      </c>
      <c r="B2502">
        <f>HYPERLINK("Объекты недвижимости, не соответствующие градостроительным нормам_00-022_Август/0cffed30-c06a-40c6-953a-af3ef0e7f132.jpg","open")</f>
        <v/>
      </c>
      <c r="C2502" t="inlineStr">
        <is>
          <t>8cde1fd0-eca1-4510-86ab-3c743b65fdfc</t>
        </is>
      </c>
      <c r="D2502" t="n">
        <v>55.71866</v>
      </c>
      <c r="E2502" t="n">
        <v>37.83988</v>
      </c>
      <c r="F2502" t="inlineStr"/>
      <c r="G2502" t="inlineStr"/>
      <c r="H2502" t="inlineStr"/>
    </row>
    <row r="2503">
      <c r="A2503" t="inlineStr">
        <is>
          <t>daca9622-d32c-4967-903a-c2c8a5b05ac8.jpg</t>
        </is>
      </c>
      <c r="B2503">
        <f>HYPERLINK("Объекты недвижимости, не соответствующие градостроительным нормам_00-022_Август/daca9622-d32c-4967-903a-c2c8a5b05ac8.jpg","open")</f>
        <v/>
      </c>
      <c r="C2503" t="inlineStr">
        <is>
          <t>8cde1fd0-eca1-4510-86ab-3c743b65fdfc</t>
        </is>
      </c>
      <c r="D2503" t="n">
        <v>55.71866</v>
      </c>
      <c r="E2503" t="n">
        <v>37.83988</v>
      </c>
      <c r="F2503" t="inlineStr"/>
      <c r="G2503" t="inlineStr"/>
      <c r="H2503" t="inlineStr"/>
    </row>
    <row r="2504">
      <c r="A2504" t="inlineStr">
        <is>
          <t>ea08df24-e000-4788-aea6-a3b74ea1757f.jpg</t>
        </is>
      </c>
      <c r="B2504">
        <f>HYPERLINK("Объекты недвижимости, не соответствующие градостроительным нормам_00-022_Август/ea08df24-e000-4788-aea6-a3b74ea1757f.jpg","open")</f>
        <v/>
      </c>
      <c r="C2504" t="inlineStr">
        <is>
          <t>8cde1fd0-eca1-4510-86ab-3c743b65fdfc</t>
        </is>
      </c>
      <c r="D2504" t="n">
        <v>55.71866</v>
      </c>
      <c r="E2504" t="n">
        <v>37.83988</v>
      </c>
      <c r="F2504" t="inlineStr"/>
      <c r="G2504" t="inlineStr"/>
      <c r="H2504" t="inlineStr"/>
    </row>
    <row r="2505">
      <c r="A2505" t="inlineStr">
        <is>
          <t>e7525f9f-ff23-4f00-8f1a-598466902be7.jpg</t>
        </is>
      </c>
      <c r="B2505">
        <f>HYPERLINK("Объекты недвижимости, не соответствующие градостроительным нормам_00-022_Август/e7525f9f-ff23-4f00-8f1a-598466902be7.jpg","open")</f>
        <v/>
      </c>
      <c r="C2505" t="inlineStr">
        <is>
          <t>8cde1fd0-eca1-4510-86ab-3c743b65fdfc</t>
        </is>
      </c>
      <c r="D2505" t="n">
        <v>55.71866</v>
      </c>
      <c r="E2505" t="n">
        <v>37.83988</v>
      </c>
      <c r="F2505" t="inlineStr"/>
      <c r="G2505" t="inlineStr"/>
      <c r="H2505" t="inlineStr"/>
    </row>
    <row r="2506">
      <c r="A2506" t="inlineStr">
        <is>
          <t>efa484ca-18ad-4e28-99a8-dd8a75720527.jpg</t>
        </is>
      </c>
      <c r="B2506">
        <f>HYPERLINK("Объекты недвижимости, не соответствующие градостроительным нормам_00-022_Август/efa484ca-18ad-4e28-99a8-dd8a75720527.jpg","open")</f>
        <v/>
      </c>
      <c r="C2506" t="inlineStr">
        <is>
          <t>8cde1fd0-eca1-4510-86ab-3c743b65fdfc</t>
        </is>
      </c>
      <c r="D2506" t="n">
        <v>55.71866</v>
      </c>
      <c r="E2506" t="n">
        <v>37.83988</v>
      </c>
      <c r="F2506" t="inlineStr"/>
      <c r="G2506" t="inlineStr"/>
      <c r="H2506" t="inlineStr"/>
    </row>
    <row r="2507">
      <c r="A2507" t="inlineStr">
        <is>
          <t>2ce3f62f-3763-4e1c-b28f-58fc96c44b41.jpg</t>
        </is>
      </c>
      <c r="B2507">
        <f>HYPERLINK("Объекты недвижимости, не соответствующие градостроительным нормам_00-022_Август/2ce3f62f-3763-4e1c-b28f-58fc96c44b41.jpg","open")</f>
        <v/>
      </c>
      <c r="C2507" t="inlineStr">
        <is>
          <t>1c951e11-4940-43c6-a447-394097e5609a</t>
        </is>
      </c>
      <c r="D2507" t="n">
        <v>55.71866</v>
      </c>
      <c r="E2507" t="n">
        <v>37.83988</v>
      </c>
      <c r="F2507" t="inlineStr"/>
      <c r="G2507" t="inlineStr"/>
      <c r="H2507" t="inlineStr"/>
    </row>
    <row r="2508">
      <c r="A2508" t="inlineStr">
        <is>
          <t>0d4b63a5-5401-4d69-82a0-040993968240.jpg</t>
        </is>
      </c>
      <c r="B2508">
        <f>HYPERLINK("Объекты недвижимости, не соответствующие градостроительным нормам_00-022_Август/0d4b63a5-5401-4d69-82a0-040993968240.jpg","open")</f>
        <v/>
      </c>
      <c r="C2508" t="inlineStr">
        <is>
          <t>8cde1fd0-eca1-4510-86ab-3c743b65fdfc</t>
        </is>
      </c>
      <c r="D2508" t="n">
        <v>55.62422</v>
      </c>
      <c r="E2508" t="n">
        <v>37.9312</v>
      </c>
      <c r="F2508" t="inlineStr"/>
      <c r="G2508" t="inlineStr"/>
      <c r="H2508" t="inlineStr"/>
    </row>
    <row r="2509">
      <c r="A2509" t="inlineStr">
        <is>
          <t>df3273a9-e2ec-4967-96c5-2c8ac20c9178.jpg</t>
        </is>
      </c>
      <c r="B2509">
        <f>HYPERLINK("Объекты недвижимости, не соответствующие градостроительным нормам_00-022_Август/df3273a9-e2ec-4967-96c5-2c8ac20c9178.jpg","open")</f>
        <v/>
      </c>
      <c r="C2509" t="inlineStr">
        <is>
          <t>8cde1fd0-eca1-4510-86ab-3c743b65fdfc</t>
        </is>
      </c>
      <c r="D2509" t="n">
        <v>55.62343</v>
      </c>
      <c r="E2509" t="n">
        <v>37.93158</v>
      </c>
      <c r="F2509" t="inlineStr"/>
      <c r="G2509" t="inlineStr"/>
      <c r="H2509" t="inlineStr"/>
    </row>
    <row r="2510">
      <c r="A2510" t="inlineStr">
        <is>
          <t>3a0a7779-b6b4-4022-8741-d29c330dc1d5.jpg</t>
        </is>
      </c>
      <c r="B2510">
        <f>HYPERLINK("Объекты недвижимости, не соответствующие градостроительным нормам_00-022_Август/3a0a7779-b6b4-4022-8741-d29c330dc1d5.jpg","open")</f>
        <v/>
      </c>
      <c r="C2510" t="inlineStr">
        <is>
          <t>1c951e11-4940-43c6-a447-394097e5609a</t>
        </is>
      </c>
      <c r="D2510" t="n">
        <v>55.62201</v>
      </c>
      <c r="E2510" t="n">
        <v>37.93213</v>
      </c>
      <c r="F2510" t="inlineStr"/>
      <c r="G2510" t="inlineStr"/>
      <c r="H2510" t="inlineStr"/>
    </row>
    <row r="2511">
      <c r="A2511" t="inlineStr">
        <is>
          <t>cd1fc166-a71c-4bc4-ae9d-38b7a9b8abc8.jpg</t>
        </is>
      </c>
      <c r="B2511">
        <f>HYPERLINK("Объекты недвижимости, не соответствующие градостроительным нормам_00-022_Август/cd1fc166-a71c-4bc4-ae9d-38b7a9b8abc8.jpg","open")</f>
        <v/>
      </c>
      <c r="C2511" t="inlineStr">
        <is>
          <t>8cde1fd0-eca1-4510-86ab-3c743b65fdfc</t>
        </is>
      </c>
      <c r="D2511" t="n">
        <v>55.62178</v>
      </c>
      <c r="E2511" t="n">
        <v>37.93214</v>
      </c>
      <c r="F2511" t="inlineStr"/>
      <c r="G2511" t="inlineStr"/>
      <c r="H2511" t="inlineStr"/>
    </row>
    <row r="2512">
      <c r="A2512" t="inlineStr">
        <is>
          <t>1cfe4a2d-dc09-4aeb-81f2-7293560514d5.jpg</t>
        </is>
      </c>
      <c r="B2512">
        <f>HYPERLINK("Объекты недвижимости, не соответствующие градостроительным нормам_00-022_Август/1cfe4a2d-dc09-4aeb-81f2-7293560514d5.jpg","open")</f>
        <v/>
      </c>
      <c r="C2512" t="inlineStr">
        <is>
          <t>8cde1fd0-eca1-4510-86ab-3c743b65fdfc</t>
        </is>
      </c>
      <c r="D2512" t="n">
        <v>55.61703</v>
      </c>
      <c r="E2512" t="n">
        <v>37.93377</v>
      </c>
      <c r="F2512" t="inlineStr"/>
      <c r="G2512" t="inlineStr"/>
      <c r="H2512" t="inlineStr"/>
    </row>
    <row r="2513">
      <c r="A2513" t="inlineStr">
        <is>
          <t>b000335d-4208-4dc4-ae27-0e9bfd30b0c4.jpg</t>
        </is>
      </c>
      <c r="B2513">
        <f>HYPERLINK("Объекты недвижимости, не соответствующие градостроительным нормам_00-022_Август/b000335d-4208-4dc4-ae27-0e9bfd30b0c4.jpg","open")</f>
        <v/>
      </c>
      <c r="C2513" t="inlineStr">
        <is>
          <t>8cde1fd0-eca1-4510-86ab-3c743b65fdfc</t>
        </is>
      </c>
      <c r="D2513" t="n">
        <v>55.71866</v>
      </c>
      <c r="E2513" t="n">
        <v>37.83988</v>
      </c>
      <c r="F2513" t="inlineStr"/>
      <c r="G2513" t="inlineStr"/>
      <c r="H2513" t="inlineStr"/>
    </row>
    <row r="2514">
      <c r="A2514" t="inlineStr">
        <is>
          <t>404bf239-8aa8-4f45-ab97-a02902c8ac9f.jpg</t>
        </is>
      </c>
      <c r="B2514">
        <f>HYPERLINK("Объекты недвижимости, не соответствующие градостроительным нормам_00-022_Август/404bf239-8aa8-4f45-ab97-a02902c8ac9f.jpg","open")</f>
        <v/>
      </c>
      <c r="C2514" t="inlineStr">
        <is>
          <t>8cde1fd0-eca1-4510-86ab-3c743b65fdfc</t>
        </is>
      </c>
      <c r="D2514" t="n">
        <v>55.60913</v>
      </c>
      <c r="E2514" t="n">
        <v>37.93463</v>
      </c>
      <c r="F2514" t="inlineStr"/>
      <c r="G2514" t="inlineStr"/>
      <c r="H2514" t="inlineStr"/>
    </row>
    <row r="2515">
      <c r="A2515" t="inlineStr">
        <is>
          <t>7a850d65-4f93-45a6-aed3-cea7a21bc78d.jpg</t>
        </is>
      </c>
      <c r="B2515">
        <f>HYPERLINK("Объекты недвижимости, не соответствующие градостроительным нормам_00-022_Август/7a850d65-4f93-45a6-aed3-cea7a21bc78d.jpg","open")</f>
        <v/>
      </c>
      <c r="C2515" t="inlineStr">
        <is>
          <t>8cde1fd0-eca1-4510-86ab-3c743b65fdfc</t>
        </is>
      </c>
      <c r="D2515" t="n">
        <v>55.60823</v>
      </c>
      <c r="E2515" t="n">
        <v>37.93476</v>
      </c>
      <c r="F2515" t="inlineStr"/>
      <c r="G2515" t="inlineStr"/>
      <c r="H2515" t="inlineStr"/>
    </row>
    <row r="2516">
      <c r="A2516" t="inlineStr">
        <is>
          <t>440ca8fc-a383-409f-95ce-508e47ee8b03.jpg</t>
        </is>
      </c>
      <c r="B2516">
        <f>HYPERLINK("Объекты недвижимости, не соответствующие градостроительным нормам_00-022_Август/440ca8fc-a383-409f-95ce-508e47ee8b03.jpg","open")</f>
        <v/>
      </c>
      <c r="C2516" t="inlineStr">
        <is>
          <t>ed2bf0f1-3a66-4913-896e-4420a9796c0b</t>
        </is>
      </c>
      <c r="D2516" t="n">
        <v>55.81176</v>
      </c>
      <c r="E2516" t="n">
        <v>37.58146</v>
      </c>
      <c r="F2516" t="inlineStr"/>
      <c r="G2516" t="inlineStr"/>
      <c r="H2516" t="inlineStr"/>
    </row>
    <row r="2517">
      <c r="A2517" t="inlineStr">
        <is>
          <t>d68d5826-097f-4607-8c16-a212f53edd6d.jpg</t>
        </is>
      </c>
      <c r="B2517">
        <f>HYPERLINK("Объекты недвижимости, не соответствующие градостроительным нормам_00-022_Август/d68d5826-097f-4607-8c16-a212f53edd6d.jpg","open")</f>
        <v/>
      </c>
      <c r="C2517" t="inlineStr">
        <is>
          <t>1c951e11-4940-43c6-a447-394097e5609a</t>
        </is>
      </c>
      <c r="D2517" t="n">
        <v>55.57051</v>
      </c>
      <c r="E2517" t="n">
        <v>37.97496</v>
      </c>
      <c r="F2517" t="inlineStr"/>
      <c r="G2517" t="inlineStr"/>
      <c r="H2517" t="inlineStr"/>
    </row>
    <row r="2518">
      <c r="A2518" t="inlineStr">
        <is>
          <t>e6d7c59d-2727-471d-9edb-9ef0d6e286ad.jpg</t>
        </is>
      </c>
      <c r="B2518">
        <f>HYPERLINK("Объекты недвижимости, не соответствующие градостроительным нормам_00-022_Август/e6d7c59d-2727-471d-9edb-9ef0d6e286ad.jpg","open")</f>
        <v/>
      </c>
      <c r="C2518" t="inlineStr">
        <is>
          <t>db8b536c-32f2-4d9a-ae08-679d227e61f1</t>
        </is>
      </c>
      <c r="D2518" t="n">
        <v>55.7249</v>
      </c>
      <c r="E2518" t="n">
        <v>37.68759</v>
      </c>
      <c r="F2518" t="inlineStr"/>
      <c r="G2518" t="inlineStr"/>
      <c r="H2518" t="inlineStr"/>
    </row>
    <row r="2519">
      <c r="A2519" t="inlineStr">
        <is>
          <t>fb56c2c0-fc93-45d8-a664-934af15582ef.jpg</t>
        </is>
      </c>
      <c r="B2519">
        <f>HYPERLINK("Объекты недвижимости, не соответствующие градостроительным нормам_00-022_Август/fb56c2c0-fc93-45d8-a664-934af15582ef.jpg","open")</f>
        <v/>
      </c>
      <c r="C2519" t="inlineStr">
        <is>
          <t>db8b536c-32f2-4d9a-ae08-679d227e61f1</t>
        </is>
      </c>
      <c r="D2519" t="n">
        <v>55.68768</v>
      </c>
      <c r="E2519" t="n">
        <v>37.58486</v>
      </c>
      <c r="F2519" t="inlineStr"/>
      <c r="G2519" t="inlineStr"/>
      <c r="H2519" t="inlineStr"/>
    </row>
    <row r="2520">
      <c r="A2520" t="inlineStr">
        <is>
          <t>6bf983ed-7dfe-4fb6-a08a-ffc04ab96a07.jpg</t>
        </is>
      </c>
      <c r="B2520">
        <f>HYPERLINK("Объекты недвижимости, не соответствующие градостроительным нормам_00-022_Август/6bf983ed-7dfe-4fb6-a08a-ffc04ab96a07.jpg","open")</f>
        <v/>
      </c>
      <c r="C2520" t="inlineStr">
        <is>
          <t>9f88688f-4c81-42a8-b76a-3c3e7edf869e</t>
        </is>
      </c>
      <c r="D2520" t="n">
        <v>55.96488</v>
      </c>
      <c r="E2520" t="n">
        <v>37.42172</v>
      </c>
      <c r="F2520" t="inlineStr"/>
      <c r="G2520" t="inlineStr"/>
      <c r="H2520" t="inlineStr"/>
    </row>
    <row r="2521">
      <c r="A2521" t="inlineStr">
        <is>
          <t>8d552259-2990-4b6e-9a33-09146b7baed7.jpg</t>
        </is>
      </c>
      <c r="B2521">
        <f>HYPERLINK("Объекты недвижимости, не соответствующие градостроительным нормам_00-022_Август/8d552259-2990-4b6e-9a33-09146b7baed7.jpg","open")</f>
        <v/>
      </c>
      <c r="C2521" t="inlineStr">
        <is>
          <t>fce890a6-27da-4062-a046-08262a160ee6</t>
        </is>
      </c>
      <c r="D2521" t="n">
        <v>55.96488</v>
      </c>
      <c r="E2521" t="n">
        <v>37.42172</v>
      </c>
      <c r="F2521" t="inlineStr"/>
      <c r="G2521" t="inlineStr"/>
      <c r="H2521" t="inlineStr"/>
    </row>
    <row r="2522">
      <c r="A2522" t="inlineStr">
        <is>
          <t>6d47d3f5-ccf2-44b0-8336-9f4f90e07a91.jpg</t>
        </is>
      </c>
      <c r="B2522">
        <f>HYPERLINK("Объекты недвижимости, не соответствующие градостроительным нормам_00-022_Август/6d47d3f5-ccf2-44b0-8336-9f4f90e07a91.jpg","open")</f>
        <v/>
      </c>
      <c r="C2522" t="inlineStr">
        <is>
          <t>fce890a6-27da-4062-a046-08262a160ee6</t>
        </is>
      </c>
      <c r="D2522" t="n">
        <v>55.96488</v>
      </c>
      <c r="E2522" t="n">
        <v>37.42172</v>
      </c>
      <c r="F2522" t="inlineStr"/>
      <c r="G2522" t="inlineStr"/>
      <c r="H2522" t="inlineStr"/>
    </row>
    <row r="2523">
      <c r="A2523" t="inlineStr">
        <is>
          <t>54da051f-a7a3-477a-8f82-b8c93be00f0d.jpg</t>
        </is>
      </c>
      <c r="B2523">
        <f>HYPERLINK("Объекты недвижимости, не соответствующие градостроительным нормам_00-022_Август/54da051f-a7a3-477a-8f82-b8c93be00f0d.jpg","open")</f>
        <v/>
      </c>
      <c r="C2523" t="inlineStr">
        <is>
          <t>750bf7e4-0f0f-4f1a-96af-607dc8c1f1c9</t>
        </is>
      </c>
      <c r="D2523" t="n">
        <v>55.77758</v>
      </c>
      <c r="E2523" t="n">
        <v>37.67011</v>
      </c>
      <c r="F2523" t="inlineStr"/>
      <c r="G2523" t="inlineStr"/>
      <c r="H2523" t="inlineStr"/>
    </row>
    <row r="2524">
      <c r="A2524" t="inlineStr">
        <is>
          <t>a1be0890-9b5e-4cd4-ba89-04785b5e86e9.jpg</t>
        </is>
      </c>
      <c r="B2524">
        <f>HYPERLINK("Объекты недвижимости, не соответствующие градостроительным нормам_00-022_Август/a1be0890-9b5e-4cd4-ba89-04785b5e86e9.jpg","open")</f>
        <v/>
      </c>
      <c r="C2524" t="inlineStr">
        <is>
          <t>e26f5fc2-1353-4f29-85f3-87c56419161c</t>
        </is>
      </c>
      <c r="D2524" t="n">
        <v>55.78012</v>
      </c>
      <c r="E2524" t="n">
        <v>37.6727</v>
      </c>
      <c r="F2524" t="inlineStr"/>
      <c r="G2524" t="inlineStr"/>
      <c r="H2524" t="inlineStr"/>
    </row>
    <row r="2525">
      <c r="A2525" t="inlineStr">
        <is>
          <t>1ae3f863-8c99-4d6f-b985-90b6cb2859b3.jpg</t>
        </is>
      </c>
      <c r="B2525">
        <f>HYPERLINK("Объекты недвижимости, не соответствующие градостроительным нормам_00-022_Август/1ae3f863-8c99-4d6f-b985-90b6cb2859b3.jpg","open")</f>
        <v/>
      </c>
      <c r="C2525" t="inlineStr">
        <is>
          <t>8cde1fd0-eca1-4510-86ab-3c743b65fdfc</t>
        </is>
      </c>
      <c r="D2525" t="n">
        <v>55.75503</v>
      </c>
      <c r="E2525" t="n">
        <v>37.69034</v>
      </c>
      <c r="F2525" t="inlineStr"/>
      <c r="G2525" t="inlineStr"/>
      <c r="H2525" t="inlineStr"/>
    </row>
    <row r="2526">
      <c r="A2526" t="inlineStr">
        <is>
          <t>d3e63dc8-53f4-428f-bf0f-cbf9967ba353.jpg</t>
        </is>
      </c>
      <c r="B2526">
        <f>HYPERLINK("Объекты недвижимости, не соответствующие градостроительным нормам_00-022_Август/d3e63dc8-53f4-428f-bf0f-cbf9967ba353.jpg","open")</f>
        <v/>
      </c>
      <c r="C2526" t="inlineStr">
        <is>
          <t>036c664f-5408-4fd0-b479-342c00468eeb</t>
        </is>
      </c>
      <c r="D2526" t="n">
        <v>55.70333</v>
      </c>
      <c r="E2526" t="n">
        <v>37.65388</v>
      </c>
      <c r="F2526" t="inlineStr"/>
      <c r="G2526" t="inlineStr"/>
      <c r="H2526" t="inlineStr"/>
    </row>
    <row r="2527">
      <c r="A2527" t="inlineStr">
        <is>
          <t>bdd97eb5-2c12-4958-9ddd-ac7919d47026.jpg</t>
        </is>
      </c>
      <c r="B2527">
        <f>HYPERLINK("Объекты недвижимости, не соответствующие градостроительным нормам_00-022_Август/bdd97eb5-2c12-4958-9ddd-ac7919d47026.jpg","open")</f>
        <v/>
      </c>
      <c r="C2527" t="inlineStr">
        <is>
          <t>fce890a6-27da-4062-a046-08262a160ee6</t>
        </is>
      </c>
      <c r="D2527" t="n">
        <v>55.96488</v>
      </c>
      <c r="E2527" t="n">
        <v>37.42172</v>
      </c>
      <c r="F2527" t="inlineStr"/>
      <c r="G2527" t="inlineStr"/>
      <c r="H2527" t="inlineStr"/>
    </row>
    <row r="2528">
      <c r="A2528" t="inlineStr">
        <is>
          <t>9a564ace-31ad-418d-ab44-4e4e918a408f.jpg</t>
        </is>
      </c>
      <c r="B2528">
        <f>HYPERLINK("Объекты недвижимости, не соответствующие градостроительным нормам_00-022_Август/9a564ace-31ad-418d-ab44-4e4e918a408f.jpg","open")</f>
        <v/>
      </c>
      <c r="C2528" t="inlineStr">
        <is>
          <t>b0b7ea82-53be-40d0-b992-e2fd18611d5c</t>
        </is>
      </c>
      <c r="D2528" t="n">
        <v>55.73088</v>
      </c>
      <c r="E2528" t="n">
        <v>37.6825</v>
      </c>
      <c r="F2528" t="inlineStr"/>
      <c r="G2528" t="inlineStr"/>
      <c r="H2528" t="inlineStr"/>
    </row>
    <row r="2529">
      <c r="A2529" t="inlineStr">
        <is>
          <t>ca3e62f4-affd-46d6-957f-445f7c52a65b.jpg</t>
        </is>
      </c>
      <c r="B2529">
        <f>HYPERLINK("Объекты недвижимости, не соответствующие градостроительным нормам_00-022_Август/ca3e62f4-affd-46d6-957f-445f7c52a65b.jpg","open")</f>
        <v/>
      </c>
      <c r="C2529" t="inlineStr">
        <is>
          <t>31a713a9-b910-424b-b847-e0eaa2f70c70</t>
        </is>
      </c>
      <c r="D2529" t="n">
        <v>55.77771</v>
      </c>
      <c r="E2529" t="n">
        <v>37.67019</v>
      </c>
      <c r="F2529" t="inlineStr"/>
      <c r="G2529" t="inlineStr"/>
      <c r="H2529" t="inlineStr"/>
    </row>
    <row r="2530">
      <c r="A2530" t="inlineStr">
        <is>
          <t>c7f18be0-6934-4920-8e5c-b83cde4479cb.jpg</t>
        </is>
      </c>
      <c r="B2530">
        <f>HYPERLINK("Объекты недвижимости, не соответствующие градостроительным нормам_00-022_Август/c7f18be0-6934-4920-8e5c-b83cde4479cb.jpg","open")</f>
        <v/>
      </c>
      <c r="C2530" t="inlineStr">
        <is>
          <t>036c664f-5408-4fd0-b479-342c00468eeb</t>
        </is>
      </c>
      <c r="D2530" t="n">
        <v>55.70555</v>
      </c>
      <c r="E2530" t="n">
        <v>37.6278</v>
      </c>
      <c r="F2530" t="inlineStr"/>
      <c r="G2530" t="inlineStr"/>
      <c r="H2530" t="inlineStr"/>
    </row>
    <row r="2531">
      <c r="A2531" t="inlineStr">
        <is>
          <t>5fbb9b6c-b37d-41f6-bd66-a56be4c6981b.jpg</t>
        </is>
      </c>
      <c r="B2531">
        <f>HYPERLINK("Объекты недвижимости, не соответствующие градостроительным нормам_00-022_Август/5fbb9b6c-b37d-41f6-bd66-a56be4c6981b.jpg","open")</f>
        <v/>
      </c>
      <c r="C2531" t="inlineStr">
        <is>
          <t>8cde1fd0-eca1-4510-86ab-3c743b65fdfc</t>
        </is>
      </c>
      <c r="D2531" t="n">
        <v>55.70947</v>
      </c>
      <c r="E2531" t="n">
        <v>37.66624</v>
      </c>
      <c r="F2531" t="inlineStr"/>
      <c r="G2531" t="inlineStr"/>
      <c r="H2531" t="inlineStr"/>
    </row>
    <row r="2532">
      <c r="A2532" t="inlineStr">
        <is>
          <t>822ae753-5a89-45a7-9f01-5221400a61a3.jpg</t>
        </is>
      </c>
      <c r="B2532">
        <f>HYPERLINK("Объекты недвижимости, не соответствующие градостроительным нормам_00-022_Август/822ae753-5a89-45a7-9f01-5221400a61a3.jpg","open")</f>
        <v/>
      </c>
      <c r="C2532" t="inlineStr">
        <is>
          <t>b0b7ea82-53be-40d0-b992-e2fd18611d5c</t>
        </is>
      </c>
      <c r="D2532" t="n">
        <v>55.71854</v>
      </c>
      <c r="E2532" t="n">
        <v>37.72881</v>
      </c>
      <c r="F2532" t="inlineStr"/>
      <c r="G2532" t="inlineStr"/>
      <c r="H2532" t="inlineStr"/>
    </row>
    <row r="2533">
      <c r="A2533" t="inlineStr">
        <is>
          <t>a7c72374-3ad5-410e-93ed-527fb421d448.jpg</t>
        </is>
      </c>
      <c r="B2533">
        <f>HYPERLINK("Объекты недвижимости, не соответствующие градостроительным нормам_00-022_Август/a7c72374-3ad5-410e-93ed-527fb421d448.jpg","open")</f>
        <v/>
      </c>
      <c r="C2533" t="inlineStr">
        <is>
          <t>8cde1fd0-eca1-4510-86ab-3c743b65fdfc</t>
        </is>
      </c>
      <c r="D2533" t="n">
        <v>55.70362</v>
      </c>
      <c r="E2533" t="n">
        <v>37.66747</v>
      </c>
      <c r="F2533" t="inlineStr"/>
      <c r="G2533" t="inlineStr"/>
      <c r="H2533" t="inlineStr"/>
    </row>
    <row r="2534">
      <c r="A2534" t="inlineStr">
        <is>
          <t>c6fe8b0f-5c35-499f-a2c4-c0f8b643029c.jpg</t>
        </is>
      </c>
      <c r="B2534">
        <f>HYPERLINK("Объекты недвижимости, не соответствующие градостроительным нормам_00-022_Август/c6fe8b0f-5c35-499f-a2c4-c0f8b643029c.jpg","open")</f>
        <v/>
      </c>
      <c r="C2534" t="inlineStr">
        <is>
          <t>61936922-4d4b-458e-80ea-6d4c450aa1d5</t>
        </is>
      </c>
      <c r="D2534" t="n">
        <v>55.76093</v>
      </c>
      <c r="E2534" t="n">
        <v>37.68932</v>
      </c>
      <c r="F2534" t="inlineStr"/>
      <c r="G2534" t="inlineStr"/>
      <c r="H2534" t="inlineStr"/>
    </row>
    <row r="2535">
      <c r="A2535" t="inlineStr">
        <is>
          <t>e6c3a10a-c401-4424-b2a7-64b38afffa9e.jpg</t>
        </is>
      </c>
      <c r="B2535">
        <f>HYPERLINK("Объекты недвижимости, не соответствующие градостроительным нормам_00-022_Август/e6c3a10a-c401-4424-b2a7-64b38afffa9e.jpg","open")</f>
        <v/>
      </c>
      <c r="C2535" t="inlineStr">
        <is>
          <t>9fb3d110-951f-48da-9d90-cfd7e1b5800d</t>
        </is>
      </c>
      <c r="D2535" t="n">
        <v>55.76188</v>
      </c>
      <c r="E2535" t="n">
        <v>37.65877</v>
      </c>
      <c r="F2535" t="inlineStr"/>
      <c r="G2535" t="inlineStr"/>
      <c r="H2535" t="inlineStr"/>
    </row>
    <row r="2536">
      <c r="A2536" t="inlineStr">
        <is>
          <t>299a43b0-8fc6-4e4c-9092-526199c45a6b.jpg</t>
        </is>
      </c>
      <c r="B2536">
        <f>HYPERLINK("Объекты недвижимости, не соответствующие градостроительным нормам_00-022_Август/299a43b0-8fc6-4e4c-9092-526199c45a6b.jpg","open")</f>
        <v/>
      </c>
      <c r="C2536" t="inlineStr">
        <is>
          <t>5e5b9944-4f9e-4223-bf96-0bc0c8a93dfa</t>
        </is>
      </c>
      <c r="D2536" t="n">
        <v>55.71021</v>
      </c>
      <c r="E2536" t="n">
        <v>37.66463</v>
      </c>
      <c r="F2536" t="inlineStr"/>
      <c r="G2536" t="inlineStr"/>
      <c r="H2536" t="inlineStr"/>
    </row>
    <row r="2537">
      <c r="A2537" t="inlineStr">
        <is>
          <t>e53411b9-46ce-411f-900e-cd8a671af04a.jpg</t>
        </is>
      </c>
      <c r="B2537">
        <f>HYPERLINK("Объекты недвижимости, не соответствующие градостроительным нормам_00-022_Август/e53411b9-46ce-411f-900e-cd8a671af04a.jpg","open")</f>
        <v/>
      </c>
      <c r="C2537" t="inlineStr">
        <is>
          <t>29ad9edb-d533-4272-a986-be24eb004851</t>
        </is>
      </c>
      <c r="D2537" t="n">
        <v>55.72332</v>
      </c>
      <c r="E2537" t="n">
        <v>37.61085</v>
      </c>
      <c r="F2537" t="inlineStr"/>
      <c r="G2537" t="inlineStr"/>
      <c r="H2537" t="inlineStr"/>
    </row>
    <row r="2538">
      <c r="A2538" t="inlineStr">
        <is>
          <t>03c72e6d-0a97-4eaf-b11d-323de6f6530c.jpg</t>
        </is>
      </c>
      <c r="B2538">
        <f>HYPERLINK("Объекты недвижимости, не соответствующие градостроительным нормам_00-022_Август/03c72e6d-0a97-4eaf-b11d-323de6f6530c.jpg","open")</f>
        <v/>
      </c>
      <c r="C2538" t="inlineStr">
        <is>
          <t>b0b7ea82-53be-40d0-b992-e2fd18611d5c</t>
        </is>
      </c>
      <c r="D2538" t="n">
        <v>55.65372</v>
      </c>
      <c r="E2538" t="n">
        <v>37.7351</v>
      </c>
      <c r="F2538" t="inlineStr"/>
      <c r="G2538" t="inlineStr"/>
      <c r="H2538" t="inlineStr"/>
    </row>
    <row r="2539">
      <c r="A2539" t="inlineStr">
        <is>
          <t>303476a1-5fa1-4554-a396-b2c6c58b1f08.jpg</t>
        </is>
      </c>
      <c r="B2539">
        <f>HYPERLINK("Объекты недвижимости, не соответствующие градостроительным нормам_00-022_Август/303476a1-5fa1-4554-a396-b2c6c58b1f08.jpg","open")</f>
        <v/>
      </c>
      <c r="C2539" t="inlineStr">
        <is>
          <t>f60286ac-55e7-4099-85bd-cc599a7a0c65</t>
        </is>
      </c>
      <c r="D2539" t="n">
        <v>55.79024</v>
      </c>
      <c r="E2539" t="n">
        <v>37.6643</v>
      </c>
      <c r="F2539" t="inlineStr"/>
      <c r="G2539" t="inlineStr"/>
      <c r="H2539" t="inlineStr"/>
    </row>
    <row r="2540">
      <c r="A2540" t="inlineStr">
        <is>
          <t>513f9ac9-de66-4f90-8b28-e042b14ba9bd.jpg</t>
        </is>
      </c>
      <c r="B2540">
        <f>HYPERLINK("Объекты недвижимости, не соответствующие градостроительным нормам_00-022_Август/513f9ac9-de66-4f90-8b28-e042b14ba9bd.jpg","open")</f>
        <v/>
      </c>
      <c r="C2540" t="inlineStr">
        <is>
          <t>750bf7e4-0f0f-4f1a-96af-607dc8c1f1c9</t>
        </is>
      </c>
      <c r="D2540" t="n">
        <v>55.6565</v>
      </c>
      <c r="E2540" t="n">
        <v>37.39599</v>
      </c>
      <c r="F2540" t="inlineStr"/>
      <c r="G2540" t="inlineStr"/>
      <c r="H2540" t="inlineStr"/>
    </row>
    <row r="2541">
      <c r="A2541" t="inlineStr">
        <is>
          <t>1abbee44-f269-43ce-93d4-81a72886702b.jpg</t>
        </is>
      </c>
      <c r="B2541">
        <f>HYPERLINK("Объекты недвижимости, не соответствующие градостроительным нормам_00-022_Август/1abbee44-f269-43ce-93d4-81a72886702b.jpg","open")</f>
        <v/>
      </c>
      <c r="C2541" t="inlineStr">
        <is>
          <t>29ad9edb-d533-4272-a986-be24eb004851</t>
        </is>
      </c>
      <c r="D2541" t="n">
        <v>55.7718</v>
      </c>
      <c r="E2541" t="n">
        <v>37.68603</v>
      </c>
      <c r="F2541" t="inlineStr"/>
      <c r="G2541" t="inlineStr"/>
      <c r="H2541" t="inlineStr"/>
    </row>
    <row r="2542">
      <c r="A2542" t="inlineStr">
        <is>
          <t>b6710873-baca-4dca-9c4b-1f0cbf07b592.jpg</t>
        </is>
      </c>
      <c r="B2542">
        <f>HYPERLINK("Объекты недвижимости, не соответствующие градостроительным нормам_00-022_Август/b6710873-baca-4dca-9c4b-1f0cbf07b592.jpg","open")</f>
        <v/>
      </c>
      <c r="C2542" t="inlineStr">
        <is>
          <t>ffd931da-542f-43e9-979f-5552b17fe3dc</t>
        </is>
      </c>
      <c r="D2542" t="n">
        <v>55.7887</v>
      </c>
      <c r="E2542" t="n">
        <v>37.66339</v>
      </c>
      <c r="F2542" t="inlineStr"/>
      <c r="G2542" t="inlineStr"/>
      <c r="H2542" t="inlineStr"/>
    </row>
    <row r="2543">
      <c r="A2543" t="inlineStr">
        <is>
          <t>9d8b9b1b-98c6-45ce-861c-38c77a81196d.jpg</t>
        </is>
      </c>
      <c r="B2543">
        <f>HYPERLINK("Объекты недвижимости, не соответствующие градостроительным нормам_00-022_Август/9d8b9b1b-98c6-45ce-861c-38c77a81196d.jpg","open")</f>
        <v/>
      </c>
      <c r="C2543" t="inlineStr">
        <is>
          <t>29ad9edb-d533-4272-a986-be24eb004851</t>
        </is>
      </c>
      <c r="D2543" t="n">
        <v>55.77993</v>
      </c>
      <c r="E2543" t="n">
        <v>37.67323</v>
      </c>
      <c r="F2543" t="inlineStr"/>
      <c r="G2543" t="inlineStr"/>
      <c r="H2543" t="inlineStr"/>
    </row>
    <row r="2544">
      <c r="A2544" t="inlineStr">
        <is>
          <t>626a12a8-3a35-428a-8bcc-29422d829965.jpg</t>
        </is>
      </c>
      <c r="B2544">
        <f>HYPERLINK("Объекты недвижимости, не соответствующие градостроительным нормам_00-022_Август/626a12a8-3a35-428a-8bcc-29422d829965.jpg","open")</f>
        <v/>
      </c>
      <c r="C2544" t="inlineStr">
        <is>
          <t>29ad9edb-d533-4272-a986-be24eb004851</t>
        </is>
      </c>
      <c r="D2544" t="n">
        <v>55.78008</v>
      </c>
      <c r="E2544" t="n">
        <v>37.67283</v>
      </c>
      <c r="F2544" t="inlineStr"/>
      <c r="G2544" t="inlineStr"/>
      <c r="H2544" t="inlineStr"/>
    </row>
    <row r="2545">
      <c r="A2545" t="inlineStr">
        <is>
          <t>eb431dba-ea4a-4730-8a5c-d671817f866a.jpg</t>
        </is>
      </c>
      <c r="B2545">
        <f>HYPERLINK("Объекты недвижимости, не соответствующие градостроительным нормам_00-022_Август/eb431dba-ea4a-4730-8a5c-d671817f866a.jpg","open")</f>
        <v/>
      </c>
      <c r="C2545" t="inlineStr">
        <is>
          <t>f60286ac-55e7-4099-85bd-cc599a7a0c65</t>
        </is>
      </c>
      <c r="D2545" t="n">
        <v>55.78848</v>
      </c>
      <c r="E2545" t="n">
        <v>37.66288</v>
      </c>
      <c r="F2545" t="inlineStr"/>
      <c r="G2545" t="inlineStr"/>
      <c r="H2545" t="inlineStr"/>
    </row>
    <row r="2546">
      <c r="A2546" t="inlineStr">
        <is>
          <t>f9fcaff1-33df-4b47-a5ac-86de3038153f.jpg</t>
        </is>
      </c>
      <c r="B2546">
        <f>HYPERLINK("Объекты недвижимости, не соответствующие градостроительным нормам_00-022_Август/f9fcaff1-33df-4b47-a5ac-86de3038153f.jpg","open")</f>
        <v/>
      </c>
      <c r="C2546" t="inlineStr">
        <is>
          <t>fce890a6-27da-4062-a046-08262a160ee6</t>
        </is>
      </c>
      <c r="D2546" t="n">
        <v>55.71938</v>
      </c>
      <c r="E2546" t="n">
        <v>37.69543</v>
      </c>
      <c r="F2546" t="inlineStr"/>
      <c r="G2546" t="inlineStr"/>
      <c r="H2546" t="inlineStr"/>
    </row>
    <row r="2547">
      <c r="A2547" t="inlineStr">
        <is>
          <t>dd7df2e9-ee78-4efb-8c54-abe4b60ef1b5.jpg</t>
        </is>
      </c>
      <c r="B2547">
        <f>HYPERLINK("Объекты недвижимости, не соответствующие градостроительным нормам_00-022_Август/dd7df2e9-ee78-4efb-8c54-abe4b60ef1b5.jpg","open")</f>
        <v/>
      </c>
      <c r="C2547" t="inlineStr">
        <is>
          <t>5e5b9944-4f9e-4223-bf96-0bc0c8a93dfa</t>
        </is>
      </c>
      <c r="D2547" t="n">
        <v>55.70772</v>
      </c>
      <c r="E2547" t="n">
        <v>37.65854</v>
      </c>
      <c r="F2547" t="inlineStr"/>
      <c r="G2547" t="inlineStr"/>
      <c r="H2547" t="inlineStr"/>
    </row>
    <row r="2548">
      <c r="A2548" t="inlineStr">
        <is>
          <t>6910f9e0-bc66-4046-bae3-6da7d2cd48a4.jpg</t>
        </is>
      </c>
      <c r="B2548">
        <f>HYPERLINK("Объекты недвижимости, не соответствующие градостроительным нормам_00-022_Август/6910f9e0-bc66-4046-bae3-6da7d2cd48a4.jpg","open")</f>
        <v/>
      </c>
      <c r="C2548" t="inlineStr">
        <is>
          <t>5adecbcf-6742-48b8-951f-8e3abc9509e4</t>
        </is>
      </c>
      <c r="D2548" t="n">
        <v>55.70772</v>
      </c>
      <c r="E2548" t="n">
        <v>37.65854</v>
      </c>
      <c r="F2548" t="inlineStr"/>
      <c r="G2548" t="inlineStr"/>
      <c r="H2548" t="inlineStr"/>
    </row>
    <row r="2549">
      <c r="A2549" t="inlineStr">
        <is>
          <t>455f908f-73d1-4118-b455-39e7b3102de0.jpg</t>
        </is>
      </c>
      <c r="B2549">
        <f>HYPERLINK("Объекты недвижимости, не соответствующие градостроительным нормам_00-022_Август/455f908f-73d1-4118-b455-39e7b3102de0.jpg","open")</f>
        <v/>
      </c>
      <c r="C2549" t="inlineStr">
        <is>
          <t>5e5b9944-4f9e-4223-bf96-0bc0c8a93dfa</t>
        </is>
      </c>
      <c r="D2549" t="n">
        <v>55.70772</v>
      </c>
      <c r="E2549" t="n">
        <v>37.65854</v>
      </c>
      <c r="F2549" t="inlineStr"/>
      <c r="G2549" t="inlineStr"/>
      <c r="H2549" t="inlineStr"/>
    </row>
    <row r="2550">
      <c r="A2550" t="inlineStr">
        <is>
          <t>2f17cc0e-1fed-4456-a6c8-c7bc1f8fb6ec.jpg</t>
        </is>
      </c>
      <c r="B2550">
        <f>HYPERLINK("Объекты недвижимости, не соответствующие градостроительным нормам_00-022_Август/2f17cc0e-1fed-4456-a6c8-c7bc1f8fb6ec.jpg","open")</f>
        <v/>
      </c>
      <c r="C2550" t="inlineStr">
        <is>
          <t>5adecbcf-6742-48b8-951f-8e3abc9509e4</t>
        </is>
      </c>
      <c r="D2550" t="n">
        <v>55.70772</v>
      </c>
      <c r="E2550" t="n">
        <v>37.65854</v>
      </c>
      <c r="F2550" t="inlineStr"/>
      <c r="G2550" t="inlineStr"/>
      <c r="H2550" t="inlineStr"/>
    </row>
    <row r="2551">
      <c r="A2551" t="inlineStr">
        <is>
          <t>ed8d434c-a0f5-4149-8f4c-6f827bd4e270.jpg</t>
        </is>
      </c>
      <c r="B2551">
        <f>HYPERLINK("Объекты недвижимости, не соответствующие градостроительным нормам_00-022_Август/ed8d434c-a0f5-4149-8f4c-6f827bd4e270.jpg","open")</f>
        <v/>
      </c>
      <c r="C2551" t="inlineStr">
        <is>
          <t>1c951e11-4940-43c6-a447-394097e5609a</t>
        </is>
      </c>
      <c r="D2551" t="n">
        <v>55.66629</v>
      </c>
      <c r="E2551" t="n">
        <v>37.62376</v>
      </c>
      <c r="F2551" t="inlineStr"/>
      <c r="G2551" t="inlineStr"/>
      <c r="H2551" t="inlineStr"/>
    </row>
    <row r="2552">
      <c r="A2552" t="inlineStr">
        <is>
          <t>acfd582c-3624-419f-bfe1-e423059369f6.jpg</t>
        </is>
      </c>
      <c r="B2552">
        <f>HYPERLINK("Объекты недвижимости, не соответствующие градостроительным нормам_00-022_Август/acfd582c-3624-419f-bfe1-e423059369f6.jpg","open")</f>
        <v/>
      </c>
      <c r="C2552" t="inlineStr">
        <is>
          <t>8cde1fd0-eca1-4510-86ab-3c743b65fdfc</t>
        </is>
      </c>
      <c r="D2552" t="n">
        <v>55.66623</v>
      </c>
      <c r="E2552" t="n">
        <v>37.62356</v>
      </c>
      <c r="F2552" t="inlineStr"/>
      <c r="G2552" t="inlineStr"/>
      <c r="H2552" t="inlineStr"/>
    </row>
    <row r="2553">
      <c r="A2553" t="inlineStr">
        <is>
          <t>836afa4a-157e-4907-9f44-060e0672d2b2.jpg</t>
        </is>
      </c>
      <c r="B2553">
        <f>HYPERLINK("Объекты недвижимости, не соответствующие градостроительным нормам_00-022_Август/836afa4a-157e-4907-9f44-060e0672d2b2.jpg","open")</f>
        <v/>
      </c>
      <c r="C2553" t="inlineStr">
        <is>
          <t>b0429a31-0c70-4b9f-8ea5-73929d82f89e</t>
        </is>
      </c>
      <c r="D2553" t="n">
        <v>55.61002</v>
      </c>
      <c r="E2553" t="n">
        <v>37.60886</v>
      </c>
      <c r="F2553" t="inlineStr"/>
      <c r="G2553" t="inlineStr"/>
      <c r="H2553" t="inlineStr"/>
    </row>
    <row r="2554">
      <c r="A2554" t="inlineStr">
        <is>
          <t>5b4872cb-8da2-4782-84ad-ecdaea32963c.jpg</t>
        </is>
      </c>
      <c r="B2554">
        <f>HYPERLINK("Объекты недвижимости, не соответствующие градостроительным нормам_00-022_Август/5b4872cb-8da2-4782-84ad-ecdaea32963c.jpg","open")</f>
        <v/>
      </c>
      <c r="C2554" t="inlineStr">
        <is>
          <t>8cde1fd0-eca1-4510-86ab-3c743b65fdfc</t>
        </is>
      </c>
      <c r="D2554" t="n">
        <v>55.65123</v>
      </c>
      <c r="E2554" t="n">
        <v>37.61948</v>
      </c>
      <c r="F2554" t="inlineStr"/>
      <c r="G2554" t="inlineStr"/>
      <c r="H2554" t="inlineStr"/>
    </row>
    <row r="2555">
      <c r="A2555" t="inlineStr">
        <is>
          <t>5944f300-9f45-4e89-b67d-e4c533381468.jpg</t>
        </is>
      </c>
      <c r="B2555">
        <f>HYPERLINK("Объекты недвижимости, не соответствующие градостроительным нормам_00-022_Август/5944f300-9f45-4e89-b67d-e4c533381468.jpg","open")</f>
        <v/>
      </c>
      <c r="C2555" t="inlineStr">
        <is>
          <t>ffd931da-542f-43e9-979f-5552b17fe3dc</t>
        </is>
      </c>
      <c r="D2555" t="n">
        <v>55.78997</v>
      </c>
      <c r="E2555" t="n">
        <v>37.6643</v>
      </c>
      <c r="F2555" t="inlineStr"/>
      <c r="G2555" t="inlineStr"/>
      <c r="H2555" t="inlineStr"/>
    </row>
    <row r="2556">
      <c r="A2556" t="inlineStr">
        <is>
          <t>7e0b0e7d-74e2-4160-9059-4c302f5896b1.jpg</t>
        </is>
      </c>
      <c r="B2556">
        <f>HYPERLINK("Объекты недвижимости, не соответствующие градостроительным нормам_00-022_Август/7e0b0e7d-74e2-4160-9059-4c302f5896b1.jpg","open")</f>
        <v/>
      </c>
      <c r="C2556" t="inlineStr">
        <is>
          <t>f60286ac-55e7-4099-85bd-cc599a7a0c65</t>
        </is>
      </c>
      <c r="D2556" t="n">
        <v>55.79031</v>
      </c>
      <c r="E2556" t="n">
        <v>37.66658</v>
      </c>
      <c r="F2556" t="inlineStr"/>
      <c r="G2556" t="inlineStr"/>
      <c r="H2556" t="inlineStr"/>
    </row>
    <row r="2557">
      <c r="A2557" t="inlineStr">
        <is>
          <t>e08f5353-646b-4096-8e04-3a88489d5fa5.jpg</t>
        </is>
      </c>
      <c r="B2557">
        <f>HYPERLINK("Объекты недвижимости, не соответствующие градостроительным нормам_00-022_Август/e08f5353-646b-4096-8e04-3a88489d5fa5.jpg","open")</f>
        <v/>
      </c>
      <c r="C2557" t="inlineStr">
        <is>
          <t>61936922-4d4b-458e-80ea-6d4c450aa1d5</t>
        </is>
      </c>
      <c r="D2557" t="n">
        <v>55.748</v>
      </c>
      <c r="E2557" t="n">
        <v>37.42292</v>
      </c>
      <c r="F2557" t="inlineStr"/>
      <c r="G2557" t="inlineStr"/>
      <c r="H2557" t="inlineStr"/>
    </row>
    <row r="2558">
      <c r="A2558" t="inlineStr">
        <is>
          <t>a9dbe1e2-b3fe-46aa-ae6d-836d350cbc75.jpg</t>
        </is>
      </c>
      <c r="B2558">
        <f>HYPERLINK("Объекты недвижимости, не соответствующие градостроительным нормам_00-022_Август/a9dbe1e2-b3fe-46aa-ae6d-836d350cbc75.jpg","open")</f>
        <v/>
      </c>
      <c r="C2558" t="inlineStr">
        <is>
          <t>61936922-4d4b-458e-80ea-6d4c450aa1d5</t>
        </is>
      </c>
      <c r="D2558" t="n">
        <v>55.74812</v>
      </c>
      <c r="E2558" t="n">
        <v>37.42282</v>
      </c>
      <c r="F2558" t="inlineStr"/>
      <c r="G2558" t="inlineStr"/>
      <c r="H2558" t="inlineStr"/>
    </row>
    <row r="2559">
      <c r="A2559" t="inlineStr">
        <is>
          <t>40af920b-f800-43a2-b5a1-7c2f939436f4.jpg</t>
        </is>
      </c>
      <c r="B2559">
        <f>HYPERLINK("Объекты недвижимости, не соответствующие градостроительным нормам_00-022_Август/40af920b-f800-43a2-b5a1-7c2f939436f4.jpg","open")</f>
        <v/>
      </c>
      <c r="C2559" t="inlineStr">
        <is>
          <t>61936922-4d4b-458e-80ea-6d4c450aa1d5</t>
        </is>
      </c>
      <c r="D2559" t="n">
        <v>55.74804</v>
      </c>
      <c r="E2559" t="n">
        <v>37.42283</v>
      </c>
      <c r="F2559" t="inlineStr"/>
      <c r="G2559" t="inlineStr"/>
      <c r="H2559" t="inlineStr"/>
    </row>
    <row r="2560">
      <c r="A2560" t="inlineStr">
        <is>
          <t>712a897f-cef2-4b27-a35d-405a63dfc49e.jpg</t>
        </is>
      </c>
      <c r="B2560">
        <f>HYPERLINK("Объекты недвижимости, не соответствующие градостроительным нормам_00-022_Август/712a897f-cef2-4b27-a35d-405a63dfc49e.jpg","open")</f>
        <v/>
      </c>
      <c r="C2560" t="inlineStr">
        <is>
          <t>8cde1fd0-eca1-4510-86ab-3c743b65fdfc</t>
        </is>
      </c>
      <c r="D2560" t="n">
        <v>55.58112</v>
      </c>
      <c r="E2560" t="n">
        <v>37.57269</v>
      </c>
      <c r="F2560" t="inlineStr"/>
      <c r="G2560" t="inlineStr"/>
      <c r="H2560" t="inlineStr"/>
    </row>
    <row r="2561">
      <c r="A2561" t="inlineStr">
        <is>
          <t>ca0e27f6-45f0-4299-b7d5-80feb3d85300.jpg</t>
        </is>
      </c>
      <c r="B2561">
        <f>HYPERLINK("Объекты недвижимости, не соответствующие градостроительным нормам_00-022_Август/ca0e27f6-45f0-4299-b7d5-80feb3d85300.jpg","open")</f>
        <v/>
      </c>
      <c r="C2561" t="inlineStr">
        <is>
          <t>fce890a6-27da-4062-a046-08262a160ee6</t>
        </is>
      </c>
      <c r="D2561" t="n">
        <v>55.82487</v>
      </c>
      <c r="E2561" t="n">
        <v>37.64595</v>
      </c>
      <c r="F2561" t="inlineStr"/>
      <c r="G2561" t="inlineStr"/>
      <c r="H2561" t="inlineStr"/>
    </row>
    <row r="2562">
      <c r="A2562" t="inlineStr">
        <is>
          <t>841414d3-af50-4919-a8bf-33d7f5040ccc.jpg</t>
        </is>
      </c>
      <c r="B2562">
        <f>HYPERLINK("Объекты недвижимости, не соответствующие градостроительным нормам_00-022_Август/841414d3-af50-4919-a8bf-33d7f5040ccc.jpg","open")</f>
        <v/>
      </c>
      <c r="C2562" t="inlineStr">
        <is>
          <t>1c951e11-4940-43c6-a447-394097e5609a</t>
        </is>
      </c>
      <c r="D2562" t="n">
        <v>55.57052</v>
      </c>
      <c r="E2562" t="n">
        <v>37.55656</v>
      </c>
      <c r="F2562" t="inlineStr"/>
      <c r="G2562" t="inlineStr"/>
      <c r="H2562" t="inlineStr"/>
    </row>
    <row r="2563">
      <c r="A2563" t="inlineStr">
        <is>
          <t>13942a08-c81c-4516-9836-17ae2ec92f95.jpg</t>
        </is>
      </c>
      <c r="B2563">
        <f>HYPERLINK("Объекты недвижимости, не соответствующие градостроительным нормам_00-022_Август/13942a08-c81c-4516-9836-17ae2ec92f95.jpg","open")</f>
        <v/>
      </c>
      <c r="C2563" t="inlineStr">
        <is>
          <t>8cde1fd0-eca1-4510-86ab-3c743b65fdfc</t>
        </is>
      </c>
      <c r="D2563" t="n">
        <v>55.57052</v>
      </c>
      <c r="E2563" t="n">
        <v>37.55654</v>
      </c>
      <c r="F2563" t="inlineStr"/>
      <c r="G2563" t="inlineStr"/>
      <c r="H2563" t="inlineStr"/>
    </row>
    <row r="2564">
      <c r="A2564" t="inlineStr">
        <is>
          <t>b6ab5cf1-dcb4-403b-a363-686acdb29649.jpg</t>
        </is>
      </c>
      <c r="B2564">
        <f>HYPERLINK("Объекты недвижимости, не соответствующие градостроительным нормам_00-022_Август/b6ab5cf1-dcb4-403b-a363-686acdb29649.jpg","open")</f>
        <v/>
      </c>
      <c r="C2564" t="inlineStr">
        <is>
          <t>b0429a31-0c70-4b9f-8ea5-73929d82f89e</t>
        </is>
      </c>
      <c r="D2564" t="n">
        <v>55.60249</v>
      </c>
      <c r="E2564" t="n">
        <v>37.58137</v>
      </c>
      <c r="F2564" t="inlineStr"/>
      <c r="G2564" t="inlineStr"/>
      <c r="H2564" t="inlineStr"/>
    </row>
    <row r="2565">
      <c r="A2565" t="inlineStr">
        <is>
          <t>d9783574-1d1f-4747-909b-8c259713697d.jpg</t>
        </is>
      </c>
      <c r="B2565">
        <f>HYPERLINK("Объекты недвижимости, не соответствующие градостроительным нормам_00-022_Август/d9783574-1d1f-4747-909b-8c259713697d.jpg","open")</f>
        <v/>
      </c>
      <c r="C2565" t="inlineStr">
        <is>
          <t>b0429a31-0c70-4b9f-8ea5-73929d82f89e</t>
        </is>
      </c>
      <c r="D2565" t="n">
        <v>55.60254</v>
      </c>
      <c r="E2565" t="n">
        <v>37.58123</v>
      </c>
      <c r="F2565" t="inlineStr"/>
      <c r="G2565" t="inlineStr"/>
      <c r="H2565" t="inlineStr"/>
    </row>
    <row r="2566">
      <c r="A2566" t="inlineStr">
        <is>
          <t>8393980d-e81a-464b-9871-94d326a4f75b.jpg</t>
        </is>
      </c>
      <c r="B2566">
        <f>HYPERLINK("Объекты недвижимости, не соответствующие градостроительным нормам_00-022_Август/8393980d-e81a-464b-9871-94d326a4f75b.jpg","open")</f>
        <v/>
      </c>
      <c r="C2566" t="inlineStr">
        <is>
          <t>2acfb2da-e3f6-464c-bd17-4b713522c142</t>
        </is>
      </c>
      <c r="D2566" t="n">
        <v>55.84444</v>
      </c>
      <c r="E2566" t="n">
        <v>37.57721</v>
      </c>
      <c r="F2566" t="inlineStr"/>
      <c r="G2566" t="inlineStr"/>
      <c r="H2566" t="inlineStr"/>
    </row>
    <row r="2567">
      <c r="A2567" t="inlineStr">
        <is>
          <t>0ef7dc7f-e52a-4a52-af08-f2caa8bf5b8b.jpg</t>
        </is>
      </c>
      <c r="B2567">
        <f>HYPERLINK("Объекты недвижимости, не соответствующие градостроительным нормам_00-022_Август/0ef7dc7f-e52a-4a52-af08-f2caa8bf5b8b.jpg","open")</f>
        <v/>
      </c>
      <c r="C2567" t="inlineStr">
        <is>
          <t>ed2bf0f1-3a66-4913-896e-4420a9796c0b</t>
        </is>
      </c>
      <c r="D2567" t="n">
        <v>55.81176</v>
      </c>
      <c r="E2567" t="n">
        <v>37.58146</v>
      </c>
      <c r="F2567" t="inlineStr"/>
      <c r="G2567" t="inlineStr"/>
      <c r="H2567" t="inlineStr"/>
    </row>
    <row r="2568">
      <c r="A2568" t="inlineStr">
        <is>
          <t>1014a854-85f8-4ba1-bbb6-85e421d10cf2.jpg</t>
        </is>
      </c>
      <c r="B2568">
        <f>HYPERLINK("Объекты недвижимости, не соответствующие градостроительным нормам_00-022_Август/1014a854-85f8-4ba1-bbb6-85e421d10cf2.jpg","open")</f>
        <v/>
      </c>
      <c r="C2568" t="inlineStr">
        <is>
          <t>936502dd-24a4-4256-9fdf-0d8fb72af3ed</t>
        </is>
      </c>
      <c r="D2568" t="n">
        <v>55.77288</v>
      </c>
      <c r="E2568" t="n">
        <v>37.67488</v>
      </c>
      <c r="F2568" t="inlineStr"/>
      <c r="G2568" t="inlineStr"/>
      <c r="H2568" t="inlineStr"/>
    </row>
    <row r="2569">
      <c r="A2569" t="inlineStr">
        <is>
          <t>5b859ce1-908d-4ad8-b525-b5ca6b1e154f.jpg</t>
        </is>
      </c>
      <c r="B2569">
        <f>HYPERLINK("Объекты недвижимости, не соответствующие градостроительным нормам_00-022_Август/5b859ce1-908d-4ad8-b525-b5ca6b1e154f.jpg","open")</f>
        <v/>
      </c>
      <c r="C2569" t="inlineStr">
        <is>
          <t>b0429a31-0c70-4b9f-8ea5-73929d82f89e</t>
        </is>
      </c>
      <c r="D2569" t="n">
        <v>55.60287</v>
      </c>
      <c r="E2569" t="n">
        <v>37.58784</v>
      </c>
      <c r="F2569" t="inlineStr"/>
      <c r="G2569" t="inlineStr"/>
      <c r="H2569" t="inlineStr"/>
    </row>
    <row r="2570">
      <c r="A2570" t="inlineStr">
        <is>
          <t>b5bc54eb-213b-427c-8918-b6914f1b4a98.jpg</t>
        </is>
      </c>
      <c r="B2570">
        <f>HYPERLINK("Объекты недвижимости, не соответствующие градостроительным нормам_00-022_Август/b5bc54eb-213b-427c-8918-b6914f1b4a98.jpg","open")</f>
        <v/>
      </c>
      <c r="C2570" t="inlineStr">
        <is>
          <t>b0429a31-0c70-4b9f-8ea5-73929d82f89e</t>
        </is>
      </c>
      <c r="D2570" t="n">
        <v>55.6013</v>
      </c>
      <c r="E2570" t="n">
        <v>37.5884</v>
      </c>
      <c r="F2570" t="inlineStr"/>
      <c r="G2570" t="inlineStr"/>
      <c r="H2570" t="inlineStr"/>
    </row>
    <row r="2571">
      <c r="A2571" t="inlineStr">
        <is>
          <t>1708cf79-c112-4a35-a22c-764a601d4a16.jpg</t>
        </is>
      </c>
      <c r="B2571">
        <f>HYPERLINK("Объекты недвижимости, не соответствующие градостроительным нормам_00-022_Август/1708cf79-c112-4a35-a22c-764a601d4a16.jpg","open")</f>
        <v/>
      </c>
      <c r="C2571" t="inlineStr">
        <is>
          <t>1a55986c-2c3f-40c0-b3d1-014dce77832e</t>
        </is>
      </c>
      <c r="D2571" t="n">
        <v>55.81176</v>
      </c>
      <c r="E2571" t="n">
        <v>37.58146</v>
      </c>
      <c r="F2571" t="inlineStr"/>
      <c r="G2571" t="inlineStr"/>
      <c r="H2571" t="inlineStr"/>
    </row>
    <row r="2572">
      <c r="A2572" t="inlineStr">
        <is>
          <t>7ab9ca82-3333-431f-8ea8-9ab22d713336.jpg</t>
        </is>
      </c>
      <c r="B2572">
        <f>HYPERLINK("Объекты недвижимости, не соответствующие градостроительным нормам_00-022_Август/7ab9ca82-3333-431f-8ea8-9ab22d713336.jpg","open")</f>
        <v/>
      </c>
      <c r="C2572" t="inlineStr">
        <is>
          <t>ed2bf0f1-3a66-4913-896e-4420a9796c0b</t>
        </is>
      </c>
      <c r="D2572" t="n">
        <v>55.81176</v>
      </c>
      <c r="E2572" t="n">
        <v>37.58146</v>
      </c>
      <c r="F2572" t="inlineStr"/>
      <c r="G2572" t="inlineStr"/>
      <c r="H2572" t="inlineStr"/>
    </row>
    <row r="2573">
      <c r="A2573" t="inlineStr">
        <is>
          <t>289cb12b-1604-4caa-bfa8-9cbc74664072.jpg</t>
        </is>
      </c>
      <c r="B2573">
        <f>HYPERLINK("Объекты недвижимости, не соответствующие градостроительным нормам_00-022_Август/289cb12b-1604-4caa-bfa8-9cbc74664072.jpg","open")</f>
        <v/>
      </c>
      <c r="C2573" t="inlineStr">
        <is>
          <t>750bf7e4-0f0f-4f1a-96af-607dc8c1f1c9</t>
        </is>
      </c>
      <c r="D2573" t="n">
        <v>55.63456</v>
      </c>
      <c r="E2573" t="n">
        <v>37.33041</v>
      </c>
      <c r="F2573" t="inlineStr"/>
      <c r="G2573" t="inlineStr"/>
      <c r="H2573" t="inlineStr"/>
    </row>
    <row r="2574">
      <c r="A2574" t="inlineStr">
        <is>
          <t>3c6d944a-cdb0-4869-a381-28ffcba35c4f.jpg</t>
        </is>
      </c>
      <c r="B2574">
        <f>HYPERLINK("Объекты недвижимости, не соответствующие градостроительным нормам_00-022_Август/3c6d944a-cdb0-4869-a381-28ffcba35c4f.jpg","open")</f>
        <v/>
      </c>
      <c r="C2574" t="inlineStr">
        <is>
          <t>8b2675e2-7f40-47a9-a462-7c9feecd299c</t>
        </is>
      </c>
      <c r="D2574" t="n">
        <v>55.67666</v>
      </c>
      <c r="E2574" t="n">
        <v>37.73662</v>
      </c>
      <c r="F2574" t="inlineStr"/>
      <c r="G2574" t="inlineStr"/>
      <c r="H2574" t="inlineStr"/>
    </row>
    <row r="2575">
      <c r="A2575" t="inlineStr">
        <is>
          <t>84dcce13-7fd5-4f88-a65e-780ccbdf7df0.jpg</t>
        </is>
      </c>
      <c r="B2575">
        <f>HYPERLINK("Объекты недвижимости, не соответствующие градостроительным нормам_00-022_Август/84dcce13-7fd5-4f88-a65e-780ccbdf7df0.jpg","open")</f>
        <v/>
      </c>
      <c r="C2575" t="inlineStr">
        <is>
          <t>2acfb2da-e3f6-464c-bd17-4b713522c142</t>
        </is>
      </c>
      <c r="D2575" t="n">
        <v>55.83273</v>
      </c>
      <c r="E2575" t="n">
        <v>37.58773</v>
      </c>
      <c r="F2575" t="inlineStr"/>
      <c r="G2575" t="inlineStr"/>
      <c r="H2575" t="inlineStr"/>
    </row>
    <row r="2576">
      <c r="A2576" t="inlineStr">
        <is>
          <t>b46ecd13-04d2-424d-b180-e7b11d96aa44.jpg</t>
        </is>
      </c>
      <c r="B2576">
        <f>HYPERLINK("Объекты недвижимости, не соответствующие градостроительным нормам_00-022_Август/b46ecd13-04d2-424d-b180-e7b11d96aa44.jpg","open")</f>
        <v/>
      </c>
      <c r="C2576" t="inlineStr">
        <is>
          <t>cbf95b01-f708-45a3-9ec0-3603469b538e</t>
        </is>
      </c>
      <c r="D2576" t="n">
        <v>52.78451</v>
      </c>
      <c r="E2576" t="n">
        <v>43.86579</v>
      </c>
      <c r="F2576" t="inlineStr"/>
      <c r="G2576" t="inlineStr"/>
      <c r="H2576" t="inlineStr"/>
    </row>
    <row r="2577">
      <c r="A2577" t="inlineStr">
        <is>
          <t>4c2a4430-321a-432d-8543-1e3b68fefda8.jpg</t>
        </is>
      </c>
      <c r="B2577">
        <f>HYPERLINK("Объекты недвижимости, не соответствующие градостроительным нормам_00-022_Август/4c2a4430-321a-432d-8543-1e3b68fefda8.jpg","open")</f>
        <v/>
      </c>
      <c r="C2577" t="inlineStr">
        <is>
          <t>d2c4eccd-3e4b-406c-a903-0f5e43d0be35</t>
        </is>
      </c>
      <c r="D2577" t="n">
        <v>55.76226</v>
      </c>
      <c r="E2577" t="n">
        <v>37.6731</v>
      </c>
      <c r="F2577" t="inlineStr"/>
      <c r="G2577" t="inlineStr"/>
      <c r="H2577" t="inlineStr"/>
    </row>
    <row r="2578">
      <c r="A2578" t="inlineStr">
        <is>
          <t>fd4a3cfc-8199-4d4f-816c-9cb267f8dc1f.jpg</t>
        </is>
      </c>
      <c r="B2578">
        <f>HYPERLINK("Объекты недвижимости, не соответствующие градостроительным нормам_00-022_Август/fd4a3cfc-8199-4d4f-816c-9cb267f8dc1f.jpg","open")</f>
        <v/>
      </c>
      <c r="C2578" t="inlineStr">
        <is>
          <t>0dd30d74-4dbc-46a8-b638-91e1431bb398</t>
        </is>
      </c>
      <c r="D2578" t="n">
        <v>55.70808</v>
      </c>
      <c r="E2578" t="n">
        <v>37.78936</v>
      </c>
      <c r="F2578" t="inlineStr"/>
      <c r="G2578" t="inlineStr"/>
      <c r="H2578" t="inlineStr"/>
    </row>
    <row r="2579">
      <c r="A2579" t="inlineStr">
        <is>
          <t>a739756f-e2bf-4777-a204-719c1f5cb727.jpg</t>
        </is>
      </c>
      <c r="B2579">
        <f>HYPERLINK("Объекты недвижимости, не соответствующие градостроительным нормам_00-022_Август/a739756f-e2bf-4777-a204-719c1f5cb727.jpg","open")</f>
        <v/>
      </c>
      <c r="C2579" t="inlineStr">
        <is>
          <t>a1a9db89-3f74-42ef-8fad-ad69705102cd</t>
        </is>
      </c>
      <c r="D2579" t="n">
        <v>52.78451</v>
      </c>
      <c r="E2579" t="n">
        <v>43.86579</v>
      </c>
      <c r="F2579" t="inlineStr"/>
      <c r="G2579" t="inlineStr"/>
      <c r="H2579" t="inlineStr"/>
    </row>
    <row r="2580">
      <c r="A2580" t="inlineStr">
        <is>
          <t>eaf6f315-ffb9-4ba8-9140-b229ae458eed.jpg</t>
        </is>
      </c>
      <c r="B2580">
        <f>HYPERLINK("Объекты недвижимости, не соответствующие градостроительным нормам_00-022_Август/eaf6f315-ffb9-4ba8-9140-b229ae458eed.jpg","open")</f>
        <v/>
      </c>
      <c r="C2580" t="inlineStr">
        <is>
          <t>cbf95b01-f708-45a3-9ec0-3603469b538e</t>
        </is>
      </c>
      <c r="D2580" t="n">
        <v>52.78451</v>
      </c>
      <c r="E2580" t="n">
        <v>43.86579</v>
      </c>
      <c r="F2580" t="inlineStr"/>
      <c r="G2580" t="inlineStr"/>
      <c r="H2580" t="inlineStr"/>
    </row>
    <row r="2581">
      <c r="A2581" t="inlineStr">
        <is>
          <t>d3658aa7-cba3-48af-9328-56a6595be7fb.jpg</t>
        </is>
      </c>
      <c r="B2581">
        <f>HYPERLINK("Объекты недвижимости, не соответствующие градостроительным нормам_00-022_Август/d3658aa7-cba3-48af-9328-56a6595be7fb.jpg","open")</f>
        <v/>
      </c>
      <c r="C2581" t="inlineStr">
        <is>
          <t>cbf95b01-f708-45a3-9ec0-3603469b538e</t>
        </is>
      </c>
      <c r="D2581" t="n">
        <v>52.78451</v>
      </c>
      <c r="E2581" t="n">
        <v>43.86579</v>
      </c>
      <c r="F2581" t="inlineStr"/>
      <c r="G2581" t="inlineStr"/>
      <c r="H2581" t="inlineStr"/>
    </row>
    <row r="2582">
      <c r="A2582" t="inlineStr">
        <is>
          <t>9c821f7a-d464-4c11-bcd2-70063b92ab9e.jpg</t>
        </is>
      </c>
      <c r="B2582">
        <f>HYPERLINK("Объекты недвижимости, не соответствующие градостроительным нормам_00-022_Август/9c821f7a-d464-4c11-bcd2-70063b92ab9e.jpg","open")</f>
        <v/>
      </c>
      <c r="C2582" t="inlineStr">
        <is>
          <t>cbf95b01-f708-45a3-9ec0-3603469b538e</t>
        </is>
      </c>
      <c r="D2582" t="n">
        <v>52.78451</v>
      </c>
      <c r="E2582" t="n">
        <v>43.86579</v>
      </c>
      <c r="F2582" t="inlineStr"/>
      <c r="G2582" t="inlineStr"/>
      <c r="H2582" t="inlineStr"/>
    </row>
    <row r="2583">
      <c r="A2583" t="inlineStr">
        <is>
          <t>117a182f-76ca-47da-bd86-e3bf2be9d3e3.jpg</t>
        </is>
      </c>
      <c r="B2583">
        <f>HYPERLINK("Объекты недвижимости, не соответствующие градостроительным нормам_00-022_Август/117a182f-76ca-47da-bd86-e3bf2be9d3e3.jpg","open")</f>
        <v/>
      </c>
      <c r="C2583" t="inlineStr">
        <is>
          <t>cbf95b01-f708-45a3-9ec0-3603469b538e</t>
        </is>
      </c>
      <c r="D2583" t="n">
        <v>52.78451</v>
      </c>
      <c r="E2583" t="n">
        <v>43.86579</v>
      </c>
      <c r="F2583" t="inlineStr"/>
      <c r="G2583" t="inlineStr"/>
      <c r="H2583" t="inlineStr"/>
    </row>
    <row r="2584">
      <c r="A2584" t="inlineStr">
        <is>
          <t>6ab0e853-481c-4be1-b122-3a8501af8e48.jpg</t>
        </is>
      </c>
      <c r="B2584">
        <f>HYPERLINK("Объекты недвижимости, не соответствующие градостроительным нормам_00-022_Август/6ab0e853-481c-4be1-b122-3a8501af8e48.jpg","open")</f>
        <v/>
      </c>
      <c r="C2584" t="inlineStr">
        <is>
          <t>a1a9db89-3f74-42ef-8fad-ad69705102cd</t>
        </is>
      </c>
      <c r="D2584" t="n">
        <v>52.78451</v>
      </c>
      <c r="E2584" t="n">
        <v>43.86579</v>
      </c>
      <c r="F2584" t="inlineStr"/>
      <c r="G2584" t="inlineStr"/>
      <c r="H2584" t="inlineStr"/>
    </row>
    <row r="2585">
      <c r="A2585" t="inlineStr">
        <is>
          <t>233a83b5-cd8b-4fa7-a0db-93e38d75d3a6.jpg</t>
        </is>
      </c>
      <c r="B2585">
        <f>HYPERLINK("Объекты недвижимости, не соответствующие градостроительным нормам_00-022_Август/233a83b5-cd8b-4fa7-a0db-93e38d75d3a6.jpg","open")</f>
        <v/>
      </c>
      <c r="C2585" t="inlineStr">
        <is>
          <t>cbf95b01-f708-45a3-9ec0-3603469b538e</t>
        </is>
      </c>
      <c r="D2585" t="n">
        <v>52.78451</v>
      </c>
      <c r="E2585" t="n">
        <v>43.86579</v>
      </c>
      <c r="F2585" t="inlineStr"/>
      <c r="G2585" t="inlineStr"/>
      <c r="H2585" t="inlineStr"/>
    </row>
    <row r="2586">
      <c r="A2586" t="inlineStr">
        <is>
          <t>6d753f89-f27f-4c49-bf7d-2162d9c0708e.jpg</t>
        </is>
      </c>
      <c r="B2586">
        <f>HYPERLINK("Объекты недвижимости, не соответствующие градостроительным нормам_00-022_Август/6d753f89-f27f-4c49-bf7d-2162d9c0708e.jpg","open")</f>
        <v/>
      </c>
      <c r="C2586" t="inlineStr">
        <is>
          <t>93848fc8-17e7-4748-9ebc-c7e379e11d2f</t>
        </is>
      </c>
      <c r="D2586" t="n">
        <v>55.70787</v>
      </c>
      <c r="E2586" t="n">
        <v>37.7909</v>
      </c>
      <c r="F2586" t="inlineStr"/>
      <c r="G2586" t="inlineStr"/>
      <c r="H2586" t="inlineStr"/>
    </row>
    <row r="2587">
      <c r="A2587" t="inlineStr">
        <is>
          <t>5daf10f4-7d31-4ef4-ade1-5fb3c145f3c4.jpg</t>
        </is>
      </c>
      <c r="B2587">
        <f>HYPERLINK("Объекты недвижимости, не соответствующие градостроительным нормам_00-022_Август/5daf10f4-7d31-4ef4-ade1-5fb3c145f3c4.jpg","open")</f>
        <v/>
      </c>
      <c r="C2587" t="inlineStr">
        <is>
          <t>a1a9db89-3f74-42ef-8fad-ad69705102cd</t>
        </is>
      </c>
      <c r="D2587" t="n">
        <v>52.78451</v>
      </c>
      <c r="E2587" t="n">
        <v>43.86579</v>
      </c>
      <c r="F2587" t="inlineStr"/>
      <c r="G2587" t="inlineStr"/>
      <c r="H2587" t="inlineStr"/>
    </row>
    <row r="2588">
      <c r="A2588" t="inlineStr">
        <is>
          <t>c08ab757-8d91-455f-a296-61b65a03f7b8.jpg</t>
        </is>
      </c>
      <c r="B2588">
        <f>HYPERLINK("Объекты недвижимости, не соответствующие градостроительным нормам_00-022_Август/c08ab757-8d91-455f-a296-61b65a03f7b8.jpg","open")</f>
        <v/>
      </c>
      <c r="C2588" t="inlineStr">
        <is>
          <t>cbf95b01-f708-45a3-9ec0-3603469b538e</t>
        </is>
      </c>
      <c r="D2588" t="n">
        <v>52.78451</v>
      </c>
      <c r="E2588" t="n">
        <v>43.86579</v>
      </c>
      <c r="F2588" t="inlineStr"/>
      <c r="G2588" t="inlineStr"/>
      <c r="H2588" t="inlineStr"/>
    </row>
    <row r="2589">
      <c r="A2589" t="inlineStr">
        <is>
          <t>85c5028a-7aa6-4163-a256-89987c439978.jpg</t>
        </is>
      </c>
      <c r="B2589">
        <f>HYPERLINK("Объекты недвижимости, не соответствующие градостроительным нормам_00-022_Август/85c5028a-7aa6-4163-a256-89987c439978.jpg","open")</f>
        <v/>
      </c>
      <c r="C2589" t="inlineStr">
        <is>
          <t>b0429a31-0c70-4b9f-8ea5-73929d82f89e</t>
        </is>
      </c>
      <c r="D2589" t="n">
        <v>55.59959</v>
      </c>
      <c r="E2589" t="n">
        <v>37.58768</v>
      </c>
      <c r="F2589" t="inlineStr"/>
      <c r="G2589" t="inlineStr"/>
      <c r="H2589" t="inlineStr"/>
    </row>
    <row r="2590">
      <c r="A2590" t="inlineStr">
        <is>
          <t>a33f6865-3e9e-4a83-b0ea-628293e94acf.jpg</t>
        </is>
      </c>
      <c r="B2590">
        <f>HYPERLINK("Объекты недвижимости, не соответствующие градостроительным нормам_00-022_Август/a33f6865-3e9e-4a83-b0ea-628293e94acf.jpg","open")</f>
        <v/>
      </c>
      <c r="C2590" t="inlineStr">
        <is>
          <t>8cde1fd0-eca1-4510-86ab-3c743b65fdfc</t>
        </is>
      </c>
      <c r="D2590" t="n">
        <v>55.57722</v>
      </c>
      <c r="E2590" t="n">
        <v>37.56989</v>
      </c>
      <c r="F2590" t="inlineStr"/>
      <c r="G2590" t="inlineStr"/>
      <c r="H2590" t="inlineStr"/>
    </row>
    <row r="2591">
      <c r="A2591" t="inlineStr">
        <is>
          <t>a0d0b533-12d2-4884-a3b0-cf0c29fdef9d.jpg</t>
        </is>
      </c>
      <c r="B2591">
        <f>HYPERLINK("Объекты недвижимости, не соответствующие градостроительным нормам_00-022_Август/a0d0b533-12d2-4884-a3b0-cf0c29fdef9d.jpg","open")</f>
        <v/>
      </c>
      <c r="C2591" t="inlineStr">
        <is>
          <t>b0429a31-0c70-4b9f-8ea5-73929d82f89e</t>
        </is>
      </c>
      <c r="D2591" t="n">
        <v>55.59916</v>
      </c>
      <c r="E2591" t="n">
        <v>37.58656</v>
      </c>
      <c r="F2591" t="inlineStr"/>
      <c r="G2591" t="inlineStr"/>
      <c r="H2591" t="inlineStr"/>
    </row>
    <row r="2592">
      <c r="A2592" t="inlineStr">
        <is>
          <t>d3ee7c68-0721-41c2-b934-bf00592120b4.jpg</t>
        </is>
      </c>
      <c r="B2592">
        <f>HYPERLINK("Объекты недвижимости, не соответствующие градостроительным нормам_00-022_Август/d3ee7c68-0721-41c2-b934-bf00592120b4.jpg","open")</f>
        <v/>
      </c>
      <c r="C2592" t="inlineStr">
        <is>
          <t>99f3abba-c55b-49f0-9de5-9f88e9597cc0</t>
        </is>
      </c>
      <c r="D2592" t="n">
        <v>55.59919</v>
      </c>
      <c r="E2592" t="n">
        <v>37.58655</v>
      </c>
      <c r="F2592" t="inlineStr"/>
      <c r="G2592" t="inlineStr"/>
      <c r="H2592" t="inlineStr"/>
    </row>
    <row r="2593">
      <c r="A2593" t="inlineStr">
        <is>
          <t>4bbcc421-dffb-4024-b92c-c3755cb75304.jpg</t>
        </is>
      </c>
      <c r="B2593">
        <f>HYPERLINK("Объекты недвижимости, не соответствующие градостроительным нормам_00-022_Август/4bbcc421-dffb-4024-b92c-c3755cb75304.jpg","open")</f>
        <v/>
      </c>
      <c r="C2593" t="inlineStr">
        <is>
          <t>fce890a6-27da-4062-a046-08262a160ee6</t>
        </is>
      </c>
      <c r="D2593" t="n">
        <v>55.97219</v>
      </c>
      <c r="E2593" t="n">
        <v>37.39933</v>
      </c>
      <c r="F2593" t="inlineStr"/>
      <c r="G2593" t="inlineStr"/>
      <c r="H2593" t="inlineStr"/>
    </row>
    <row r="2594">
      <c r="A2594" t="inlineStr">
        <is>
          <t>26d78f64-6f59-4111-a3b2-03465b84e394.jpg</t>
        </is>
      </c>
      <c r="B2594">
        <f>HYPERLINK("Объекты недвижимости, не соответствующие градостроительным нормам_00-022_Август/26d78f64-6f59-4111-a3b2-03465b84e394.jpg","open")</f>
        <v/>
      </c>
      <c r="C2594" t="inlineStr">
        <is>
          <t>750bf7e4-0f0f-4f1a-96af-607dc8c1f1c9</t>
        </is>
      </c>
      <c r="D2594" t="n">
        <v>55.6445</v>
      </c>
      <c r="E2594" t="n">
        <v>37.26573</v>
      </c>
      <c r="F2594" t="inlineStr"/>
      <c r="G2594" t="inlineStr"/>
      <c r="H2594" t="inlineStr"/>
    </row>
    <row r="2595">
      <c r="A2595" t="inlineStr">
        <is>
          <t>4b44473f-c1d8-4e83-ad71-c9041c42959a.jpg</t>
        </is>
      </c>
      <c r="B2595">
        <f>HYPERLINK("Объекты недвижимости, не соответствующие градостроительным нормам_00-022_Август/4b44473f-c1d8-4e83-ad71-c9041c42959a.jpg","open")</f>
        <v/>
      </c>
      <c r="C2595" t="inlineStr">
        <is>
          <t>31a713a9-b910-424b-b847-e0eaa2f70c70</t>
        </is>
      </c>
      <c r="D2595" t="n">
        <v>55.6445</v>
      </c>
      <c r="E2595" t="n">
        <v>37.26573</v>
      </c>
      <c r="F2595" t="inlineStr"/>
      <c r="G2595" t="inlineStr"/>
      <c r="H2595" t="inlineStr"/>
    </row>
    <row r="2596">
      <c r="A2596" t="inlineStr">
        <is>
          <t>04809ccd-f3a6-4ef0-969e-69c077f327c4.jpg</t>
        </is>
      </c>
      <c r="B2596">
        <f>HYPERLINK("Объекты недвижимости, не соответствующие градостроительным нормам_00-022_Август/04809ccd-f3a6-4ef0-969e-69c077f327c4.jpg","open")</f>
        <v/>
      </c>
      <c r="C2596" t="inlineStr">
        <is>
          <t>5e5b9944-4f9e-4223-bf96-0bc0c8a93dfa</t>
        </is>
      </c>
      <c r="D2596" t="n">
        <v>55.98247</v>
      </c>
      <c r="E2596" t="n">
        <v>37.41508</v>
      </c>
      <c r="F2596" t="inlineStr"/>
      <c r="G2596" t="inlineStr"/>
      <c r="H2596" t="inlineStr"/>
    </row>
    <row r="2597">
      <c r="A2597" t="inlineStr">
        <is>
          <t>eb4e4b14-d729-46d7-a814-7770eea8ea56.jpg</t>
        </is>
      </c>
      <c r="B2597">
        <f>HYPERLINK("Объекты недвижимости, не соответствующие градостроительным нормам_00-022_Август/eb4e4b14-d729-46d7-a814-7770eea8ea56.jpg","open")</f>
        <v/>
      </c>
      <c r="C2597" t="inlineStr">
        <is>
          <t>57aae8a4-582b-4309-8045-c8127a9f86ae</t>
        </is>
      </c>
      <c r="D2597" t="n">
        <v>55.80164</v>
      </c>
      <c r="E2597" t="n">
        <v>37.82512</v>
      </c>
      <c r="F2597" t="inlineStr"/>
      <c r="G2597" t="inlineStr"/>
      <c r="H2597" t="inlineStr"/>
    </row>
    <row r="2598">
      <c r="A2598" t="inlineStr">
        <is>
          <t>bc0c1314-1c87-4133-9bed-81a3dc80b759.jpg</t>
        </is>
      </c>
      <c r="B2598">
        <f>HYPERLINK("Объекты недвижимости, не соответствующие градостроительным нормам_00-022_Август/bc0c1314-1c87-4133-9bed-81a3dc80b759.jpg","open")</f>
        <v/>
      </c>
      <c r="C2598" t="inlineStr">
        <is>
          <t>8cde1fd0-eca1-4510-86ab-3c743b65fdfc</t>
        </is>
      </c>
      <c r="D2598" t="n">
        <v>55.57404</v>
      </c>
      <c r="E2598" t="n">
        <v>37.57743</v>
      </c>
      <c r="F2598" t="inlineStr"/>
      <c r="G2598" t="inlineStr"/>
      <c r="H2598" t="inlineStr"/>
    </row>
    <row r="2599">
      <c r="A2599" t="inlineStr">
        <is>
          <t>03243207-a8f9-4f5d-9e20-b4259f94e5a6.jpg</t>
        </is>
      </c>
      <c r="B2599">
        <f>HYPERLINK("Объекты недвижимости, не соответствующие градостроительным нормам_00-022_Август/03243207-a8f9-4f5d-9e20-b4259f94e5a6.jpg","open")</f>
        <v/>
      </c>
      <c r="C2599" t="inlineStr">
        <is>
          <t>9c930d0e-e445-452d-a046-325646b21ab7</t>
        </is>
      </c>
      <c r="D2599" t="n">
        <v>55.88279</v>
      </c>
      <c r="E2599" t="n">
        <v>37.45232</v>
      </c>
      <c r="F2599" t="inlineStr"/>
      <c r="G2599" t="inlineStr"/>
      <c r="H2599" t="inlineStr"/>
    </row>
    <row r="2600">
      <c r="A2600" t="inlineStr">
        <is>
          <t>6f44c5cc-5131-47b0-84a6-b44d947c73ac.jpg</t>
        </is>
      </c>
      <c r="B2600">
        <f>HYPERLINK("Объекты недвижимости, не соответствующие градостроительным нормам_00-022_Август/6f44c5cc-5131-47b0-84a6-b44d947c73ac.jpg","open")</f>
        <v/>
      </c>
      <c r="C2600" t="inlineStr">
        <is>
          <t>cbf95b01-f708-45a3-9ec0-3603469b538e</t>
        </is>
      </c>
      <c r="D2600" t="n">
        <v>52.78451</v>
      </c>
      <c r="E2600" t="n">
        <v>43.86579</v>
      </c>
      <c r="F2600" t="inlineStr"/>
      <c r="G2600" t="inlineStr"/>
      <c r="H2600" t="inlineStr"/>
    </row>
    <row r="2601">
      <c r="A2601" t="inlineStr">
        <is>
          <t>86973c04-2c25-4fb0-846c-b1bd2c4636a2.jpg</t>
        </is>
      </c>
      <c r="B2601">
        <f>HYPERLINK("Объекты недвижимости, не соответствующие градостроительным нормам_00-022_Август/86973c04-2c25-4fb0-846c-b1bd2c4636a2.jpg","open")</f>
        <v/>
      </c>
      <c r="C2601" t="inlineStr">
        <is>
          <t>ed2bf0f1-3a66-4913-896e-4420a9796c0b</t>
        </is>
      </c>
      <c r="D2601" t="n">
        <v>55.97966</v>
      </c>
      <c r="E2601" t="n">
        <v>37.42654</v>
      </c>
      <c r="F2601" t="inlineStr"/>
      <c r="G2601" t="inlineStr"/>
      <c r="H2601" t="inlineStr"/>
    </row>
    <row r="2602">
      <c r="A2602" t="inlineStr">
        <is>
          <t>52391fb1-2cc1-4d31-adb4-65172271daa9.jpg</t>
        </is>
      </c>
      <c r="B2602">
        <f>HYPERLINK("Объекты недвижимости, не соответствующие градостроительным нормам_00-022_Август/52391fb1-2cc1-4d31-adb4-65172271daa9.jpg","open")</f>
        <v/>
      </c>
      <c r="C2602" t="inlineStr">
        <is>
          <t>cbf95b01-f708-45a3-9ec0-3603469b538e</t>
        </is>
      </c>
      <c r="D2602" t="n">
        <v>52.78451</v>
      </c>
      <c r="E2602" t="n">
        <v>43.86579</v>
      </c>
      <c r="F2602" t="inlineStr"/>
      <c r="G2602" t="inlineStr"/>
      <c r="H2602" t="inlineStr"/>
    </row>
    <row r="2603">
      <c r="A2603" t="inlineStr">
        <is>
          <t>bdab2dda-c12c-4db2-9a86-23da3d9588d0.jpg</t>
        </is>
      </c>
      <c r="B2603">
        <f>HYPERLINK("Объекты недвижимости, не соответствующие градостроительным нормам_00-022_Август/bdab2dda-c12c-4db2-9a86-23da3d9588d0.jpg","open")</f>
        <v/>
      </c>
      <c r="C2603" t="inlineStr">
        <is>
          <t>1a55986c-2c3f-40c0-b3d1-014dce77832e</t>
        </is>
      </c>
      <c r="D2603" t="n">
        <v>55.97134</v>
      </c>
      <c r="E2603" t="n">
        <v>37.43089</v>
      </c>
      <c r="F2603" t="inlineStr"/>
      <c r="G2603" t="inlineStr"/>
      <c r="H2603" t="inlineStr"/>
    </row>
    <row r="2604">
      <c r="A2604" t="inlineStr">
        <is>
          <t>61566bf3-bd00-427d-9428-21abceb2c515.jpg</t>
        </is>
      </c>
      <c r="B2604">
        <f>HYPERLINK("Объекты недвижимости, не соответствующие градостроительным нормам_00-022_Август/61566bf3-bd00-427d-9428-21abceb2c515.jpg","open")</f>
        <v/>
      </c>
      <c r="C2604" t="inlineStr">
        <is>
          <t>ed2bf0f1-3a66-4913-896e-4420a9796c0b</t>
        </is>
      </c>
      <c r="D2604" t="n">
        <v>55.97121</v>
      </c>
      <c r="E2604" t="n">
        <v>37.43084</v>
      </c>
      <c r="F2604" t="inlineStr"/>
      <c r="G2604" t="inlineStr"/>
      <c r="H2604" t="inlineStr"/>
    </row>
    <row r="2605">
      <c r="A2605" t="inlineStr">
        <is>
          <t>16e3ebc4-7a3a-4004-9265-7120dccd349e.jpg</t>
        </is>
      </c>
      <c r="B2605">
        <f>HYPERLINK("Объекты недвижимости, не соответствующие градостроительным нормам_00-022_Август/16e3ebc4-7a3a-4004-9265-7120dccd349e.jpg","open")</f>
        <v/>
      </c>
      <c r="C2605" t="inlineStr">
        <is>
          <t>ed2bf0f1-3a66-4913-896e-4420a9796c0b</t>
        </is>
      </c>
      <c r="D2605" t="n">
        <v>55.9668</v>
      </c>
      <c r="E2605" t="n">
        <v>37.42668</v>
      </c>
      <c r="F2605" t="inlineStr"/>
      <c r="G2605" t="inlineStr"/>
      <c r="H2605" t="inlineStr"/>
    </row>
    <row r="2606">
      <c r="A2606" t="inlineStr">
        <is>
          <t>565f600c-9a6f-4e9b-a875-68c009f23c6e.jpg</t>
        </is>
      </c>
      <c r="B2606">
        <f>HYPERLINK("Объекты недвижимости, не соответствующие градостроительным нормам_00-022_Август/565f600c-9a6f-4e9b-a875-68c009f23c6e.jpg","open")</f>
        <v/>
      </c>
      <c r="C2606" t="inlineStr">
        <is>
          <t>1a55986c-2c3f-40c0-b3d1-014dce77832e</t>
        </is>
      </c>
      <c r="D2606" t="n">
        <v>55.96654</v>
      </c>
      <c r="E2606" t="n">
        <v>37.4262</v>
      </c>
      <c r="F2606" t="inlineStr"/>
      <c r="G2606" t="inlineStr"/>
      <c r="H2606" t="inlineStr"/>
    </row>
    <row r="2607">
      <c r="A2607" t="inlineStr">
        <is>
          <t>1f328c9b-35c7-409b-8bc3-36c2ca318731.jpg</t>
        </is>
      </c>
      <c r="B2607">
        <f>HYPERLINK("Объекты недвижимости, не соответствующие градостроительным нормам_00-022_Август/1f328c9b-35c7-409b-8bc3-36c2ca318731.jpg","open")</f>
        <v/>
      </c>
      <c r="C2607" t="inlineStr">
        <is>
          <t>685d9054-b74f-49ab-857b-109fd2cec80d</t>
        </is>
      </c>
      <c r="D2607" t="n">
        <v>55.77151</v>
      </c>
      <c r="E2607" t="n">
        <v>37.8191</v>
      </c>
      <c r="F2607" t="inlineStr"/>
      <c r="G2607" t="inlineStr"/>
      <c r="H2607" t="inlineStr"/>
    </row>
    <row r="2608">
      <c r="A2608" t="inlineStr">
        <is>
          <t>702a877e-79b0-4d4a-bb71-9d2fb97492b6.jpg</t>
        </is>
      </c>
      <c r="B2608">
        <f>HYPERLINK("Объекты недвижимости, не соответствующие градостроительным нормам_00-022_Август/702a877e-79b0-4d4a-bb71-9d2fb97492b6.jpg","open")</f>
        <v/>
      </c>
      <c r="C2608" t="inlineStr">
        <is>
          <t>b0429a31-0c70-4b9f-8ea5-73929d82f89e</t>
        </is>
      </c>
      <c r="D2608" t="n">
        <v>55.59723</v>
      </c>
      <c r="E2608" t="n">
        <v>37.58548</v>
      </c>
      <c r="F2608" t="inlineStr"/>
      <c r="G2608" t="inlineStr"/>
      <c r="H2608" t="inlineStr"/>
    </row>
    <row r="2609">
      <c r="A2609" t="inlineStr">
        <is>
          <t>a0f34ee2-6258-4cc6-a0a4-358151a46e2e.jpg</t>
        </is>
      </c>
      <c r="B2609">
        <f>HYPERLINK("Объекты недвижимости, не соответствующие градостроительным нормам_00-022_Август/a0f34ee2-6258-4cc6-a0a4-358151a46e2e.jpg","open")</f>
        <v/>
      </c>
      <c r="C2609" t="inlineStr">
        <is>
          <t>acedacc2-0d8b-4fc1-9622-25621a89d071</t>
        </is>
      </c>
      <c r="D2609" t="n">
        <v>55.80038</v>
      </c>
      <c r="E2609" t="n">
        <v>37.82504</v>
      </c>
      <c r="F2609" t="inlineStr"/>
      <c r="G2609" t="inlineStr"/>
      <c r="H2609" t="inlineStr"/>
    </row>
    <row r="2610">
      <c r="A2610" t="inlineStr">
        <is>
          <t>07475578-b6c4-4f28-a913-3b01ab4939fe.jpg</t>
        </is>
      </c>
      <c r="B2610">
        <f>HYPERLINK("Объекты недвижимости, не соответствующие градостроительным нормам_00-022_Август/07475578-b6c4-4f28-a913-3b01ab4939fe.jpg","open")</f>
        <v/>
      </c>
      <c r="C2610" t="inlineStr">
        <is>
          <t>685d9054-b74f-49ab-857b-109fd2cec80d</t>
        </is>
      </c>
      <c r="D2610" t="n">
        <v>55.7675</v>
      </c>
      <c r="E2610" t="n">
        <v>37.83002</v>
      </c>
      <c r="F2610" t="inlineStr"/>
      <c r="G2610" t="inlineStr"/>
      <c r="H2610" t="inlineStr"/>
    </row>
    <row r="2611">
      <c r="A2611" t="inlineStr">
        <is>
          <t>796e45f7-bd5b-4fcf-a76f-501fafae248b.jpg</t>
        </is>
      </c>
      <c r="B2611">
        <f>HYPERLINK("Объекты недвижимости, не соответствующие градостроительным нормам_00-022_Август/796e45f7-bd5b-4fcf-a76f-501fafae248b.jpg","open")</f>
        <v/>
      </c>
      <c r="C2611" t="inlineStr">
        <is>
          <t>685d9054-b74f-49ab-857b-109fd2cec80d</t>
        </is>
      </c>
      <c r="D2611" t="n">
        <v>55.76746</v>
      </c>
      <c r="E2611" t="n">
        <v>37.83007</v>
      </c>
      <c r="F2611" t="inlineStr"/>
      <c r="G2611" t="inlineStr"/>
      <c r="H2611" t="inlineStr"/>
    </row>
    <row r="2612">
      <c r="A2612" t="inlineStr">
        <is>
          <t>720f47df-ba00-47b4-b0d6-f978fad6d08b.jpg</t>
        </is>
      </c>
      <c r="B2612">
        <f>HYPERLINK("Объекты недвижимости, не соответствующие градостроительным нормам_00-022_Август/720f47df-ba00-47b4-b0d6-f978fad6d08b.jpg","open")</f>
        <v/>
      </c>
      <c r="C2612" t="inlineStr">
        <is>
          <t>dd48f742-b338-42e2-bbaf-b3a9701b437c</t>
        </is>
      </c>
      <c r="D2612" t="n">
        <v>55.9379</v>
      </c>
      <c r="E2612" t="n">
        <v>37.36862</v>
      </c>
      <c r="F2612" t="inlineStr"/>
      <c r="G2612" t="inlineStr"/>
      <c r="H2612" t="inlineStr"/>
    </row>
    <row r="2613">
      <c r="A2613" t="inlineStr">
        <is>
          <t>68b23274-05f5-4e50-b566-2ead59f8bbfb.jpg</t>
        </is>
      </c>
      <c r="B2613">
        <f>HYPERLINK("Объекты недвижимости, не соответствующие градостроительным нормам_00-022_Август/68b23274-05f5-4e50-b566-2ead59f8bbfb.jpg","open")</f>
        <v/>
      </c>
      <c r="C2613" t="inlineStr">
        <is>
          <t>685d9054-b74f-49ab-857b-109fd2cec80d</t>
        </is>
      </c>
      <c r="D2613" t="n">
        <v>55.76706</v>
      </c>
      <c r="E2613" t="n">
        <v>37.84029</v>
      </c>
      <c r="F2613" t="inlineStr"/>
      <c r="G2613" t="inlineStr"/>
      <c r="H2613" t="inlineStr"/>
    </row>
    <row r="2614">
      <c r="A2614" t="inlineStr">
        <is>
          <t>01fa69ca-8dc9-4afe-9778-f2b346401d5b.jpg</t>
        </is>
      </c>
      <c r="B2614">
        <f>HYPERLINK("Объекты недвижимости, не соответствующие градостроительным нормам_00-022_Август/01fa69ca-8dc9-4afe-9778-f2b346401d5b.jpg","open")</f>
        <v/>
      </c>
      <c r="C2614" t="inlineStr">
        <is>
          <t>1231bbc5-e64c-4dc7-9acc-77710f47607a</t>
        </is>
      </c>
      <c r="D2614" t="n">
        <v>55.76709</v>
      </c>
      <c r="E2614" t="n">
        <v>37.84027</v>
      </c>
      <c r="F2614" t="inlineStr"/>
      <c r="G2614" t="inlineStr"/>
      <c r="H2614" t="inlineStr"/>
    </row>
    <row r="2615">
      <c r="A2615" t="inlineStr">
        <is>
          <t>9aa445ee-b363-4002-b2e9-f9939157ab43.jpg</t>
        </is>
      </c>
      <c r="B2615">
        <f>HYPERLINK("Объекты недвижимости, не соответствующие градостроительным нормам_00-022_Август/9aa445ee-b363-4002-b2e9-f9939157ab43.jpg","open")</f>
        <v/>
      </c>
      <c r="C2615" t="inlineStr">
        <is>
          <t>cbf95b01-f708-45a3-9ec0-3603469b538e</t>
        </is>
      </c>
      <c r="D2615" t="n">
        <v>52.78451</v>
      </c>
      <c r="E2615" t="n">
        <v>43.86579</v>
      </c>
      <c r="F2615" t="inlineStr"/>
      <c r="G2615" t="inlineStr"/>
      <c r="H2615" t="inlineStr"/>
    </row>
    <row r="2616">
      <c r="A2616" t="inlineStr">
        <is>
          <t>45cba4d0-b25b-46d6-ad57-b2881491ff62.jpg</t>
        </is>
      </c>
      <c r="B2616">
        <f>HYPERLINK("Объекты недвижимости, не соответствующие градостроительным нормам_00-022_Август/45cba4d0-b25b-46d6-ad57-b2881491ff62.jpg","open")</f>
        <v/>
      </c>
      <c r="C2616" t="inlineStr">
        <is>
          <t>b0b7ea82-53be-40d0-b992-e2fd18611d5c</t>
        </is>
      </c>
      <c r="D2616" t="n">
        <v>55.64676</v>
      </c>
      <c r="E2616" t="n">
        <v>37.7296</v>
      </c>
      <c r="F2616" t="inlineStr"/>
      <c r="G2616" t="inlineStr"/>
      <c r="H2616" t="inlineStr"/>
    </row>
    <row r="2617">
      <c r="A2617" t="inlineStr">
        <is>
          <t>1f51e526-690d-4c54-b9da-c5325289afb5.jpg</t>
        </is>
      </c>
      <c r="B2617">
        <f>HYPERLINK("Объекты недвижимости, не соответствующие градостроительным нормам_00-022_Август/1f51e526-690d-4c54-b9da-c5325289afb5.jpg","open")</f>
        <v/>
      </c>
      <c r="C2617" t="inlineStr">
        <is>
          <t>cbf95b01-f708-45a3-9ec0-3603469b538e</t>
        </is>
      </c>
      <c r="D2617" t="n">
        <v>55.97991</v>
      </c>
      <c r="E2617" t="n">
        <v>37.42309</v>
      </c>
      <c r="F2617" t="inlineStr"/>
      <c r="G2617" t="inlineStr"/>
      <c r="H2617" t="inlineStr"/>
    </row>
    <row r="2618">
      <c r="A2618" t="inlineStr">
        <is>
          <t>3d351baa-76f4-4e2d-a47a-c9b63b56e845.jpg</t>
        </is>
      </c>
      <c r="B2618">
        <f>HYPERLINK("Объекты недвижимости, не соответствующие градостроительным нормам_00-022_Август/3d351baa-76f4-4e2d-a47a-c9b63b56e845.jpg","open")</f>
        <v/>
      </c>
      <c r="C2618" t="inlineStr">
        <is>
          <t>cbf95b01-f708-45a3-9ec0-3603469b538e</t>
        </is>
      </c>
      <c r="D2618" t="n">
        <v>55.96487</v>
      </c>
      <c r="E2618" t="n">
        <v>37.40912</v>
      </c>
      <c r="F2618" t="inlineStr"/>
      <c r="G2618" t="inlineStr"/>
      <c r="H2618" t="inlineStr"/>
    </row>
    <row r="2619">
      <c r="A2619" t="inlineStr">
        <is>
          <t>1f5f05d1-8b8a-437b-bae2-e3b79a28059a.jpg</t>
        </is>
      </c>
      <c r="B2619">
        <f>HYPERLINK("Объекты недвижимости, не соответствующие градостроительным нормам_00-022_Август/1f5f05d1-8b8a-437b-bae2-e3b79a28059a.jpg","open")</f>
        <v/>
      </c>
      <c r="C2619" t="inlineStr">
        <is>
          <t>1c951e11-4940-43c6-a447-394097e5609a</t>
        </is>
      </c>
      <c r="D2619" t="n">
        <v>55.56162</v>
      </c>
      <c r="E2619" t="n">
        <v>37.58643</v>
      </c>
      <c r="F2619" t="inlineStr"/>
      <c r="G2619" t="inlineStr"/>
      <c r="H2619" t="inlineStr"/>
    </row>
    <row r="2620">
      <c r="A2620" t="inlineStr">
        <is>
          <t>97e7a04a-d7eb-499c-8e90-8f60185c9b97.jpg</t>
        </is>
      </c>
      <c r="B2620">
        <f>HYPERLINK("Объекты недвижимости, не соответствующие градостроительным нормам_00-022_Август/97e7a04a-d7eb-499c-8e90-8f60185c9b97.jpg","open")</f>
        <v/>
      </c>
      <c r="C2620" t="inlineStr">
        <is>
          <t>12e795ad-2aa7-49de-b2da-2c6aa35a4559</t>
        </is>
      </c>
      <c r="D2620" t="n">
        <v>55.6879</v>
      </c>
      <c r="E2620" t="n">
        <v>37.57206</v>
      </c>
      <c r="F2620" t="inlineStr"/>
      <c r="G2620" t="inlineStr"/>
      <c r="H2620" t="inlineStr"/>
    </row>
    <row r="2621">
      <c r="A2621" t="inlineStr">
        <is>
          <t>d15f225a-c30a-4856-af08-b23b5bbbc8f0.jpg</t>
        </is>
      </c>
      <c r="B2621">
        <f>HYPERLINK("Объекты недвижимости, не соответствующие градостроительным нормам_00-022_Август/d15f225a-c30a-4856-af08-b23b5bbbc8f0.jpg","open")</f>
        <v/>
      </c>
      <c r="C2621" t="inlineStr">
        <is>
          <t>29ad9edb-d533-4272-a986-be24eb004851</t>
        </is>
      </c>
      <c r="D2621" t="n">
        <v>55.98262</v>
      </c>
      <c r="E2621" t="n">
        <v>37.40968</v>
      </c>
      <c r="F2621" t="inlineStr"/>
      <c r="G2621" t="inlineStr"/>
      <c r="H2621" t="inlineStr"/>
    </row>
    <row r="2622">
      <c r="A2622" t="inlineStr">
        <is>
          <t>e4198cc9-a019-4e88-988f-e205090d3ada.jpg</t>
        </is>
      </c>
      <c r="B2622">
        <f>HYPERLINK("Объекты недвижимости, не соответствующие градостроительным нормам_00-022_Август/e4198cc9-a019-4e88-988f-e205090d3ada.jpg","open")</f>
        <v/>
      </c>
      <c r="C2622" t="inlineStr">
        <is>
          <t>18a5c468-d9e6-4814-8477-1caf4a2e1fe9</t>
        </is>
      </c>
      <c r="D2622" t="n">
        <v>55.76226</v>
      </c>
      <c r="E2622" t="n">
        <v>37.6731</v>
      </c>
      <c r="F2622" t="inlineStr"/>
      <c r="G2622" t="inlineStr"/>
      <c r="H2622" t="inlineStr"/>
    </row>
    <row r="2623">
      <c r="A2623" t="inlineStr">
        <is>
          <t>7e083a5e-d30c-470b-9ef8-eba7aa84a217.jpg</t>
        </is>
      </c>
      <c r="B2623">
        <f>HYPERLINK("Объекты недвижимости, не соответствующие градостроительным нормам_00-022_Август/7e083a5e-d30c-470b-9ef8-eba7aa84a217.jpg","open")</f>
        <v/>
      </c>
      <c r="C2623" t="inlineStr">
        <is>
          <t>a28f597e-d1cd-4d3b-b572-c86d033412e9</t>
        </is>
      </c>
      <c r="D2623" t="n">
        <v>55.97522</v>
      </c>
      <c r="E2623" t="n">
        <v>37.39931</v>
      </c>
      <c r="F2623" t="inlineStr"/>
      <c r="G2623" t="inlineStr"/>
      <c r="H2623" t="inlineStr"/>
    </row>
    <row r="2624">
      <c r="A2624" t="inlineStr">
        <is>
          <t>22e2f47d-4fad-48cc-863a-cd351ac8d10b.jpg</t>
        </is>
      </c>
      <c r="B2624">
        <f>HYPERLINK("Объекты недвижимости, не соответствующие градостроительным нормам_00-022_Август/22e2f47d-4fad-48cc-863a-cd351ac8d10b.jpg","open")</f>
        <v/>
      </c>
      <c r="C2624" t="inlineStr">
        <is>
          <t>1c951e11-4940-43c6-a447-394097e5609a</t>
        </is>
      </c>
      <c r="D2624" t="n">
        <v>55.56262</v>
      </c>
      <c r="E2624" t="n">
        <v>37.58431</v>
      </c>
      <c r="F2624" t="inlineStr"/>
      <c r="G2624" t="inlineStr"/>
      <c r="H2624" t="inlineStr"/>
    </row>
    <row r="2625">
      <c r="A2625" t="inlineStr">
        <is>
          <t>a53c9fde-a5a4-400e-8fd1-14b84020aea2.jpg</t>
        </is>
      </c>
      <c r="B2625">
        <f>HYPERLINK("Объекты недвижимости, не соответствующие градостроительным нормам_00-022_Август/a53c9fde-a5a4-400e-8fd1-14b84020aea2.jpg","open")</f>
        <v/>
      </c>
      <c r="C2625" t="inlineStr">
        <is>
          <t>ed2bf0f1-3a66-4913-896e-4420a9796c0b</t>
        </is>
      </c>
      <c r="D2625" t="n">
        <v>55.85697</v>
      </c>
      <c r="E2625" t="n">
        <v>37.38675</v>
      </c>
      <c r="F2625" t="inlineStr"/>
      <c r="G2625" t="inlineStr"/>
      <c r="H2625" t="inlineStr"/>
    </row>
    <row r="2626">
      <c r="A2626" t="inlineStr">
        <is>
          <t>9f6993aa-7c58-4495-b90d-ca056273cd5b.jpg</t>
        </is>
      </c>
      <c r="B2626">
        <f>HYPERLINK("Объекты недвижимости, не соответствующие градостроительным нормам_00-022_Август/9f6993aa-7c58-4495-b90d-ca056273cd5b.jpg","open")</f>
        <v/>
      </c>
      <c r="C2626" t="inlineStr">
        <is>
          <t>5e5b9944-4f9e-4223-bf96-0bc0c8a93dfa</t>
        </is>
      </c>
      <c r="D2626" t="n">
        <v>55.97321</v>
      </c>
      <c r="E2626" t="n">
        <v>37.39904</v>
      </c>
      <c r="F2626" t="inlineStr"/>
      <c r="G2626" t="inlineStr"/>
      <c r="H2626" t="inlineStr"/>
    </row>
    <row r="2627">
      <c r="A2627" t="inlineStr">
        <is>
          <t>e075afe5-9f86-4c61-be61-9a9243780955.jpg</t>
        </is>
      </c>
      <c r="B2627">
        <f>HYPERLINK("Объекты недвижимости, не соответствующие градостроительным нормам_00-022_Август/e075afe5-9f86-4c61-be61-9a9243780955.jpg","open")</f>
        <v/>
      </c>
      <c r="C2627" t="inlineStr">
        <is>
          <t>ed2bf0f1-3a66-4913-896e-4420a9796c0b</t>
        </is>
      </c>
      <c r="D2627" t="n">
        <v>55.85424</v>
      </c>
      <c r="E2627" t="n">
        <v>37.3912</v>
      </c>
      <c r="F2627" t="inlineStr"/>
      <c r="G2627" t="inlineStr"/>
      <c r="H2627" t="inlineStr"/>
    </row>
    <row r="2628">
      <c r="A2628" t="inlineStr">
        <is>
          <t>94d7db68-2544-4c42-aaf8-eba8b4d7fc60.jpg</t>
        </is>
      </c>
      <c r="B2628">
        <f>HYPERLINK("Объекты недвижимости, не соответствующие градостроительным нормам_00-022_Август/94d7db68-2544-4c42-aaf8-eba8b4d7fc60.jpg","open")</f>
        <v/>
      </c>
      <c r="C2628" t="inlineStr">
        <is>
          <t>18a5c468-d9e6-4814-8477-1caf4a2e1fe9</t>
        </is>
      </c>
      <c r="D2628" t="n">
        <v>55.76226</v>
      </c>
      <c r="E2628" t="n">
        <v>37.6731</v>
      </c>
      <c r="F2628" t="inlineStr"/>
      <c r="G2628" t="inlineStr"/>
      <c r="H2628" t="inlineStr"/>
    </row>
    <row r="2629">
      <c r="A2629" t="inlineStr">
        <is>
          <t>a71c30b5-d3b0-401d-bd8a-7034113110db.jpg</t>
        </is>
      </c>
      <c r="B2629">
        <f>HYPERLINK("Объекты недвижимости, не соответствующие градостроительным нормам_00-022_Август/a71c30b5-d3b0-401d-bd8a-7034113110db.jpg","open")</f>
        <v/>
      </c>
      <c r="C2629" t="inlineStr">
        <is>
          <t>1a55986c-2c3f-40c0-b3d1-014dce77832e</t>
        </is>
      </c>
      <c r="D2629" t="n">
        <v>55.85233</v>
      </c>
      <c r="E2629" t="n">
        <v>37.3895</v>
      </c>
      <c r="F2629" t="inlineStr"/>
      <c r="G2629" t="inlineStr"/>
      <c r="H2629" t="inlineStr"/>
    </row>
    <row r="2630">
      <c r="A2630" t="inlineStr">
        <is>
          <t>c80d081a-defb-47f8-8479-1932dbedd6d6.jpg</t>
        </is>
      </c>
      <c r="B2630">
        <f>HYPERLINK("Объекты недвижимости, не соответствующие градостроительным нормам_00-022_Август/c80d081a-defb-47f8-8479-1932dbedd6d6.jpg","open")</f>
        <v/>
      </c>
      <c r="C2630" t="inlineStr">
        <is>
          <t>8cde1fd0-eca1-4510-86ab-3c743b65fdfc</t>
        </is>
      </c>
      <c r="D2630" t="n">
        <v>55.56767</v>
      </c>
      <c r="E2630" t="n">
        <v>37.58963</v>
      </c>
      <c r="F2630" t="inlineStr"/>
      <c r="G2630" t="inlineStr"/>
      <c r="H2630" t="inlineStr"/>
    </row>
    <row r="2631">
      <c r="A2631" t="inlineStr">
        <is>
          <t>78e9e1d6-fb29-401c-9810-ad91ea867d13.jpg</t>
        </is>
      </c>
      <c r="B2631">
        <f>HYPERLINK("Объекты недвижимости, не соответствующие градостроительным нормам_00-022_Август/78e9e1d6-fb29-401c-9810-ad91ea867d13.jpg","open")</f>
        <v/>
      </c>
      <c r="C2631" t="inlineStr">
        <is>
          <t>b0429a31-0c70-4b9f-8ea5-73929d82f89e</t>
        </is>
      </c>
      <c r="D2631" t="n">
        <v>55.58836</v>
      </c>
      <c r="E2631" t="n">
        <v>37.59494</v>
      </c>
      <c r="F2631" t="inlineStr"/>
      <c r="G2631" t="inlineStr"/>
      <c r="H2631" t="inlineStr"/>
    </row>
    <row r="2632">
      <c r="A2632" t="inlineStr">
        <is>
          <t>a861437c-e9f1-46bd-9909-c2f57628b61a.jpg</t>
        </is>
      </c>
      <c r="B2632">
        <f>HYPERLINK("Объекты недвижимости, не соответствующие градостроительным нормам_00-022_Август/a861437c-e9f1-46bd-9909-c2f57628b61a.jpg","open")</f>
        <v/>
      </c>
      <c r="C2632" t="inlineStr">
        <is>
          <t>f60286ac-55e7-4099-85bd-cc599a7a0c65</t>
        </is>
      </c>
      <c r="D2632" t="n">
        <v>55.79066</v>
      </c>
      <c r="E2632" t="n">
        <v>37.68126</v>
      </c>
      <c r="F2632" t="inlineStr"/>
      <c r="G2632" t="inlineStr"/>
      <c r="H2632" t="inlineStr"/>
    </row>
    <row r="2633">
      <c r="A2633" t="inlineStr">
        <is>
          <t>6fe20663-4be6-4e6d-9f53-ddf7ce861213.jpg</t>
        </is>
      </c>
      <c r="B2633">
        <f>HYPERLINK("Объекты недвижимости, не соответствующие градостроительным нормам_00-022_Август/6fe20663-4be6-4e6d-9f53-ddf7ce861213.jpg","open")</f>
        <v/>
      </c>
      <c r="C2633" t="inlineStr">
        <is>
          <t>ffd931da-542f-43e9-979f-5552b17fe3dc</t>
        </is>
      </c>
      <c r="D2633" t="n">
        <v>55.79065</v>
      </c>
      <c r="E2633" t="n">
        <v>37.68127</v>
      </c>
      <c r="F2633" t="inlineStr"/>
      <c r="G2633" t="inlineStr"/>
      <c r="H2633" t="inlineStr"/>
    </row>
    <row r="2634">
      <c r="A2634" t="inlineStr">
        <is>
          <t>9fbde4e5-89b3-419c-a5e7-33af54db8473.jpg</t>
        </is>
      </c>
      <c r="B2634">
        <f>HYPERLINK("Объекты недвижимости, не соответствующие градостроительным нормам_00-022_Август/9fbde4e5-89b3-419c-a5e7-33af54db8473.jpg","open")</f>
        <v/>
      </c>
      <c r="C2634" t="inlineStr">
        <is>
          <t>31a713a9-b910-424b-b847-e0eaa2f70c70</t>
        </is>
      </c>
      <c r="D2634" t="n">
        <v>55.62694</v>
      </c>
      <c r="E2634" t="n">
        <v>37.26473</v>
      </c>
      <c r="F2634" t="inlineStr"/>
      <c r="G2634" t="inlineStr"/>
      <c r="H2634" t="inlineStr"/>
    </row>
    <row r="2635">
      <c r="A2635" t="inlineStr">
        <is>
          <t>8df24f17-a619-41e3-bc04-a86f00a1cba0.jpg</t>
        </is>
      </c>
      <c r="B2635">
        <f>HYPERLINK("Объекты недвижимости, не соответствующие градостроительным нормам_00-022_Август/8df24f17-a619-41e3-bc04-a86f00a1cba0.jpg","open")</f>
        <v/>
      </c>
      <c r="C2635" t="inlineStr">
        <is>
          <t>f60286ac-55e7-4099-85bd-cc599a7a0c65</t>
        </is>
      </c>
      <c r="D2635" t="n">
        <v>55.79056</v>
      </c>
      <c r="E2635" t="n">
        <v>37.68241</v>
      </c>
      <c r="F2635" t="inlineStr"/>
      <c r="G2635" t="inlineStr"/>
      <c r="H2635" t="inlineStr"/>
    </row>
    <row r="2636">
      <c r="A2636" t="inlineStr">
        <is>
          <t>c08ce1c7-654d-481d-91f8-52fcd2c9751c.jpg</t>
        </is>
      </c>
      <c r="B2636">
        <f>HYPERLINK("Объекты недвижимости, не соответствующие градостроительным нормам_00-022_Август/c08ce1c7-654d-481d-91f8-52fcd2c9751c.jpg","open")</f>
        <v/>
      </c>
      <c r="C2636" t="inlineStr">
        <is>
          <t>31a713a9-b910-424b-b847-e0eaa2f70c70</t>
        </is>
      </c>
      <c r="D2636" t="n">
        <v>55.62254</v>
      </c>
      <c r="E2636" t="n">
        <v>37.26735</v>
      </c>
      <c r="F2636" t="inlineStr"/>
      <c r="G2636" t="inlineStr"/>
      <c r="H2636" t="inlineStr"/>
    </row>
    <row r="2637">
      <c r="A2637" t="inlineStr">
        <is>
          <t>f080f58c-be3a-4b74-847d-e8a54c5950fe.jpg</t>
        </is>
      </c>
      <c r="B2637">
        <f>HYPERLINK("Объекты недвижимости, не соответствующие градостроительным нормам_00-022_Август/f080f58c-be3a-4b74-847d-e8a54c5950fe.jpg","open")</f>
        <v/>
      </c>
      <c r="C2637" t="inlineStr">
        <is>
          <t>ed2bf0f1-3a66-4913-896e-4420a9796c0b</t>
        </is>
      </c>
      <c r="D2637" t="n">
        <v>55.85153</v>
      </c>
      <c r="E2637" t="n">
        <v>37.3884</v>
      </c>
      <c r="F2637" t="inlineStr"/>
      <c r="G2637" t="inlineStr"/>
      <c r="H2637" t="inlineStr"/>
    </row>
    <row r="2638">
      <c r="A2638" t="inlineStr">
        <is>
          <t>71d9141b-a4d3-4662-a4f7-9c51776dc796.jpg</t>
        </is>
      </c>
      <c r="B2638">
        <f>HYPERLINK("Объекты недвижимости, не соответствующие градостроительным нормам_00-022_Август/71d9141b-a4d3-4662-a4f7-9c51776dc796.jpg","open")</f>
        <v/>
      </c>
      <c r="C2638" t="inlineStr">
        <is>
          <t>12e795ad-2aa7-49de-b2da-2c6aa35a4559</t>
        </is>
      </c>
      <c r="D2638" t="n">
        <v>55.68773</v>
      </c>
      <c r="E2638" t="n">
        <v>37.57097</v>
      </c>
      <c r="F2638" t="inlineStr"/>
      <c r="G2638" t="inlineStr"/>
      <c r="H2638" t="inlineStr"/>
    </row>
    <row r="2639">
      <c r="A2639" t="inlineStr">
        <is>
          <t>57140876-82a6-416f-a7a9-23cf16ce2d32.jpg</t>
        </is>
      </c>
      <c r="B2639">
        <f>HYPERLINK("Объекты недвижимости, не соответствующие градостроительным нормам_00-022_Август/57140876-82a6-416f-a7a9-23cf16ce2d32.jpg","open")</f>
        <v/>
      </c>
      <c r="C2639" t="inlineStr">
        <is>
          <t>12e795ad-2aa7-49de-b2da-2c6aa35a4559</t>
        </is>
      </c>
      <c r="D2639" t="n">
        <v>55.68773</v>
      </c>
      <c r="E2639" t="n">
        <v>37.57217</v>
      </c>
      <c r="F2639" t="inlineStr"/>
      <c r="G2639" t="inlineStr"/>
      <c r="H2639" t="inlineStr"/>
    </row>
    <row r="2640">
      <c r="A2640" t="inlineStr">
        <is>
          <t>3f2e80bb-a81a-4840-b643-e25fc09b699b.jpg</t>
        </is>
      </c>
      <c r="B2640">
        <f>HYPERLINK("Объекты недвижимости, не соответствующие градостроительным нормам_00-022_Август/3f2e80bb-a81a-4840-b643-e25fc09b699b.jpg","open")</f>
        <v/>
      </c>
      <c r="C2640" t="inlineStr">
        <is>
          <t>ed2bf0f1-3a66-4913-896e-4420a9796c0b</t>
        </is>
      </c>
      <c r="D2640" t="n">
        <v>55.84747</v>
      </c>
      <c r="E2640" t="n">
        <v>37.38268</v>
      </c>
      <c r="F2640" t="inlineStr"/>
      <c r="G2640" t="inlineStr"/>
      <c r="H2640" t="inlineStr"/>
    </row>
    <row r="2641">
      <c r="A2641" t="inlineStr">
        <is>
          <t>8d1cd4c6-c1ff-476c-a8ba-387b0167c16e.jpg</t>
        </is>
      </c>
      <c r="B2641">
        <f>HYPERLINK("Объекты недвижимости, не соответствующие градостроительным нормам_00-022_Август/8d1cd4c6-c1ff-476c-a8ba-387b0167c16e.jpg","open")</f>
        <v/>
      </c>
      <c r="C2641" t="inlineStr">
        <is>
          <t>12e795ad-2aa7-49de-b2da-2c6aa35a4559</t>
        </is>
      </c>
      <c r="D2641" t="n">
        <v>55.68772</v>
      </c>
      <c r="E2641" t="n">
        <v>37.57255</v>
      </c>
      <c r="F2641" t="inlineStr"/>
      <c r="G2641" t="inlineStr"/>
      <c r="H2641" t="inlineStr"/>
    </row>
    <row r="2642">
      <c r="A2642" t="inlineStr">
        <is>
          <t>7459b006-6584-44fa-951b-ddecab2f43c5.jpg</t>
        </is>
      </c>
      <c r="B2642">
        <f>HYPERLINK("Объекты недвижимости, не соответствующие градостроительным нормам_00-022_Август/7459b006-6584-44fa-951b-ddecab2f43c5.jpg","open")</f>
        <v/>
      </c>
      <c r="C2642" t="inlineStr">
        <is>
          <t>1a55986c-2c3f-40c0-b3d1-014dce77832e</t>
        </is>
      </c>
      <c r="D2642" t="n">
        <v>55.84758</v>
      </c>
      <c r="E2642" t="n">
        <v>37.38242</v>
      </c>
      <c r="F2642" t="inlineStr"/>
      <c r="G2642" t="inlineStr"/>
      <c r="H2642" t="inlineStr"/>
    </row>
    <row r="2643">
      <c r="A2643" t="inlineStr">
        <is>
          <t>783c6cee-594e-4cb3-b806-b246c5ccf51e.jpg</t>
        </is>
      </c>
      <c r="B2643">
        <f>HYPERLINK("Объекты недвижимости, не соответствующие градостроительным нормам_00-022_Август/783c6cee-594e-4cb3-b806-b246c5ccf51e.jpg","open")</f>
        <v/>
      </c>
      <c r="C2643" t="inlineStr">
        <is>
          <t>1a55986c-2c3f-40c0-b3d1-014dce77832e</t>
        </is>
      </c>
      <c r="D2643" t="n">
        <v>55.84769</v>
      </c>
      <c r="E2643" t="n">
        <v>37.38219</v>
      </c>
      <c r="F2643" t="inlineStr"/>
      <c r="G2643" t="inlineStr"/>
      <c r="H2643" t="inlineStr"/>
    </row>
    <row r="2644">
      <c r="A2644" t="inlineStr">
        <is>
          <t>dc02e060-0932-4aac-8719-6244ab038471.jpg</t>
        </is>
      </c>
      <c r="B2644">
        <f>HYPERLINK("Объекты недвижимости, не соответствующие градостроительным нормам_00-022_Август/dc02e060-0932-4aac-8719-6244ab038471.jpg","open")</f>
        <v/>
      </c>
      <c r="C2644" t="inlineStr">
        <is>
          <t>ed2bf0f1-3a66-4913-896e-4420a9796c0b</t>
        </is>
      </c>
      <c r="D2644" t="n">
        <v>55.84769</v>
      </c>
      <c r="E2644" t="n">
        <v>37.3822</v>
      </c>
      <c r="F2644" t="inlineStr"/>
      <c r="G2644" t="inlineStr"/>
      <c r="H2644" t="inlineStr"/>
    </row>
    <row r="2645">
      <c r="A2645" t="inlineStr">
        <is>
          <t>4a7e8a73-182e-46be-824a-aebe9fd628cd.jpg</t>
        </is>
      </c>
      <c r="B2645">
        <f>HYPERLINK("Объекты недвижимости, не соответствующие градостроительным нормам_00-022_Август/4a7e8a73-182e-46be-824a-aebe9fd628cd.jpg","open")</f>
        <v/>
      </c>
      <c r="C2645" t="inlineStr">
        <is>
          <t>ed2bf0f1-3a66-4913-896e-4420a9796c0b</t>
        </is>
      </c>
      <c r="D2645" t="n">
        <v>55.84711</v>
      </c>
      <c r="E2645" t="n">
        <v>37.38242</v>
      </c>
      <c r="F2645" t="inlineStr"/>
      <c r="G2645" t="inlineStr"/>
      <c r="H2645" t="inlineStr"/>
    </row>
    <row r="2646">
      <c r="A2646" t="inlineStr">
        <is>
          <t>a2dcbf0a-7edc-4ba8-ab1e-6b4016145212.jpg</t>
        </is>
      </c>
      <c r="B2646">
        <f>HYPERLINK("Объекты недвижимости, не соответствующие градостроительным нормам_00-022_Август/a2dcbf0a-7edc-4ba8-ab1e-6b4016145212.jpg","open")</f>
        <v/>
      </c>
      <c r="C2646" t="inlineStr">
        <is>
          <t>1a55986c-2c3f-40c0-b3d1-014dce77832e</t>
        </is>
      </c>
      <c r="D2646" t="n">
        <v>55.96768</v>
      </c>
      <c r="E2646" t="n">
        <v>37.40307</v>
      </c>
      <c r="F2646" t="inlineStr"/>
      <c r="G2646" t="inlineStr"/>
      <c r="H2646" t="inlineStr"/>
    </row>
    <row r="2647">
      <c r="A2647" t="inlineStr">
        <is>
          <t>493eca7e-9719-493e-b4e3-122a4a156439.jpg</t>
        </is>
      </c>
      <c r="B2647">
        <f>HYPERLINK("Объекты недвижимости, не соответствующие градостроительным нормам_00-022_Август/493eca7e-9719-493e-b4e3-122a4a156439.jpg","open")</f>
        <v/>
      </c>
      <c r="C2647" t="inlineStr">
        <is>
          <t>ed2bf0f1-3a66-4913-896e-4420a9796c0b</t>
        </is>
      </c>
      <c r="D2647" t="n">
        <v>55.96808</v>
      </c>
      <c r="E2647" t="n">
        <v>37.40244</v>
      </c>
      <c r="F2647" t="inlineStr"/>
      <c r="G2647" t="inlineStr"/>
      <c r="H2647" t="inlineStr"/>
    </row>
    <row r="2648">
      <c r="A2648" t="inlineStr">
        <is>
          <t>d0a41e43-8747-4429-b932-bf2f1da4441a.jpg</t>
        </is>
      </c>
      <c r="B2648">
        <f>HYPERLINK("Объекты недвижимости, не соответствующие градостроительным нормам_00-022_Август/d0a41e43-8747-4429-b932-bf2f1da4441a.jpg","open")</f>
        <v/>
      </c>
      <c r="C2648" t="inlineStr">
        <is>
          <t>cbf95b01-f708-45a3-9ec0-3603469b538e</t>
        </is>
      </c>
      <c r="D2648" t="n">
        <v>55.96513</v>
      </c>
      <c r="E2648" t="n">
        <v>37.42137</v>
      </c>
      <c r="F2648" t="inlineStr"/>
      <c r="G2648" t="inlineStr"/>
      <c r="H2648" t="inlineStr"/>
    </row>
    <row r="2649">
      <c r="A2649" t="inlineStr">
        <is>
          <t>8971e468-33bf-440e-8ad6-748d44e2e934.jpg</t>
        </is>
      </c>
      <c r="B2649">
        <f>HYPERLINK("Объекты недвижимости, не соответствующие градостроительным нормам_00-022_Август/8971e468-33bf-440e-8ad6-748d44e2e934.jpg","open")</f>
        <v/>
      </c>
      <c r="C2649" t="inlineStr">
        <is>
          <t>cbf95b01-f708-45a3-9ec0-3603469b538e</t>
        </is>
      </c>
      <c r="D2649" t="n">
        <v>55.75692</v>
      </c>
      <c r="E2649" t="n">
        <v>37.55144</v>
      </c>
      <c r="F2649" t="inlineStr"/>
      <c r="G2649" t="inlineStr"/>
      <c r="H2649" t="inlineStr"/>
    </row>
    <row r="2650">
      <c r="A2650" t="inlineStr">
        <is>
          <t>7962d17d-f796-4fdd-9274-bcb927c9b5ee.jpg</t>
        </is>
      </c>
      <c r="B2650">
        <f>HYPERLINK("Объекты недвижимости, не соответствующие градостроительным нормам_00-022_Август/7962d17d-f796-4fdd-9274-bcb927c9b5ee.jpg","open")</f>
        <v/>
      </c>
      <c r="C2650" t="inlineStr">
        <is>
          <t>cbf95b01-f708-45a3-9ec0-3603469b538e</t>
        </is>
      </c>
      <c r="D2650" t="n">
        <v>55.7578</v>
      </c>
      <c r="E2650" t="n">
        <v>37.55005</v>
      </c>
      <c r="F2650" t="inlineStr"/>
      <c r="G2650" t="inlineStr"/>
      <c r="H2650" t="inlineStr"/>
    </row>
    <row r="2651">
      <c r="A2651" t="inlineStr">
        <is>
          <t>b1969a01-ae9a-4933-b91d-9540ff6d96df.jpg</t>
        </is>
      </c>
      <c r="B2651">
        <f>HYPERLINK("Объекты недвижимости, не соответствующие градостроительным нормам_00-022_Август/b1969a01-ae9a-4933-b91d-9540ff6d96df.jpg","open")</f>
        <v/>
      </c>
      <c r="C2651" t="inlineStr">
        <is>
          <t>cbf95b01-f708-45a3-9ec0-3603469b538e</t>
        </is>
      </c>
      <c r="D2651" t="n">
        <v>55.75797</v>
      </c>
      <c r="E2651" t="n">
        <v>37.55093</v>
      </c>
      <c r="F2651" t="inlineStr"/>
      <c r="G2651" t="inlineStr"/>
      <c r="H2651" t="inlineStr"/>
    </row>
    <row r="2652">
      <c r="A2652" t="inlineStr">
        <is>
          <t>2bf8db8e-8843-481d-ad69-ba10187cf6e8.jpg</t>
        </is>
      </c>
      <c r="B2652">
        <f>HYPERLINK("Объекты недвижимости, не соответствующие градостроительным нормам_00-022_Август/2bf8db8e-8843-481d-ad69-ba10187cf6e8.jpg","open")</f>
        <v/>
      </c>
      <c r="C2652" t="inlineStr">
        <is>
          <t>b0429a31-0c70-4b9f-8ea5-73929d82f89e</t>
        </is>
      </c>
      <c r="D2652" t="n">
        <v>55.59093</v>
      </c>
      <c r="E2652" t="n">
        <v>37.59065</v>
      </c>
      <c r="F2652" t="inlineStr"/>
      <c r="G2652" t="inlineStr"/>
      <c r="H2652" t="inlineStr"/>
    </row>
    <row r="2653">
      <c r="A2653" t="inlineStr">
        <is>
          <t>3a4237d9-83c6-445e-8ccb-cdbea56aa34f.jpg</t>
        </is>
      </c>
      <c r="B2653">
        <f>HYPERLINK("Объекты недвижимости, не соответствующие градостроительным нормам_00-022_Август/3a4237d9-83c6-445e-8ccb-cdbea56aa34f.jpg","open")</f>
        <v/>
      </c>
      <c r="C2653" t="inlineStr">
        <is>
          <t>cbf95b01-f708-45a3-9ec0-3603469b538e</t>
        </is>
      </c>
      <c r="D2653" t="n">
        <v>55.75808</v>
      </c>
      <c r="E2653" t="n">
        <v>37.55165</v>
      </c>
      <c r="F2653" t="inlineStr"/>
      <c r="G2653" t="inlineStr"/>
      <c r="H2653" t="inlineStr"/>
    </row>
    <row r="2654">
      <c r="A2654" t="inlineStr">
        <is>
          <t>0847617c-72d9-49b2-b314-28537b231633.jpg</t>
        </is>
      </c>
      <c r="B2654">
        <f>HYPERLINK("Объекты недвижимости, не соответствующие градостроительным нормам_00-022_Август/0847617c-72d9-49b2-b314-28537b231633.jpg","open")</f>
        <v/>
      </c>
      <c r="C2654" t="inlineStr">
        <is>
          <t>036c664f-5408-4fd0-b479-342c00468eeb</t>
        </is>
      </c>
      <c r="D2654" t="n">
        <v>55.97058</v>
      </c>
      <c r="E2654" t="n">
        <v>37.43031</v>
      </c>
      <c r="F2654" t="inlineStr"/>
      <c r="G2654" t="inlineStr"/>
      <c r="H2654" t="inlineStr"/>
    </row>
    <row r="2655">
      <c r="A2655" t="inlineStr">
        <is>
          <t>a8d8a05f-e2c9-48de-8edf-e1d4b5e3e7e1.jpg</t>
        </is>
      </c>
      <c r="B2655">
        <f>HYPERLINK("Объекты недвижимости, не соответствующие градостроительным нормам_00-022_Август/a8d8a05f-e2c9-48de-8edf-e1d4b5e3e7e1.jpg","open")</f>
        <v/>
      </c>
      <c r="C2655" t="inlineStr">
        <is>
          <t>a28f597e-d1cd-4d3b-b572-c86d033412e9</t>
        </is>
      </c>
      <c r="D2655" t="n">
        <v>55.97011</v>
      </c>
      <c r="E2655" t="n">
        <v>37.43001</v>
      </c>
      <c r="F2655" t="inlineStr"/>
      <c r="G2655" t="inlineStr"/>
      <c r="H2655" t="inlineStr"/>
    </row>
    <row r="2656">
      <c r="A2656" t="inlineStr">
        <is>
          <t>0e42267a-6ef0-4cc8-a113-529e06fe915b.jpg</t>
        </is>
      </c>
      <c r="B2656">
        <f>HYPERLINK("Объекты недвижимости, не соответствующие градостроительным нормам_00-022_Август/0e42267a-6ef0-4cc8-a113-529e06fe915b.jpg","open")</f>
        <v/>
      </c>
      <c r="C2656" t="inlineStr">
        <is>
          <t>b0429a31-0c70-4b9f-8ea5-73929d82f89e</t>
        </is>
      </c>
      <c r="D2656" t="n">
        <v>55.59171</v>
      </c>
      <c r="E2656" t="n">
        <v>37.59238</v>
      </c>
      <c r="F2656" t="inlineStr"/>
      <c r="G2656" t="inlineStr"/>
      <c r="H2656" t="inlineStr"/>
    </row>
    <row r="2657">
      <c r="A2657" t="inlineStr">
        <is>
          <t>be3a67aa-3b30-44ae-a214-fc96398af11c.jpg</t>
        </is>
      </c>
      <c r="B2657">
        <f>HYPERLINK("Объекты недвижимости, не соответствующие градостроительным нормам_00-022_Август/be3a67aa-3b30-44ae-a214-fc96398af11c.jpg","open")</f>
        <v/>
      </c>
      <c r="C2657" t="inlineStr">
        <is>
          <t>b0429a31-0c70-4b9f-8ea5-73929d82f89e</t>
        </is>
      </c>
      <c r="D2657" t="n">
        <v>55.59154</v>
      </c>
      <c r="E2657" t="n">
        <v>37.59323</v>
      </c>
      <c r="F2657" t="inlineStr"/>
      <c r="G2657" t="inlineStr"/>
      <c r="H2657" t="inlineStr"/>
    </row>
    <row r="2658">
      <c r="A2658" t="inlineStr">
        <is>
          <t>dde4bdc9-83c7-4d84-9ca2-0e741809bc4a.jpg</t>
        </is>
      </c>
      <c r="B2658">
        <f>HYPERLINK("Объекты недвижимости, не соответствующие градостроительным нормам_00-022_Август/dde4bdc9-83c7-4d84-9ca2-0e741809bc4a.jpg","open")</f>
        <v/>
      </c>
      <c r="C2658" t="inlineStr">
        <is>
          <t>b0429a31-0c70-4b9f-8ea5-73929d82f89e</t>
        </is>
      </c>
      <c r="D2658" t="n">
        <v>55.59097</v>
      </c>
      <c r="E2658" t="n">
        <v>37.59153</v>
      </c>
      <c r="F2658" t="inlineStr"/>
      <c r="G2658" t="inlineStr"/>
      <c r="H2658" t="inlineStr"/>
    </row>
    <row r="2659">
      <c r="A2659" t="inlineStr">
        <is>
          <t>96433999-19ba-4763-8e99-666369376ddd.jpg</t>
        </is>
      </c>
      <c r="B2659">
        <f>HYPERLINK("Объекты недвижимости, не соответствующие градостроительным нормам_00-022_Август/96433999-19ba-4763-8e99-666369376ddd.jpg","open")</f>
        <v/>
      </c>
      <c r="C2659" t="inlineStr">
        <is>
          <t>99f3abba-c55b-49f0-9de5-9f88e9597cc0</t>
        </is>
      </c>
      <c r="D2659" t="n">
        <v>55.59099</v>
      </c>
      <c r="E2659" t="n">
        <v>37.59152</v>
      </c>
      <c r="F2659" t="inlineStr"/>
      <c r="G2659" t="inlineStr"/>
      <c r="H2659" t="inlineStr"/>
    </row>
    <row r="2660">
      <c r="A2660" t="inlineStr">
        <is>
          <t>b51e8565-4c62-481f-a89b-73e12b8d5aa2.jpg</t>
        </is>
      </c>
      <c r="B2660">
        <f>HYPERLINK("Объекты недвижимости, не соответствующие градостроительным нормам_00-022_Август/b51e8565-4c62-481f-a89b-73e12b8d5aa2.jpg","open")</f>
        <v/>
      </c>
      <c r="C2660" t="inlineStr">
        <is>
          <t>fce890a6-27da-4062-a046-08262a160ee6</t>
        </is>
      </c>
      <c r="D2660" t="n">
        <v>55.79198</v>
      </c>
      <c r="E2660" t="n">
        <v>37.61329</v>
      </c>
      <c r="F2660" t="inlineStr"/>
      <c r="G2660" t="inlineStr"/>
      <c r="H2660" t="inlineStr"/>
    </row>
    <row r="2661">
      <c r="A2661" t="inlineStr">
        <is>
          <t>c06533f2-88b1-4003-a72f-d372e4f2b131.jpg</t>
        </is>
      </c>
      <c r="B2661">
        <f>HYPERLINK("Объекты недвижимости, не соответствующие градостроительным нормам_00-022_Август/c06533f2-88b1-4003-a72f-d372e4f2b131.jpg","open")</f>
        <v/>
      </c>
      <c r="C2661" t="inlineStr">
        <is>
          <t>b0429a31-0c70-4b9f-8ea5-73929d82f89e</t>
        </is>
      </c>
      <c r="D2661" t="n">
        <v>55.59212</v>
      </c>
      <c r="E2661" t="n">
        <v>37.59288</v>
      </c>
      <c r="F2661" t="inlineStr"/>
      <c r="G2661" t="inlineStr"/>
      <c r="H2661" t="inlineStr"/>
    </row>
    <row r="2662">
      <c r="A2662" t="inlineStr">
        <is>
          <t>2edc1231-8302-4f07-afc3-d044456b5605.jpg</t>
        </is>
      </c>
      <c r="B2662">
        <f>HYPERLINK("Объекты недвижимости, не соответствующие градостроительным нормам_00-022_Август/2edc1231-8302-4f07-afc3-d044456b5605.jpg","open")</f>
        <v/>
      </c>
      <c r="C2662" t="inlineStr">
        <is>
          <t>7b951050-981e-4ccd-816e-e002f271ab6a</t>
        </is>
      </c>
      <c r="D2662" t="n">
        <v>55.78754</v>
      </c>
      <c r="E2662" t="n">
        <v>37.71756</v>
      </c>
      <c r="F2662" t="inlineStr"/>
      <c r="G2662" t="inlineStr"/>
      <c r="H2662" t="inlineStr"/>
    </row>
    <row r="2663">
      <c r="A2663" t="inlineStr">
        <is>
          <t>c318d2f2-c9e6-483b-afb8-43983a8a816c.jpg</t>
        </is>
      </c>
      <c r="B2663">
        <f>HYPERLINK("Объекты недвижимости, не соответствующие градостроительным нормам_00-022_Август/c318d2f2-c9e6-483b-afb8-43983a8a816c.jpg","open")</f>
        <v/>
      </c>
      <c r="C2663" t="inlineStr">
        <is>
          <t>55da50d9-6d31-4c29-a85b-6a228578c6de</t>
        </is>
      </c>
      <c r="D2663" t="n">
        <v>55.71143</v>
      </c>
      <c r="E2663" t="n">
        <v>37.65766</v>
      </c>
      <c r="F2663" t="inlineStr"/>
      <c r="G2663" t="inlineStr"/>
      <c r="H2663" t="inlineStr"/>
    </row>
    <row r="2664">
      <c r="A2664" t="inlineStr">
        <is>
          <t>d55d9662-0412-4d3e-81bf-8fe71b1c22b8.jpg</t>
        </is>
      </c>
      <c r="B2664">
        <f>HYPERLINK("Объекты недвижимости, не соответствующие градостроительным нормам_00-022_Август/d55d9662-0412-4d3e-81bf-8fe71b1c22b8.jpg","open")</f>
        <v/>
      </c>
      <c r="C2664" t="inlineStr">
        <is>
          <t>789f6c51-64ee-4078-b7bd-443af8b8b68a</t>
        </is>
      </c>
      <c r="D2664" t="n">
        <v>55.82376</v>
      </c>
      <c r="E2664" t="n">
        <v>37.59608</v>
      </c>
      <c r="F2664" t="inlineStr"/>
      <c r="G2664" t="inlineStr"/>
      <c r="H2664" t="inlineStr"/>
    </row>
    <row r="2665">
      <c r="A2665" t="inlineStr">
        <is>
          <t>be260114-1de2-4f68-b1c5-6e4f90bda81c.jpg</t>
        </is>
      </c>
      <c r="B2665">
        <f>HYPERLINK("Объекты недвижимости, не соответствующие градостроительным нормам_00-022_Август/be260114-1de2-4f68-b1c5-6e4f90bda81c.jpg","open")</f>
        <v/>
      </c>
      <c r="C2665" t="inlineStr">
        <is>
          <t>1a55986c-2c3f-40c0-b3d1-014dce77832e</t>
        </is>
      </c>
      <c r="D2665" t="n">
        <v>55.8608</v>
      </c>
      <c r="E2665" t="n">
        <v>37.36081</v>
      </c>
      <c r="F2665" t="inlineStr"/>
      <c r="G2665" t="inlineStr"/>
      <c r="H2665" t="inlineStr"/>
    </row>
    <row r="2666">
      <c r="A2666" t="inlineStr">
        <is>
          <t>824e30ad-e869-4aca-a03f-985ff49305f7.jpg</t>
        </is>
      </c>
      <c r="B2666">
        <f>HYPERLINK("Объекты недвижимости, не соответствующие градостроительным нормам_00-022_Август/824e30ad-e869-4aca-a03f-985ff49305f7.jpg","open")</f>
        <v/>
      </c>
      <c r="C2666" t="inlineStr">
        <is>
          <t>31a713a9-b910-424b-b847-e0eaa2f70c70</t>
        </is>
      </c>
      <c r="D2666" t="n">
        <v>55.61978</v>
      </c>
      <c r="E2666" t="n">
        <v>37.2532</v>
      </c>
      <c r="F2666" t="inlineStr"/>
      <c r="G2666" t="inlineStr"/>
      <c r="H2666" t="inlineStr"/>
    </row>
    <row r="2667">
      <c r="A2667" t="inlineStr">
        <is>
          <t>4226428d-2534-4788-a0ea-49eeb44c4672.jpg</t>
        </is>
      </c>
      <c r="B2667">
        <f>HYPERLINK("Объекты недвижимости, не соответствующие градостроительным нормам_00-022_Август/4226428d-2534-4788-a0ea-49eeb44c4672.jpg","open")</f>
        <v/>
      </c>
      <c r="C2667" t="inlineStr">
        <is>
          <t>036c664f-5408-4fd0-b479-342c00468eeb</t>
        </is>
      </c>
      <c r="D2667" t="n">
        <v>55.96888</v>
      </c>
      <c r="E2667" t="n">
        <v>37.429</v>
      </c>
      <c r="F2667" t="inlineStr"/>
      <c r="G2667" t="inlineStr"/>
      <c r="H2667" t="inlineStr"/>
    </row>
    <row r="2668">
      <c r="A2668" t="inlineStr">
        <is>
          <t>639c1faf-b35d-43df-a2fd-7c5df04cb28a.jpg</t>
        </is>
      </c>
      <c r="B2668">
        <f>HYPERLINK("Объекты недвижимости, не соответствующие градостроительным нормам_00-022_Август/639c1faf-b35d-43df-a2fd-7c5df04cb28a.jpg","open")</f>
        <v/>
      </c>
      <c r="C2668" t="inlineStr">
        <is>
          <t>a28f597e-d1cd-4d3b-b572-c86d033412e9</t>
        </is>
      </c>
      <c r="D2668" t="n">
        <v>55.96845</v>
      </c>
      <c r="E2668" t="n">
        <v>37.42851</v>
      </c>
      <c r="F2668" t="inlineStr"/>
      <c r="G2668" t="inlineStr"/>
      <c r="H2668" t="inlineStr"/>
    </row>
    <row r="2669">
      <c r="A2669" t="inlineStr">
        <is>
          <t>8382a2e7-1dd6-47d3-a732-b266241703aa.jpg</t>
        </is>
      </c>
      <c r="B2669">
        <f>HYPERLINK("Объекты недвижимости, не соответствующие градостроительным нормам_00-022_Август/8382a2e7-1dd6-47d3-a732-b266241703aa.jpg","open")</f>
        <v/>
      </c>
      <c r="C2669" t="inlineStr">
        <is>
          <t>a28f597e-d1cd-4d3b-b572-c86d033412e9</t>
        </is>
      </c>
      <c r="D2669" t="n">
        <v>55.97969</v>
      </c>
      <c r="E2669" t="n">
        <v>37.40351</v>
      </c>
      <c r="F2669" t="inlineStr"/>
      <c r="G2669" t="inlineStr"/>
      <c r="H2669" t="inlineStr"/>
    </row>
    <row r="2670">
      <c r="A2670" t="inlineStr">
        <is>
          <t>d4cbb136-0dc2-4d19-9410-279fdcdaf162.jpg</t>
        </is>
      </c>
      <c r="B2670">
        <f>HYPERLINK("Объекты недвижимости, не соответствующие градостроительным нормам_00-022_Август/d4cbb136-0dc2-4d19-9410-279fdcdaf162.jpg","open")</f>
        <v/>
      </c>
      <c r="C2670" t="inlineStr">
        <is>
          <t>036c664f-5408-4fd0-b479-342c00468eeb</t>
        </is>
      </c>
      <c r="D2670" t="n">
        <v>55.98005</v>
      </c>
      <c r="E2670" t="n">
        <v>37.40416</v>
      </c>
      <c r="F2670" t="inlineStr"/>
      <c r="G2670" t="inlineStr"/>
      <c r="H2670" t="inlineStr"/>
    </row>
    <row r="2671">
      <c r="A2671" t="inlineStr">
        <is>
          <t>5a720306-8ca2-49a4-aceb-127fece2668a.jpg</t>
        </is>
      </c>
      <c r="B2671">
        <f>HYPERLINK("Объекты недвижимости, не соответствующие градостроительным нормам_00-022_Август/5a720306-8ca2-49a4-aceb-127fece2668a.jpg","open")</f>
        <v/>
      </c>
      <c r="C2671" t="inlineStr">
        <is>
          <t>acedacc2-0d8b-4fc1-9622-25621a89d071</t>
        </is>
      </c>
      <c r="D2671" t="n">
        <v>55.77722</v>
      </c>
      <c r="E2671" t="n">
        <v>37.81944</v>
      </c>
      <c r="F2671" t="inlineStr"/>
      <c r="G2671" t="inlineStr"/>
      <c r="H2671" t="inlineStr"/>
    </row>
    <row r="2672">
      <c r="A2672" t="inlineStr">
        <is>
          <t>716f2458-1614-4045-8f48-b1e6fa6cb383.jpg</t>
        </is>
      </c>
      <c r="B2672">
        <f>HYPERLINK("Объекты недвижимости, не соответствующие градостроительным нормам_00-022_Август/716f2458-1614-4045-8f48-b1e6fa6cb383.jpg","open")</f>
        <v/>
      </c>
      <c r="C2672" t="inlineStr">
        <is>
          <t>57aae8a4-582b-4309-8045-c8127a9f86ae</t>
        </is>
      </c>
      <c r="D2672" t="n">
        <v>55.77722</v>
      </c>
      <c r="E2672" t="n">
        <v>37.81944</v>
      </c>
      <c r="F2672" t="inlineStr"/>
      <c r="G2672" t="inlineStr"/>
      <c r="H2672" t="inlineStr"/>
    </row>
    <row r="2673">
      <c r="A2673" t="inlineStr">
        <is>
          <t>c4942f25-f383-4d19-bdd9-6988f5d6fb32.jpg</t>
        </is>
      </c>
      <c r="B2673">
        <f>HYPERLINK("Объекты недвижимости, не соответствующие градостроительным нормам_00-022_Август/c4942f25-f383-4d19-bdd9-6988f5d6fb32.jpg","open")</f>
        <v/>
      </c>
      <c r="C2673" t="inlineStr">
        <is>
          <t>a28f597e-d1cd-4d3b-b572-c86d033412e9</t>
        </is>
      </c>
      <c r="D2673" t="n">
        <v>55.98079</v>
      </c>
      <c r="E2673" t="n">
        <v>37.42488</v>
      </c>
      <c r="F2673" t="inlineStr"/>
      <c r="G2673" t="inlineStr"/>
      <c r="H2673" t="inlineStr"/>
    </row>
    <row r="2674">
      <c r="A2674" t="inlineStr">
        <is>
          <t>09c30da6-305f-472b-a146-f3baa81b68c3.jpg</t>
        </is>
      </c>
      <c r="B2674">
        <f>HYPERLINK("Объекты недвижимости, не соответствующие градостроительным нормам_00-022_Август/09c30da6-305f-472b-a146-f3baa81b68c3.jpg","open")</f>
        <v/>
      </c>
      <c r="C2674" t="inlineStr">
        <is>
          <t>036c664f-5408-4fd0-b479-342c00468eeb</t>
        </is>
      </c>
      <c r="D2674" t="n">
        <v>55.98079</v>
      </c>
      <c r="E2674" t="n">
        <v>37.42488</v>
      </c>
      <c r="F2674" t="inlineStr"/>
      <c r="G2674" t="inlineStr"/>
      <c r="H2674" t="inlineStr"/>
    </row>
    <row r="2675">
      <c r="A2675" t="inlineStr">
        <is>
          <t>0a7ff82e-8013-4694-ad99-a2d101f73bd3.jpg</t>
        </is>
      </c>
      <c r="B2675">
        <f>HYPERLINK("Объекты недвижимости, не соответствующие градостроительным нормам_00-022_Август/0a7ff82e-8013-4694-ad99-a2d101f73bd3.jpg","open")</f>
        <v/>
      </c>
      <c r="C2675" t="inlineStr">
        <is>
          <t>29ad9edb-d533-4272-a986-be24eb004851</t>
        </is>
      </c>
      <c r="D2675" t="n">
        <v>55.97924</v>
      </c>
      <c r="E2675" t="n">
        <v>37.42735</v>
      </c>
      <c r="F2675" t="inlineStr"/>
      <c r="G2675" t="inlineStr"/>
      <c r="H2675" t="inlineStr"/>
    </row>
    <row r="2676">
      <c r="A2676" t="inlineStr">
        <is>
          <t>d46c4ca1-53a6-4345-af2e-6c876854e729.jpg</t>
        </is>
      </c>
      <c r="B2676">
        <f>HYPERLINK("Объекты недвижимости, не соответствующие градостроительным нормам_00-022_Август/d46c4ca1-53a6-4345-af2e-6c876854e729.jpg","open")</f>
        <v/>
      </c>
      <c r="C2676" t="inlineStr">
        <is>
          <t>cbf95b01-f708-45a3-9ec0-3603469b538e</t>
        </is>
      </c>
      <c r="D2676" t="n">
        <v>55.77379</v>
      </c>
      <c r="E2676" t="n">
        <v>37.56939</v>
      </c>
      <c r="F2676" t="inlineStr"/>
      <c r="G2676" t="inlineStr"/>
      <c r="H2676" t="inlineStr"/>
    </row>
    <row r="2677">
      <c r="A2677" t="inlineStr">
        <is>
          <t>bbe6a82f-58f9-404e-bc39-e00b7d2d7ba3.jpg</t>
        </is>
      </c>
      <c r="B2677">
        <f>HYPERLINK("Объекты недвижимости, не соответствующие градостроительным нормам_00-022_Август/bbe6a82f-58f9-404e-bc39-e00b7d2d7ba3.jpg","open")</f>
        <v/>
      </c>
      <c r="C2677" t="inlineStr">
        <is>
          <t>1a55986c-2c3f-40c0-b3d1-014dce77832e</t>
        </is>
      </c>
      <c r="D2677" t="n">
        <v>55.86069</v>
      </c>
      <c r="E2677" t="n">
        <v>37.36417</v>
      </c>
      <c r="F2677" t="inlineStr"/>
      <c r="G2677" t="inlineStr"/>
      <c r="H2677" t="inlineStr"/>
    </row>
    <row r="2678">
      <c r="A2678" t="inlineStr">
        <is>
          <t>6855ecd7-31dc-4f08-acee-297e4dc3d4ad.jpg</t>
        </is>
      </c>
      <c r="B2678">
        <f>HYPERLINK("Объекты недвижимости, не соответствующие градостроительным нормам_00-022_Август/6855ecd7-31dc-4f08-acee-297e4dc3d4ad.jpg","open")</f>
        <v/>
      </c>
      <c r="C2678" t="inlineStr">
        <is>
          <t>93848fc8-17e7-4748-9ebc-c7e379e11d2f</t>
        </is>
      </c>
      <c r="D2678" t="n">
        <v>55.65554</v>
      </c>
      <c r="E2678" t="n">
        <v>37.69837</v>
      </c>
      <c r="F2678" t="inlineStr"/>
      <c r="G2678" t="inlineStr"/>
      <c r="H2678" t="inlineStr"/>
    </row>
    <row r="2679">
      <c r="A2679" t="inlineStr">
        <is>
          <t>5a2f11ca-4891-414b-8249-bea129b3b36d.jpg</t>
        </is>
      </c>
      <c r="B2679">
        <f>HYPERLINK("Объекты недвижимости, не соответствующие градостроительным нормам_00-022_Август/5a2f11ca-4891-414b-8249-bea129b3b36d.jpg","open")</f>
        <v/>
      </c>
      <c r="C2679" t="inlineStr">
        <is>
          <t>1a55986c-2c3f-40c0-b3d1-014dce77832e</t>
        </is>
      </c>
      <c r="D2679" t="n">
        <v>55.86089</v>
      </c>
      <c r="E2679" t="n">
        <v>37.36412</v>
      </c>
      <c r="F2679" t="inlineStr"/>
      <c r="G2679" t="inlineStr"/>
      <c r="H2679" t="inlineStr"/>
    </row>
    <row r="2680">
      <c r="A2680" t="inlineStr">
        <is>
          <t>b0e0dbb3-bb04-4f94-8cc9-976c4c84b25a.jpg</t>
        </is>
      </c>
      <c r="B2680">
        <f>HYPERLINK("Объекты недвижимости, не соответствующие градостроительным нормам_00-022_Август/b0e0dbb3-bb04-4f94-8cc9-976c4c84b25a.jpg","open")</f>
        <v/>
      </c>
      <c r="C2680" t="inlineStr">
        <is>
          <t>ed2bf0f1-3a66-4913-896e-4420a9796c0b</t>
        </is>
      </c>
      <c r="D2680" t="n">
        <v>55.86089</v>
      </c>
      <c r="E2680" t="n">
        <v>37.36412</v>
      </c>
      <c r="F2680" t="inlineStr"/>
      <c r="G2680" t="inlineStr"/>
      <c r="H2680" t="inlineStr"/>
    </row>
    <row r="2681">
      <c r="A2681" t="inlineStr">
        <is>
          <t>06ce39ea-6eaa-4855-9935-1b03d6fde3b5.jpg</t>
        </is>
      </c>
      <c r="B2681">
        <f>HYPERLINK("Объекты недвижимости, не соответствующие градостроительным нормам_00-022_Август/06ce39ea-6eaa-4855-9935-1b03d6fde3b5.jpg","open")</f>
        <v/>
      </c>
      <c r="C2681" t="inlineStr">
        <is>
          <t>61936922-4d4b-458e-80ea-6d4c450aa1d5</t>
        </is>
      </c>
      <c r="D2681" t="n">
        <v>55.75946</v>
      </c>
      <c r="E2681" t="n">
        <v>37.41227</v>
      </c>
      <c r="F2681" t="inlineStr"/>
      <c r="G2681" t="inlineStr"/>
      <c r="H2681" t="inlineStr"/>
    </row>
    <row r="2682">
      <c r="A2682" t="inlineStr">
        <is>
          <t>3f709520-3d0e-4d77-84fe-32328d339c67.jpg</t>
        </is>
      </c>
      <c r="B2682">
        <f>HYPERLINK("Объекты недвижимости, не соответствующие градостроительным нормам_00-022_Август/3f709520-3d0e-4d77-84fe-32328d339c67.jpg","open")</f>
        <v/>
      </c>
      <c r="C2682" t="inlineStr">
        <is>
          <t>a1a9db89-3f74-42ef-8fad-ad69705102cd</t>
        </is>
      </c>
      <c r="D2682" t="n">
        <v>55.77337</v>
      </c>
      <c r="E2682" t="n">
        <v>37.57112</v>
      </c>
      <c r="F2682" t="inlineStr"/>
      <c r="G2682" t="inlineStr"/>
      <c r="H2682" t="inlineStr"/>
    </row>
    <row r="2683">
      <c r="A2683" t="inlineStr">
        <is>
          <t>bd4567a0-c7bb-45df-b0e8-33d2c35281f2.jpg</t>
        </is>
      </c>
      <c r="B2683">
        <f>HYPERLINK("Объекты недвижимости, не соответствующие градостроительным нормам_00-022_Август/bd4567a0-c7bb-45df-b0e8-33d2c35281f2.jpg","open")</f>
        <v/>
      </c>
      <c r="C2683" t="inlineStr">
        <is>
          <t>a1a9db89-3f74-42ef-8fad-ad69705102cd</t>
        </is>
      </c>
      <c r="D2683" t="n">
        <v>55.77337</v>
      </c>
      <c r="E2683" t="n">
        <v>37.57112</v>
      </c>
      <c r="F2683" t="inlineStr"/>
      <c r="G2683" t="inlineStr"/>
      <c r="H2683" t="inlineStr"/>
    </row>
    <row r="2684">
      <c r="A2684" t="inlineStr">
        <is>
          <t>48619dc9-8dc4-4b59-a948-8981802830fe.jpg</t>
        </is>
      </c>
      <c r="B2684">
        <f>HYPERLINK("Объекты недвижимости, не соответствующие градостроительным нормам_00-022_Август/48619dc9-8dc4-4b59-a948-8981802830fe.jpg","open")</f>
        <v/>
      </c>
      <c r="C2684" t="inlineStr">
        <is>
          <t>a1a9db89-3f74-42ef-8fad-ad69705102cd</t>
        </is>
      </c>
      <c r="D2684" t="n">
        <v>55.77337</v>
      </c>
      <c r="E2684" t="n">
        <v>37.57112</v>
      </c>
      <c r="F2684" t="inlineStr"/>
      <c r="G2684" t="inlineStr"/>
      <c r="H2684" t="inlineStr"/>
    </row>
    <row r="2685">
      <c r="A2685" t="inlineStr">
        <is>
          <t>7609df62-526f-4c5a-87bd-9dee4ecfc744.jpg</t>
        </is>
      </c>
      <c r="B2685">
        <f>HYPERLINK("Объекты недвижимости, не соответствующие градостроительным нормам_00-022_Август/7609df62-526f-4c5a-87bd-9dee4ecfc744.jpg","open")</f>
        <v/>
      </c>
      <c r="C2685" t="inlineStr">
        <is>
          <t>a1a9db89-3f74-42ef-8fad-ad69705102cd</t>
        </is>
      </c>
      <c r="D2685" t="n">
        <v>55.77337</v>
      </c>
      <c r="E2685" t="n">
        <v>37.57112</v>
      </c>
      <c r="F2685" t="inlineStr"/>
      <c r="G2685" t="inlineStr"/>
      <c r="H2685" t="inlineStr"/>
    </row>
    <row r="2686">
      <c r="A2686" t="inlineStr">
        <is>
          <t>c26e3ab9-14d2-4328-9ef3-3d90bd5a35c9.jpg</t>
        </is>
      </c>
      <c r="B2686">
        <f>HYPERLINK("Объекты недвижимости, не соответствующие градостроительным нормам_00-022_Август/c26e3ab9-14d2-4328-9ef3-3d90bd5a35c9.jpg","open")</f>
        <v/>
      </c>
      <c r="C2686" t="inlineStr">
        <is>
          <t>a1a9db89-3f74-42ef-8fad-ad69705102cd</t>
        </is>
      </c>
      <c r="D2686" t="n">
        <v>55.77337</v>
      </c>
      <c r="E2686" t="n">
        <v>37.57112</v>
      </c>
      <c r="F2686" t="inlineStr"/>
      <c r="G2686" t="inlineStr"/>
      <c r="H2686" t="inlineStr"/>
    </row>
    <row r="2687">
      <c r="A2687" t="inlineStr">
        <is>
          <t>59107680-cb3f-417c-ba4a-660cfb4ea513.jpg</t>
        </is>
      </c>
      <c r="B2687">
        <f>HYPERLINK("Объекты недвижимости, не соответствующие градостроительным нормам_00-022_Август/59107680-cb3f-417c-ba4a-660cfb4ea513.jpg","open")</f>
        <v/>
      </c>
      <c r="C2687" t="inlineStr">
        <is>
          <t>a1a9db89-3f74-42ef-8fad-ad69705102cd</t>
        </is>
      </c>
      <c r="D2687" t="n">
        <v>55.77337</v>
      </c>
      <c r="E2687" t="n">
        <v>37.57112</v>
      </c>
      <c r="F2687" t="inlineStr"/>
      <c r="G2687" t="inlineStr"/>
      <c r="H2687" t="inlineStr"/>
    </row>
    <row r="2688">
      <c r="A2688" t="inlineStr">
        <is>
          <t>515b52e2-bf9c-4e3d-8b37-5947ce0a4822.jpg</t>
        </is>
      </c>
      <c r="B2688">
        <f>HYPERLINK("Объекты недвижимости, не соответствующие градостроительным нормам_00-022_Август/515b52e2-bf9c-4e3d-8b37-5947ce0a4822.jpg","open")</f>
        <v/>
      </c>
      <c r="C2688" t="inlineStr">
        <is>
          <t>9fb3d110-951f-48da-9d90-cfd7e1b5800d</t>
        </is>
      </c>
      <c r="D2688" t="n">
        <v>55.7594</v>
      </c>
      <c r="E2688" t="n">
        <v>37.41251</v>
      </c>
      <c r="F2688" t="inlineStr"/>
      <c r="G2688" t="inlineStr"/>
      <c r="H2688" t="inlineStr"/>
    </row>
    <row r="2689">
      <c r="A2689" t="inlineStr">
        <is>
          <t>7df63fd2-cebc-4fd4-984c-24fd6ff9557a.jpg</t>
        </is>
      </c>
      <c r="B2689">
        <f>HYPERLINK("Объекты недвижимости, не соответствующие градостроительным нормам_00-022_Август/7df63fd2-cebc-4fd4-984c-24fd6ff9557a.jpg","open")</f>
        <v/>
      </c>
      <c r="C2689" t="inlineStr">
        <is>
          <t>a1a9db89-3f74-42ef-8fad-ad69705102cd</t>
        </is>
      </c>
      <c r="D2689" t="n">
        <v>55.77337</v>
      </c>
      <c r="E2689" t="n">
        <v>37.57112</v>
      </c>
      <c r="F2689" t="inlineStr"/>
      <c r="G2689" t="inlineStr"/>
      <c r="H2689" t="inlineStr"/>
    </row>
    <row r="2690">
      <c r="A2690" t="inlineStr">
        <is>
          <t>44a195e0-ef56-4d25-87b9-ff58ff44b752.jpg</t>
        </is>
      </c>
      <c r="B2690">
        <f>HYPERLINK("Объекты недвижимости, не соответствующие градостроительным нормам_00-022_Август/44a195e0-ef56-4d25-87b9-ff58ff44b752.jpg","open")</f>
        <v/>
      </c>
      <c r="C2690" t="inlineStr">
        <is>
          <t>cbf95b01-f708-45a3-9ec0-3603469b538e</t>
        </is>
      </c>
      <c r="D2690" t="n">
        <v>55.77337</v>
      </c>
      <c r="E2690" t="n">
        <v>37.57112</v>
      </c>
      <c r="F2690" t="inlineStr"/>
      <c r="G2690" t="inlineStr"/>
      <c r="H2690" t="inlineStr"/>
    </row>
    <row r="2691">
      <c r="A2691" t="inlineStr">
        <is>
          <t>9f773f3f-cdfe-4324-b61f-923aa33f25f6.jpg</t>
        </is>
      </c>
      <c r="B2691">
        <f>HYPERLINK("Объекты недвижимости, не соответствующие градостроительным нормам_00-022_Август/9f773f3f-cdfe-4324-b61f-923aa33f25f6.jpg","open")</f>
        <v/>
      </c>
      <c r="C2691" t="inlineStr">
        <is>
          <t>cbf95b01-f708-45a3-9ec0-3603469b538e</t>
        </is>
      </c>
      <c r="D2691" t="n">
        <v>55.77337</v>
      </c>
      <c r="E2691" t="n">
        <v>37.57112</v>
      </c>
      <c r="F2691" t="inlineStr"/>
      <c r="G2691" t="inlineStr"/>
      <c r="H2691" t="inlineStr"/>
    </row>
    <row r="2692">
      <c r="A2692" t="inlineStr">
        <is>
          <t>f093c831-41c5-4b1a-8007-54b7a9a18fcb.jpg</t>
        </is>
      </c>
      <c r="B2692">
        <f>HYPERLINK("Объекты недвижимости, не соответствующие градостроительным нормам_00-022_Август/f093c831-41c5-4b1a-8007-54b7a9a18fcb.jpg","open")</f>
        <v/>
      </c>
      <c r="C2692" t="inlineStr">
        <is>
          <t>a1a9db89-3f74-42ef-8fad-ad69705102cd</t>
        </is>
      </c>
      <c r="D2692" t="n">
        <v>55.77337</v>
      </c>
      <c r="E2692" t="n">
        <v>37.57112</v>
      </c>
      <c r="F2692" t="inlineStr"/>
      <c r="G2692" t="inlineStr"/>
      <c r="H2692" t="inlineStr"/>
    </row>
    <row r="2693">
      <c r="A2693" t="inlineStr">
        <is>
          <t>10577808-5c45-4098-8ad7-10c0c4cc3685.jpg</t>
        </is>
      </c>
      <c r="B2693">
        <f>HYPERLINK("Объекты недвижимости, не соответствующие градостроительным нормам_00-022_Август/10577808-5c45-4098-8ad7-10c0c4cc3685.jpg","open")</f>
        <v/>
      </c>
      <c r="C2693" t="inlineStr">
        <is>
          <t>cbf95b01-f708-45a3-9ec0-3603469b538e</t>
        </is>
      </c>
      <c r="D2693" t="n">
        <v>55.77337</v>
      </c>
      <c r="E2693" t="n">
        <v>37.57112</v>
      </c>
      <c r="F2693" t="inlineStr"/>
      <c r="G2693" t="inlineStr"/>
      <c r="H2693" t="inlineStr"/>
    </row>
    <row r="2694">
      <c r="A2694" t="inlineStr">
        <is>
          <t>7e07d46b-b891-4204-afbe-5c5a18fe25bf.jpg</t>
        </is>
      </c>
      <c r="B2694">
        <f>HYPERLINK("Объекты недвижимости, не соответствующие градостроительным нормам_00-022_Август/7e07d46b-b891-4204-afbe-5c5a18fe25bf.jpg","open")</f>
        <v/>
      </c>
      <c r="C2694" t="inlineStr">
        <is>
          <t>cbf95b01-f708-45a3-9ec0-3603469b538e</t>
        </is>
      </c>
      <c r="D2694" t="n">
        <v>55.77337</v>
      </c>
      <c r="E2694" t="n">
        <v>37.57112</v>
      </c>
      <c r="F2694" t="inlineStr"/>
      <c r="G2694" t="inlineStr"/>
      <c r="H2694" t="inlineStr"/>
    </row>
    <row r="2695">
      <c r="A2695" t="inlineStr">
        <is>
          <t>c3dd8382-ea78-4caf-bdfa-76dc0e2cb471.jpg</t>
        </is>
      </c>
      <c r="B2695">
        <f>HYPERLINK("Объекты недвижимости, не соответствующие градостроительным нормам_00-022_Август/c3dd8382-ea78-4caf-bdfa-76dc0e2cb471.jpg","open")</f>
        <v/>
      </c>
      <c r="C2695" t="inlineStr">
        <is>
          <t>a1a9db89-3f74-42ef-8fad-ad69705102cd</t>
        </is>
      </c>
      <c r="D2695" t="n">
        <v>55.77337</v>
      </c>
      <c r="E2695" t="n">
        <v>37.57112</v>
      </c>
      <c r="F2695" t="inlineStr"/>
      <c r="G2695" t="inlineStr"/>
      <c r="H2695" t="inlineStr"/>
    </row>
    <row r="2696">
      <c r="A2696" t="inlineStr">
        <is>
          <t>3af4c05f-c228-400e-be9f-64d266360f1f.jpg</t>
        </is>
      </c>
      <c r="B2696">
        <f>HYPERLINK("Объекты недвижимости, не соответствующие градостроительным нормам_00-022_Август/3af4c05f-c228-400e-be9f-64d266360f1f.jpg","open")</f>
        <v/>
      </c>
      <c r="C2696" t="inlineStr">
        <is>
          <t>cbf95b01-f708-45a3-9ec0-3603469b538e</t>
        </is>
      </c>
      <c r="D2696" t="n">
        <v>55.77337</v>
      </c>
      <c r="E2696" t="n">
        <v>37.57112</v>
      </c>
      <c r="F2696" t="inlineStr"/>
      <c r="G2696" t="inlineStr"/>
      <c r="H2696" t="inlineStr"/>
    </row>
    <row r="2697">
      <c r="A2697" t="inlineStr">
        <is>
          <t>2c4e9b9e-8d3d-47c4-a5a3-3a8f2200c2ce.jpg</t>
        </is>
      </c>
      <c r="B2697">
        <f>HYPERLINK("Объекты недвижимости, не соответствующие градостроительным нормам_00-022_Август/2c4e9b9e-8d3d-47c4-a5a3-3a8f2200c2ce.jpg","open")</f>
        <v/>
      </c>
      <c r="C2697" t="inlineStr">
        <is>
          <t>cbf95b01-f708-45a3-9ec0-3603469b538e</t>
        </is>
      </c>
      <c r="D2697" t="n">
        <v>55.77337</v>
      </c>
      <c r="E2697" t="n">
        <v>37.57112</v>
      </c>
      <c r="F2697" t="inlineStr"/>
      <c r="G2697" t="inlineStr"/>
      <c r="H2697" t="inlineStr"/>
    </row>
    <row r="2698">
      <c r="A2698" t="inlineStr">
        <is>
          <t>c29ec831-4d8d-403c-a5ae-671bb0bcc1af.jpg</t>
        </is>
      </c>
      <c r="B2698">
        <f>HYPERLINK("Объекты недвижимости, не соответствующие градостроительным нормам_00-022_Август/c29ec831-4d8d-403c-a5ae-671bb0bcc1af.jpg","open")</f>
        <v/>
      </c>
      <c r="C2698" t="inlineStr">
        <is>
          <t>cbf95b01-f708-45a3-9ec0-3603469b538e</t>
        </is>
      </c>
      <c r="D2698" t="n">
        <v>55.77337</v>
      </c>
      <c r="E2698" t="n">
        <v>37.57112</v>
      </c>
      <c r="F2698" t="inlineStr"/>
      <c r="G2698" t="inlineStr"/>
      <c r="H2698" t="inlineStr"/>
    </row>
    <row r="2699">
      <c r="A2699" t="inlineStr">
        <is>
          <t>c1ab507a-bb36-4e3b-9535-d9dd1c25f222.jpg</t>
        </is>
      </c>
      <c r="B2699">
        <f>HYPERLINK("Объекты недвижимости, не соответствующие градостроительным нормам_00-022_Август/c1ab507a-bb36-4e3b-9535-d9dd1c25f222.jpg","open")</f>
        <v/>
      </c>
      <c r="C2699" t="inlineStr">
        <is>
          <t>cbf95b01-f708-45a3-9ec0-3603469b538e</t>
        </is>
      </c>
      <c r="D2699" t="n">
        <v>55.77337</v>
      </c>
      <c r="E2699" t="n">
        <v>37.57112</v>
      </c>
      <c r="F2699" t="inlineStr"/>
      <c r="G2699" t="inlineStr"/>
      <c r="H2699" t="inlineStr"/>
    </row>
    <row r="2700">
      <c r="A2700" t="inlineStr">
        <is>
          <t>ede36cd1-4bad-49cb-81c6-ad87323799ef.jpg</t>
        </is>
      </c>
      <c r="B2700">
        <f>HYPERLINK("Объекты недвижимости, не соответствующие градостроительным нормам_00-022_Август/ede36cd1-4bad-49cb-81c6-ad87323799ef.jpg","open")</f>
        <v/>
      </c>
      <c r="C2700" t="inlineStr">
        <is>
          <t>a1a9db89-3f74-42ef-8fad-ad69705102cd</t>
        </is>
      </c>
      <c r="D2700" t="n">
        <v>55.77337</v>
      </c>
      <c r="E2700" t="n">
        <v>37.57112</v>
      </c>
      <c r="F2700" t="inlineStr"/>
      <c r="G2700" t="inlineStr"/>
      <c r="H2700" t="inlineStr"/>
    </row>
    <row r="2701">
      <c r="A2701" t="inlineStr">
        <is>
          <t>83617bad-84b1-4ab5-a059-211d72131349.jpg</t>
        </is>
      </c>
      <c r="B2701">
        <f>HYPERLINK("Объекты недвижимости, не соответствующие градостроительным нормам_00-022_Август/83617bad-84b1-4ab5-a059-211d72131349.jpg","open")</f>
        <v/>
      </c>
      <c r="C2701" t="inlineStr">
        <is>
          <t>cbf95b01-f708-45a3-9ec0-3603469b538e</t>
        </is>
      </c>
      <c r="D2701" t="n">
        <v>55.77337</v>
      </c>
      <c r="E2701" t="n">
        <v>37.57112</v>
      </c>
      <c r="F2701" t="inlineStr"/>
      <c r="G2701" t="inlineStr"/>
      <c r="H2701" t="inlineStr"/>
    </row>
    <row r="2702">
      <c r="A2702" t="inlineStr">
        <is>
          <t>890c7f82-c9d8-43f4-8923-fc91f41da9cf.jpg</t>
        </is>
      </c>
      <c r="B2702">
        <f>HYPERLINK("Объекты недвижимости, не соответствующие градостроительным нормам_00-022_Август/890c7f82-c9d8-43f4-8923-fc91f41da9cf.jpg","open")</f>
        <v/>
      </c>
      <c r="C2702" t="inlineStr">
        <is>
          <t>a1a9db89-3f74-42ef-8fad-ad69705102cd</t>
        </is>
      </c>
      <c r="D2702" t="n">
        <v>55.77337</v>
      </c>
      <c r="E2702" t="n">
        <v>37.57112</v>
      </c>
      <c r="F2702" t="inlineStr"/>
      <c r="G2702" t="inlineStr"/>
      <c r="H2702" t="inlineStr"/>
    </row>
    <row r="2703">
      <c r="A2703" t="inlineStr">
        <is>
          <t>630f8ccc-9143-40db-b8b5-ac9fe3fa3422.jpg</t>
        </is>
      </c>
      <c r="B2703">
        <f>HYPERLINK("Объекты недвижимости, не соответствующие градостроительным нормам_00-022_Август/630f8ccc-9143-40db-b8b5-ac9fe3fa3422.jpg","open")</f>
        <v/>
      </c>
      <c r="C2703" t="inlineStr">
        <is>
          <t>cbf95b01-f708-45a3-9ec0-3603469b538e</t>
        </is>
      </c>
      <c r="D2703" t="n">
        <v>55.77337</v>
      </c>
      <c r="E2703" t="n">
        <v>37.57112</v>
      </c>
      <c r="F2703" t="inlineStr"/>
      <c r="G2703" t="inlineStr"/>
      <c r="H2703" t="inlineStr"/>
    </row>
    <row r="2704">
      <c r="A2704" t="inlineStr">
        <is>
          <t>41d00e4b-364b-41db-b3dd-856db24f24bf.jpg</t>
        </is>
      </c>
      <c r="B2704">
        <f>HYPERLINK("Объекты недвижимости, не соответствующие градостроительным нормам_00-022_Август/41d00e4b-364b-41db-b3dd-856db24f24bf.jpg","open")</f>
        <v/>
      </c>
      <c r="C2704" t="inlineStr">
        <is>
          <t>cbf95b01-f708-45a3-9ec0-3603469b538e</t>
        </is>
      </c>
      <c r="D2704" t="n">
        <v>55.77337</v>
      </c>
      <c r="E2704" t="n">
        <v>37.57112</v>
      </c>
      <c r="F2704" t="inlineStr"/>
      <c r="G2704" t="inlineStr"/>
      <c r="H2704" t="inlineStr"/>
    </row>
    <row r="2705">
      <c r="A2705" t="inlineStr">
        <is>
          <t>629f8b93-7fde-46cd-99b6-57d55060b203.jpg</t>
        </is>
      </c>
      <c r="B2705">
        <f>HYPERLINK("Объекты недвижимости, не соответствующие градостроительным нормам_00-022_Август/629f8b93-7fde-46cd-99b6-57d55060b203.jpg","open")</f>
        <v/>
      </c>
      <c r="C2705" t="inlineStr">
        <is>
          <t>a1a9db89-3f74-42ef-8fad-ad69705102cd</t>
        </is>
      </c>
      <c r="D2705" t="n">
        <v>55.77337</v>
      </c>
      <c r="E2705" t="n">
        <v>37.57112</v>
      </c>
      <c r="F2705" t="inlineStr"/>
      <c r="G2705" t="inlineStr"/>
      <c r="H2705" t="inlineStr"/>
    </row>
    <row r="2706">
      <c r="A2706" t="inlineStr">
        <is>
          <t>2a78bf14-d9de-475d-8ce7-de5b3325cd31.jpg</t>
        </is>
      </c>
      <c r="B2706">
        <f>HYPERLINK("Объекты недвижимости, не соответствующие градостроительным нормам_00-022_Август/2a78bf14-d9de-475d-8ce7-de5b3325cd31.jpg","open")</f>
        <v/>
      </c>
      <c r="C2706" t="inlineStr">
        <is>
          <t>cbf95b01-f708-45a3-9ec0-3603469b538e</t>
        </is>
      </c>
      <c r="D2706" t="n">
        <v>55.77337</v>
      </c>
      <c r="E2706" t="n">
        <v>37.57112</v>
      </c>
      <c r="F2706" t="inlineStr"/>
      <c r="G2706" t="inlineStr"/>
      <c r="H2706" t="inlineStr"/>
    </row>
    <row r="2707">
      <c r="A2707" t="inlineStr">
        <is>
          <t>624ed684-fae0-4fc1-8602-7d3fa6ed4c62.jpg</t>
        </is>
      </c>
      <c r="B2707">
        <f>HYPERLINK("Объекты недвижимости, не соответствующие градостроительным нормам_00-022_Август/624ed684-fae0-4fc1-8602-7d3fa6ed4c62.jpg","open")</f>
        <v/>
      </c>
      <c r="C2707" t="inlineStr">
        <is>
          <t>a1a9db89-3f74-42ef-8fad-ad69705102cd</t>
        </is>
      </c>
      <c r="D2707" t="n">
        <v>55.77337</v>
      </c>
      <c r="E2707" t="n">
        <v>37.57112</v>
      </c>
      <c r="F2707" t="inlineStr"/>
      <c r="G2707" t="inlineStr"/>
      <c r="H2707" t="inlineStr"/>
    </row>
    <row r="2708">
      <c r="A2708" t="inlineStr">
        <is>
          <t>deb2472c-ff59-48ea-be5e-da86170e68e3.jpg</t>
        </is>
      </c>
      <c r="B2708">
        <f>HYPERLINK("Объекты недвижимости, не соответствующие градостроительным нормам_00-022_Август/deb2472c-ff59-48ea-be5e-da86170e68e3.jpg","open")</f>
        <v/>
      </c>
      <c r="C2708" t="inlineStr">
        <is>
          <t>cbf95b01-f708-45a3-9ec0-3603469b538e</t>
        </is>
      </c>
      <c r="D2708" t="n">
        <v>55.77337</v>
      </c>
      <c r="E2708" t="n">
        <v>37.57112</v>
      </c>
      <c r="F2708" t="inlineStr"/>
      <c r="G2708" t="inlineStr"/>
      <c r="H2708" t="inlineStr"/>
    </row>
    <row r="2709">
      <c r="A2709" t="inlineStr">
        <is>
          <t>31a26e9f-faed-4775-a947-3a826918f974.jpg</t>
        </is>
      </c>
      <c r="B2709">
        <f>HYPERLINK("Объекты недвижимости, не соответствующие градостроительным нормам_00-022_Август/31a26e9f-faed-4775-a947-3a826918f974.jpg","open")</f>
        <v/>
      </c>
      <c r="C2709" t="inlineStr">
        <is>
          <t>caa4772d-6278-4484-a046-ee25514bf521</t>
        </is>
      </c>
      <c r="D2709" t="n">
        <v>55.59966</v>
      </c>
      <c r="E2709" t="n">
        <v>37.73549</v>
      </c>
      <c r="F2709" t="inlineStr"/>
      <c r="G2709" t="inlineStr"/>
      <c r="H2709" t="inlineStr"/>
    </row>
    <row r="2710">
      <c r="A2710" t="inlineStr">
        <is>
          <t>3282521d-d0b4-4748-b06a-afbc55f217e9.jpg</t>
        </is>
      </c>
      <c r="B2710">
        <f>HYPERLINK("Объекты недвижимости, не соответствующие градостроительным нормам_00-022_Август/3282521d-d0b4-4748-b06a-afbc55f217e9.jpg","open")</f>
        <v/>
      </c>
      <c r="C2710" t="inlineStr">
        <is>
          <t>ed2bf0f1-3a66-4913-896e-4420a9796c0b</t>
        </is>
      </c>
      <c r="D2710" t="n">
        <v>55.86151</v>
      </c>
      <c r="E2710" t="n">
        <v>37.36255</v>
      </c>
      <c r="F2710" t="inlineStr"/>
      <c r="G2710" t="inlineStr"/>
      <c r="H2710" t="inlineStr"/>
    </row>
    <row r="2711">
      <c r="A2711" t="inlineStr">
        <is>
          <t>fe42e26c-49d6-4754-9924-18cd61d93014.jpg</t>
        </is>
      </c>
      <c r="B2711">
        <f>HYPERLINK("Объекты недвижимости, не соответствующие градостроительным нормам_00-022_Август/fe42e26c-49d6-4754-9924-18cd61d93014.jpg","open")</f>
        <v/>
      </c>
      <c r="C2711" t="inlineStr">
        <is>
          <t>e26f5fc2-1353-4f29-85f3-87c56419161c</t>
        </is>
      </c>
      <c r="D2711" t="n">
        <v>55.75699</v>
      </c>
      <c r="E2711" t="n">
        <v>37.6651</v>
      </c>
      <c r="F2711" t="inlineStr"/>
      <c r="G2711" t="inlineStr"/>
      <c r="H2711" t="inlineStr"/>
    </row>
    <row r="2712">
      <c r="A2712" t="inlineStr">
        <is>
          <t>bcc8e291-9be8-4bd3-acdb-568df60f03a6.jpg</t>
        </is>
      </c>
      <c r="B2712">
        <f>HYPERLINK("Объекты недвижимости, не соответствующие градостроительным нормам_00-022_Август/bcc8e291-9be8-4bd3-acdb-568df60f03a6.jpg","open")</f>
        <v/>
      </c>
      <c r="C2712" t="inlineStr">
        <is>
          <t>31a713a9-b910-424b-b847-e0eaa2f70c70</t>
        </is>
      </c>
      <c r="D2712" t="n">
        <v>55.61483</v>
      </c>
      <c r="E2712" t="n">
        <v>37.25587</v>
      </c>
      <c r="F2712" t="inlineStr"/>
      <c r="G2712" t="inlineStr"/>
      <c r="H2712" t="inlineStr"/>
    </row>
    <row r="2713">
      <c r="A2713" t="inlineStr">
        <is>
          <t>bf336f79-3ba7-4bec-8193-7860e6db45f9.jpg</t>
        </is>
      </c>
      <c r="B2713">
        <f>HYPERLINK("Объекты недвижимости, не соответствующие градостроительным нормам_00-022_Август/bf336f79-3ba7-4bec-8193-7860e6db45f9.jpg","open")</f>
        <v/>
      </c>
      <c r="C2713" t="inlineStr">
        <is>
          <t>4cd87d14-7440-44b7-a5b2-a738e10006f7</t>
        </is>
      </c>
      <c r="D2713" t="n">
        <v>55.75536</v>
      </c>
      <c r="E2713" t="n">
        <v>37.66468</v>
      </c>
      <c r="F2713" t="inlineStr"/>
      <c r="G2713" t="inlineStr"/>
      <c r="H2713" t="inlineStr"/>
    </row>
    <row r="2714">
      <c r="A2714" t="inlineStr">
        <is>
          <t>7c6e7902-dedd-43cd-91fc-beca34f33370.jpg</t>
        </is>
      </c>
      <c r="B2714">
        <f>HYPERLINK("Объекты недвижимости, не соответствующие градостроительным нормам_00-022_Август/7c6e7902-dedd-43cd-91fc-beca34f33370.jpg","open")</f>
        <v/>
      </c>
      <c r="C2714" t="inlineStr">
        <is>
          <t>e26f5fc2-1353-4f29-85f3-87c56419161c</t>
        </is>
      </c>
      <c r="D2714" t="n">
        <v>55.75495</v>
      </c>
      <c r="E2714" t="n">
        <v>37.66443</v>
      </c>
      <c r="F2714" t="inlineStr"/>
      <c r="G2714" t="inlineStr"/>
      <c r="H2714" t="inlineStr"/>
    </row>
    <row r="2715">
      <c r="A2715" t="inlineStr">
        <is>
          <t>0dd41f2f-0db3-423f-9772-895a0f1611c2.jpg</t>
        </is>
      </c>
      <c r="B2715">
        <f>HYPERLINK("Объекты недвижимости, не соответствующие градостроительным нормам_00-022_Август/0dd41f2f-0db3-423f-9772-895a0f1611c2.jpg","open")</f>
        <v/>
      </c>
      <c r="C2715" t="inlineStr">
        <is>
          <t>e26f5fc2-1353-4f29-85f3-87c56419161c</t>
        </is>
      </c>
      <c r="D2715" t="n">
        <v>55.73001</v>
      </c>
      <c r="E2715" t="n">
        <v>37.64991</v>
      </c>
      <c r="F2715" t="inlineStr"/>
      <c r="G2715" t="inlineStr"/>
      <c r="H2715" t="inlineStr"/>
    </row>
    <row r="2716">
      <c r="A2716" t="inlineStr">
        <is>
          <t>709a8587-fe77-4a6b-8bba-b6e9ff18228b.jpg</t>
        </is>
      </c>
      <c r="B2716">
        <f>HYPERLINK("Объекты недвижимости, не соответствующие градостроительным нормам_00-022_Август/709a8587-fe77-4a6b-8bba-b6e9ff18228b.jpg","open")</f>
        <v/>
      </c>
      <c r="C2716" t="inlineStr">
        <is>
          <t>f60286ac-55e7-4099-85bd-cc599a7a0c65</t>
        </is>
      </c>
      <c r="D2716" t="n">
        <v>55.79683</v>
      </c>
      <c r="E2716" t="n">
        <v>37.68983</v>
      </c>
      <c r="F2716" t="inlineStr"/>
      <c r="G2716" t="inlineStr"/>
      <c r="H2716" t="inlineStr"/>
    </row>
    <row r="2717">
      <c r="A2717" t="inlineStr">
        <is>
          <t>69f77c89-06ae-4746-9044-60b901ba2119.jpg</t>
        </is>
      </c>
      <c r="B2717">
        <f>HYPERLINK("Объекты недвижимости, не соответствующие градостроительным нормам_00-022_Август/69f77c89-06ae-4746-9044-60b901ba2119.jpg","open")</f>
        <v/>
      </c>
      <c r="C2717" t="inlineStr">
        <is>
          <t>750bf7e4-0f0f-4f1a-96af-607dc8c1f1c9</t>
        </is>
      </c>
      <c r="D2717" t="n">
        <v>55.61144</v>
      </c>
      <c r="E2717" t="n">
        <v>37.25307</v>
      </c>
      <c r="F2717" t="inlineStr"/>
      <c r="G2717" t="inlineStr"/>
      <c r="H2717" t="inlineStr"/>
    </row>
    <row r="2718">
      <c r="A2718" t="inlineStr">
        <is>
          <t>8abc73b6-5df0-49cd-9a1c-8325d9729908.jpg</t>
        </is>
      </c>
      <c r="B2718">
        <f>HYPERLINK("Объекты недвижимости, не соответствующие градостроительным нормам_00-022_Август/8abc73b6-5df0-49cd-9a1c-8325d9729908.jpg","open")</f>
        <v/>
      </c>
      <c r="C2718" t="inlineStr">
        <is>
          <t>f20fbc2b-b369-4734-bb66-92af02fbb0d1</t>
        </is>
      </c>
      <c r="D2718" t="n">
        <v>55.6525</v>
      </c>
      <c r="E2718" t="n">
        <v>37.74023</v>
      </c>
      <c r="F2718" t="inlineStr"/>
      <c r="G2718" t="inlineStr"/>
      <c r="H2718" t="inlineStr"/>
    </row>
    <row r="2719">
      <c r="A2719" t="inlineStr">
        <is>
          <t>ce47df44-cf42-42c2-baa9-35a6750150f7.jpg</t>
        </is>
      </c>
      <c r="B2719">
        <f>HYPERLINK("Объекты недвижимости, не соответствующие градостроительным нормам_00-022_Август/ce47df44-cf42-42c2-baa9-35a6750150f7.jpg","open")</f>
        <v/>
      </c>
      <c r="C2719" t="inlineStr">
        <is>
          <t>cbf95b01-f708-45a3-9ec0-3603469b538e</t>
        </is>
      </c>
      <c r="D2719" t="n">
        <v>55.76685</v>
      </c>
      <c r="E2719" t="n">
        <v>37.58491</v>
      </c>
      <c r="F2719" t="inlineStr"/>
      <c r="G2719" t="inlineStr"/>
      <c r="H2719" t="inlineStr"/>
    </row>
    <row r="2720">
      <c r="A2720" t="inlineStr">
        <is>
          <t>75013b9d-76d3-4669-acd6-80f8edf442d0.jpg</t>
        </is>
      </c>
      <c r="B2720">
        <f>HYPERLINK("Объекты недвижимости, не соответствующие градостроительным нормам_00-022_Август/75013b9d-76d3-4669-acd6-80f8edf442d0.jpg","open")</f>
        <v/>
      </c>
      <c r="C2720" t="inlineStr">
        <is>
          <t>ed2bf0f1-3a66-4913-896e-4420a9796c0b</t>
        </is>
      </c>
      <c r="D2720" t="n">
        <v>55.86267</v>
      </c>
      <c r="E2720" t="n">
        <v>37.36319</v>
      </c>
      <c r="F2720" t="inlineStr"/>
      <c r="G2720" t="inlineStr"/>
      <c r="H2720" t="inlineStr"/>
    </row>
    <row r="2721">
      <c r="A2721" t="inlineStr">
        <is>
          <t>b0460c09-df9e-4553-8225-53e7116dedac.jpg</t>
        </is>
      </c>
      <c r="B2721">
        <f>HYPERLINK("Объекты недвижимости, не соответствующие градостроительным нормам_00-022_Август/b0460c09-df9e-4553-8225-53e7116dedac.jpg","open")</f>
        <v/>
      </c>
      <c r="C2721" t="inlineStr">
        <is>
          <t>1a55986c-2c3f-40c0-b3d1-014dce77832e</t>
        </is>
      </c>
      <c r="D2721" t="n">
        <v>55.86269</v>
      </c>
      <c r="E2721" t="n">
        <v>37.36314</v>
      </c>
      <c r="F2721" t="inlineStr"/>
      <c r="G2721" t="inlineStr"/>
      <c r="H2721" t="inlineStr"/>
    </row>
    <row r="2722">
      <c r="A2722" t="inlineStr">
        <is>
          <t>0806b593-dac5-4ed0-8eb9-ddf98e0d8c71.jpg</t>
        </is>
      </c>
      <c r="B2722">
        <f>HYPERLINK("Объекты недвижимости, не соответствующие градостроительным нормам_00-022_Август/0806b593-dac5-4ed0-8eb9-ddf98e0d8c71.jpg","open")</f>
        <v/>
      </c>
      <c r="C2722" t="inlineStr">
        <is>
          <t>cbf95b01-f708-45a3-9ec0-3603469b538e</t>
        </is>
      </c>
      <c r="D2722" t="n">
        <v>55.76692</v>
      </c>
      <c r="E2722" t="n">
        <v>37.58493</v>
      </c>
      <c r="F2722" t="inlineStr"/>
      <c r="G2722" t="inlineStr"/>
      <c r="H2722" t="inlineStr"/>
    </row>
    <row r="2723">
      <c r="A2723" t="inlineStr">
        <is>
          <t>b10d2af7-2f9e-40fa-ae93-4688db71ba09.jpg</t>
        </is>
      </c>
      <c r="B2723">
        <f>HYPERLINK("Объекты недвижимости, не соответствующие градостроительным нормам_00-022_Август/b10d2af7-2f9e-40fa-ae93-4688db71ba09.jpg","open")</f>
        <v/>
      </c>
      <c r="C2723" t="inlineStr">
        <is>
          <t>f20fbc2b-b369-4734-bb66-92af02fbb0d1</t>
        </is>
      </c>
      <c r="D2723" t="n">
        <v>55.6525</v>
      </c>
      <c r="E2723" t="n">
        <v>37.74023</v>
      </c>
      <c r="F2723" t="inlineStr"/>
      <c r="G2723" t="inlineStr"/>
      <c r="H2723" t="inlineStr"/>
    </row>
    <row r="2724">
      <c r="A2724" t="inlineStr">
        <is>
          <t>85beff34-ee93-4a61-a438-df59c1d7ccc2.jpg</t>
        </is>
      </c>
      <c r="B2724">
        <f>HYPERLINK("Объекты недвижимости, не соответствующие градостроительным нормам_00-022_Август/85beff34-ee93-4a61-a438-df59c1d7ccc2.jpg","open")</f>
        <v/>
      </c>
      <c r="C2724" t="inlineStr">
        <is>
          <t>cbf95b01-f708-45a3-9ec0-3603469b538e</t>
        </is>
      </c>
      <c r="D2724" t="n">
        <v>55.76579</v>
      </c>
      <c r="E2724" t="n">
        <v>37.58372</v>
      </c>
      <c r="F2724" t="inlineStr"/>
      <c r="G2724" t="inlineStr"/>
      <c r="H2724" t="inlineStr"/>
    </row>
    <row r="2725">
      <c r="A2725" t="inlineStr">
        <is>
          <t>b8dca18e-0db5-4cea-ad01-ede613221856.jpg</t>
        </is>
      </c>
      <c r="B2725">
        <f>HYPERLINK("Объекты недвижимости, не соответствующие градостроительным нормам_00-022_Август/b8dca18e-0db5-4cea-ad01-ede613221856.jpg","open")</f>
        <v/>
      </c>
      <c r="C2725" t="inlineStr">
        <is>
          <t>1a55986c-2c3f-40c0-b3d1-014dce77832e</t>
        </is>
      </c>
      <c r="D2725" t="n">
        <v>55.86414</v>
      </c>
      <c r="E2725" t="n">
        <v>37.36622</v>
      </c>
      <c r="F2725" t="inlineStr"/>
      <c r="G2725" t="inlineStr"/>
      <c r="H2725" t="inlineStr"/>
    </row>
    <row r="2726">
      <c r="A2726" t="inlineStr">
        <is>
          <t>e829ed55-9fc9-4178-805b-41c9b43a27c0.jpg</t>
        </is>
      </c>
      <c r="B2726">
        <f>HYPERLINK("Объекты недвижимости, не соответствующие градостроительным нормам_00-022_Август/e829ed55-9fc9-4178-805b-41c9b43a27c0.jpg","open")</f>
        <v/>
      </c>
      <c r="C2726" t="inlineStr">
        <is>
          <t>ed2bf0f1-3a66-4913-896e-4420a9796c0b</t>
        </is>
      </c>
      <c r="D2726" t="n">
        <v>55.86415</v>
      </c>
      <c r="E2726" t="n">
        <v>37.36618</v>
      </c>
      <c r="F2726" t="inlineStr"/>
      <c r="G2726" t="inlineStr"/>
      <c r="H2726" t="inlineStr"/>
    </row>
    <row r="2727">
      <c r="A2727" t="inlineStr">
        <is>
          <t>85351f60-b987-4bb8-96cd-607e0c38ebe5.jpg</t>
        </is>
      </c>
      <c r="B2727">
        <f>HYPERLINK("Объекты недвижимости, не соответствующие градостроительным нормам_00-022_Август/85351f60-b987-4bb8-96cd-607e0c38ebe5.jpg","open")</f>
        <v/>
      </c>
      <c r="C2727" t="inlineStr">
        <is>
          <t>ed2bf0f1-3a66-4913-896e-4420a9796c0b</t>
        </is>
      </c>
      <c r="D2727" t="n">
        <v>55.86413</v>
      </c>
      <c r="E2727" t="n">
        <v>37.36528</v>
      </c>
      <c r="F2727" t="inlineStr"/>
      <c r="G2727" t="inlineStr"/>
      <c r="H2727" t="inlineStr"/>
    </row>
    <row r="2728">
      <c r="A2728" t="inlineStr">
        <is>
          <t>fda37858-627f-486e-af7a-362eae571bd1.jpg</t>
        </is>
      </c>
      <c r="B2728">
        <f>HYPERLINK("Объекты недвижимости, не соответствующие градостроительным нормам_00-022_Август/fda37858-627f-486e-af7a-362eae571bd1.jpg","open")</f>
        <v/>
      </c>
      <c r="C2728" t="inlineStr">
        <is>
          <t>a1a9db89-3f74-42ef-8fad-ad69705102cd</t>
        </is>
      </c>
      <c r="D2728" t="n">
        <v>55.76801</v>
      </c>
      <c r="E2728" t="n">
        <v>37.57883</v>
      </c>
      <c r="F2728" t="inlineStr"/>
      <c r="G2728" t="inlineStr"/>
      <c r="H2728" t="inlineStr"/>
    </row>
    <row r="2729">
      <c r="A2729" t="inlineStr">
        <is>
          <t>eeaa12df-6e07-4e2e-bea4-10481abb5ea0.jpg</t>
        </is>
      </c>
      <c r="B2729">
        <f>HYPERLINK("Объекты недвижимости, не соответствующие градостроительным нормам_00-022_Август/eeaa12df-6e07-4e2e-bea4-10481abb5ea0.jpg","open")</f>
        <v/>
      </c>
      <c r="C2729" t="inlineStr">
        <is>
          <t>cbf95b01-f708-45a3-9ec0-3603469b538e</t>
        </is>
      </c>
      <c r="D2729" t="n">
        <v>55.76805</v>
      </c>
      <c r="E2729" t="n">
        <v>37.57734</v>
      </c>
      <c r="F2729" t="inlineStr"/>
      <c r="G2729" t="inlineStr"/>
      <c r="H2729" t="inlineStr"/>
    </row>
    <row r="2730">
      <c r="A2730" t="inlineStr">
        <is>
          <t>117b1197-d858-4fbe-adf2-dfd14a323dbb.jpg</t>
        </is>
      </c>
      <c r="B2730">
        <f>HYPERLINK("Объекты недвижимости, не соответствующие градостроительным нормам_00-022_Август/117b1197-d858-4fbe-adf2-dfd14a323dbb.jpg","open")</f>
        <v/>
      </c>
      <c r="C2730" t="inlineStr">
        <is>
          <t>cbf95b01-f708-45a3-9ec0-3603469b538e</t>
        </is>
      </c>
      <c r="D2730" t="n">
        <v>55.76753</v>
      </c>
      <c r="E2730" t="n">
        <v>37.57812</v>
      </c>
      <c r="F2730" t="inlineStr"/>
      <c r="G2730" t="inlineStr"/>
      <c r="H2730" t="inlineStr"/>
    </row>
    <row r="2731">
      <c r="A2731" t="inlineStr">
        <is>
          <t>2b1aed60-0553-4695-893c-bd391931e048.jpg</t>
        </is>
      </c>
      <c r="B2731">
        <f>HYPERLINK("Объекты недвижимости, не соответствующие градостроительным нормам_00-022_Август/2b1aed60-0553-4695-893c-bd391931e048.jpg","open")</f>
        <v/>
      </c>
      <c r="C2731" t="inlineStr">
        <is>
          <t>936502dd-24a4-4256-9fdf-0d8fb72af3ed</t>
        </is>
      </c>
      <c r="D2731" t="n">
        <v>55.59704</v>
      </c>
      <c r="E2731" t="n">
        <v>37.66312</v>
      </c>
      <c r="F2731" t="inlineStr"/>
      <c r="G2731" t="inlineStr"/>
      <c r="H2731" t="inlineStr"/>
    </row>
    <row r="2732">
      <c r="A2732" t="inlineStr">
        <is>
          <t>36904296-8a87-4619-8099-16d12b7f34a6.jpg</t>
        </is>
      </c>
      <c r="B2732">
        <f>HYPERLINK("Объекты недвижимости, не соответствующие градостроительным нормам_00-022_Август/36904296-8a87-4619-8099-16d12b7f34a6.jpg","open")</f>
        <v/>
      </c>
      <c r="C2732" t="inlineStr">
        <is>
          <t>a1a9db89-3f74-42ef-8fad-ad69705102cd</t>
        </is>
      </c>
      <c r="D2732" t="n">
        <v>55.76727</v>
      </c>
      <c r="E2732" t="n">
        <v>37.57812</v>
      </c>
      <c r="F2732" t="inlineStr"/>
      <c r="G2732" t="inlineStr"/>
      <c r="H2732" t="inlineStr"/>
    </row>
    <row r="2733">
      <c r="A2733" t="inlineStr">
        <is>
          <t>6703f90a-2a21-4fa8-bd6a-6bd803626d54.jpg</t>
        </is>
      </c>
      <c r="B2733">
        <f>HYPERLINK("Объекты недвижимости, не соответствующие градостроительным нормам_00-022_Август/6703f90a-2a21-4fa8-bd6a-6bd803626d54.jpg","open")</f>
        <v/>
      </c>
      <c r="C2733" t="inlineStr">
        <is>
          <t>cbf95b01-f708-45a3-9ec0-3603469b538e</t>
        </is>
      </c>
      <c r="D2733" t="n">
        <v>55.76341</v>
      </c>
      <c r="E2733" t="n">
        <v>37.57711</v>
      </c>
      <c r="F2733" t="inlineStr"/>
      <c r="G2733" t="inlineStr"/>
      <c r="H2733" t="inlineStr"/>
    </row>
    <row r="2734">
      <c r="A2734" t="inlineStr">
        <is>
          <t>c55d393c-a77f-481f-9c5b-3ec24ee6433d.jpg</t>
        </is>
      </c>
      <c r="B2734">
        <f>HYPERLINK("Объекты недвижимости, не соответствующие градостроительным нормам_00-022_Август/c55d393c-a77f-481f-9c5b-3ec24ee6433d.jpg","open")</f>
        <v/>
      </c>
      <c r="C2734" t="inlineStr">
        <is>
          <t>cbf95b01-f708-45a3-9ec0-3603469b538e</t>
        </is>
      </c>
      <c r="D2734" t="n">
        <v>55.76528</v>
      </c>
      <c r="E2734" t="n">
        <v>37.57716</v>
      </c>
      <c r="F2734" t="inlineStr"/>
      <c r="G2734" t="inlineStr"/>
      <c r="H2734" t="inlineStr"/>
    </row>
    <row r="2735">
      <c r="A2735" t="inlineStr">
        <is>
          <t>8ea783bd-dd25-4b48-91f8-baabe59a8cc2.jpg</t>
        </is>
      </c>
      <c r="B2735">
        <f>HYPERLINK("Объекты недвижимости, не соответствующие градостроительным нормам_00-022_Август/8ea783bd-dd25-4b48-91f8-baabe59a8cc2.jpg","open")</f>
        <v/>
      </c>
      <c r="C2735" t="inlineStr">
        <is>
          <t>cbf95b01-f708-45a3-9ec0-3603469b538e</t>
        </is>
      </c>
      <c r="D2735" t="n">
        <v>55.76548</v>
      </c>
      <c r="E2735" t="n">
        <v>37.57713</v>
      </c>
      <c r="F2735" t="inlineStr"/>
      <c r="G2735" t="inlineStr"/>
      <c r="H2735" t="inlineStr"/>
    </row>
    <row r="2736">
      <c r="A2736" t="inlineStr">
        <is>
          <t>08a6314b-c8a4-45e4-8215-4394c8b89d56.jpg</t>
        </is>
      </c>
      <c r="B2736">
        <f>HYPERLINK("Объекты недвижимости, не соответствующие градостроительным нормам_00-022_Август/08a6314b-c8a4-45e4-8215-4394c8b89d56.jpg","open")</f>
        <v/>
      </c>
      <c r="C2736" t="inlineStr">
        <is>
          <t>cbf95b01-f708-45a3-9ec0-3603469b538e</t>
        </is>
      </c>
      <c r="D2736" t="n">
        <v>55.7655</v>
      </c>
      <c r="E2736" t="n">
        <v>37.57711</v>
      </c>
      <c r="F2736" t="inlineStr"/>
      <c r="G2736" t="inlineStr"/>
      <c r="H2736" t="inlineStr"/>
    </row>
    <row r="2737">
      <c r="A2737" t="inlineStr">
        <is>
          <t>3d8ae344-ae83-4c3e-87c8-28e5afea8dc0.jpg</t>
        </is>
      </c>
      <c r="B2737">
        <f>HYPERLINK("Объекты недвижимости, не соответствующие градостроительным нормам_00-022_Август/3d8ae344-ae83-4c3e-87c8-28e5afea8dc0.jpg","open")</f>
        <v/>
      </c>
      <c r="C2737" t="inlineStr">
        <is>
          <t>cbf95b01-f708-45a3-9ec0-3603469b538e</t>
        </is>
      </c>
      <c r="D2737" t="n">
        <v>55.76558</v>
      </c>
      <c r="E2737" t="n">
        <v>37.57703</v>
      </c>
      <c r="F2737" t="inlineStr"/>
      <c r="G2737" t="inlineStr"/>
      <c r="H2737" t="inlineStr"/>
    </row>
    <row r="2738">
      <c r="A2738" t="inlineStr">
        <is>
          <t>4ffe8e66-e658-4d4f-93f8-c0bf9852fc4f.jpg</t>
        </is>
      </c>
      <c r="B2738">
        <f>HYPERLINK("Объекты недвижимости, не соответствующие градостроительным нормам_00-022_Август/4ffe8e66-e658-4d4f-93f8-c0bf9852fc4f.jpg","open")</f>
        <v/>
      </c>
      <c r="C2738" t="inlineStr">
        <is>
          <t>a1a9db89-3f74-42ef-8fad-ad69705102cd</t>
        </is>
      </c>
      <c r="D2738" t="n">
        <v>55.76558</v>
      </c>
      <c r="E2738" t="n">
        <v>37.57703</v>
      </c>
      <c r="F2738" t="inlineStr"/>
      <c r="G2738" t="inlineStr"/>
      <c r="H2738" t="inlineStr"/>
    </row>
    <row r="2739">
      <c r="A2739" t="inlineStr">
        <is>
          <t>17e6ca45-5827-4126-a419-b11af645f55b.jpg</t>
        </is>
      </c>
      <c r="B2739">
        <f>HYPERLINK("Объекты недвижимости, не соответствующие градостроительным нормам_00-022_Август/17e6ca45-5827-4126-a419-b11af645f55b.jpg","open")</f>
        <v/>
      </c>
      <c r="C2739" t="inlineStr">
        <is>
          <t>93848fc8-17e7-4748-9ebc-c7e379e11d2f</t>
        </is>
      </c>
      <c r="D2739" t="n">
        <v>55.65537</v>
      </c>
      <c r="E2739" t="n">
        <v>37.70249</v>
      </c>
      <c r="F2739" t="inlineStr"/>
      <c r="G2739" t="inlineStr"/>
      <c r="H2739" t="inlineStr"/>
    </row>
    <row r="2740">
      <c r="A2740" t="inlineStr">
        <is>
          <t>6219dc56-36aa-42c6-bd45-dd89352cb6e8.jpg</t>
        </is>
      </c>
      <c r="B2740">
        <f>HYPERLINK("Объекты недвижимости, не соответствующие градостроительным нормам_00-022_Август/6219dc56-36aa-42c6-bd45-dd89352cb6e8.jpg","open")</f>
        <v/>
      </c>
      <c r="C2740" t="inlineStr">
        <is>
          <t>9c930d0e-e445-452d-a046-325646b21ab7</t>
        </is>
      </c>
      <c r="D2740" t="n">
        <v>55.97109</v>
      </c>
      <c r="E2740" t="n">
        <v>37.14901</v>
      </c>
      <c r="F2740" t="inlineStr"/>
      <c r="G2740" t="inlineStr"/>
      <c r="H2740" t="inlineStr"/>
    </row>
    <row r="2741">
      <c r="A2741" t="inlineStr">
        <is>
          <t>b541ebb5-7f05-45b2-aa1b-4ef13b4d47a0.jpg</t>
        </is>
      </c>
      <c r="B2741">
        <f>HYPERLINK("Объекты недвижимости, не соответствующие градостроительным нормам_00-022_Август/b541ebb5-7f05-45b2-aa1b-4ef13b4d47a0.jpg","open")</f>
        <v/>
      </c>
      <c r="C2741" t="inlineStr">
        <is>
          <t>f60286ac-55e7-4099-85bd-cc599a7a0c65</t>
        </is>
      </c>
      <c r="D2741" t="n">
        <v>55.79652</v>
      </c>
      <c r="E2741" t="n">
        <v>37.68921</v>
      </c>
      <c r="F2741" t="inlineStr"/>
      <c r="G2741" t="inlineStr"/>
      <c r="H2741" t="inlineStr"/>
    </row>
    <row r="2742">
      <c r="A2742" t="inlineStr">
        <is>
          <t>03073a58-5313-4d27-98fb-d05bea9015d5.jpg</t>
        </is>
      </c>
      <c r="B2742">
        <f>HYPERLINK("Объекты недвижимости, не соответствующие градостроительным нормам_00-022_Август/03073a58-5313-4d27-98fb-d05bea9015d5.jpg","open")</f>
        <v/>
      </c>
      <c r="C2742" t="inlineStr">
        <is>
          <t>8b2675e2-7f40-47a9-a462-7c9feecd299c</t>
        </is>
      </c>
      <c r="D2742" t="n">
        <v>55.74007</v>
      </c>
      <c r="E2742" t="n">
        <v>37.67415</v>
      </c>
      <c r="F2742" t="inlineStr"/>
      <c r="G2742" t="inlineStr"/>
      <c r="H2742" t="inlineStr"/>
    </row>
    <row r="2743">
      <c r="A2743" t="inlineStr">
        <is>
          <t>bb34027a-c835-4328-991d-9302915fcabb.jpg</t>
        </is>
      </c>
      <c r="B2743">
        <f>HYPERLINK("Объекты недвижимости, не соответствующие градостроительным нормам_00-022_Август/bb34027a-c835-4328-991d-9302915fcabb.jpg","open")</f>
        <v/>
      </c>
      <c r="C2743" t="inlineStr">
        <is>
          <t>ed2bf0f1-3a66-4913-896e-4420a9796c0b</t>
        </is>
      </c>
      <c r="D2743" t="n">
        <v>55.86334</v>
      </c>
      <c r="E2743" t="n">
        <v>37.3639</v>
      </c>
      <c r="F2743" t="inlineStr"/>
      <c r="G2743" t="inlineStr"/>
      <c r="H2743" t="inlineStr"/>
    </row>
    <row r="2744">
      <c r="A2744" t="inlineStr">
        <is>
          <t>d61d3e17-7c3b-4c45-a636-4fd6e0e30fd6.jpg</t>
        </is>
      </c>
      <c r="B2744">
        <f>HYPERLINK("Объекты недвижимости, не соответствующие градостроительным нормам_00-022_Август/d61d3e17-7c3b-4c45-a636-4fd6e0e30fd6.jpg","open")</f>
        <v/>
      </c>
      <c r="C2744" t="inlineStr">
        <is>
          <t>ed2bf0f1-3a66-4913-896e-4420a9796c0b</t>
        </is>
      </c>
      <c r="D2744" t="n">
        <v>55.86031</v>
      </c>
      <c r="E2744" t="n">
        <v>37.35976</v>
      </c>
      <c r="F2744" t="inlineStr"/>
      <c r="G2744" t="inlineStr"/>
      <c r="H2744" t="inlineStr"/>
    </row>
    <row r="2745">
      <c r="A2745" t="inlineStr">
        <is>
          <t>54461096-7b7e-4147-ae87-381c7e8ed298.jpg</t>
        </is>
      </c>
      <c r="B2745">
        <f>HYPERLINK("Объекты недвижимости, не соответствующие градостроительным нормам_00-022_Август/54461096-7b7e-4147-ae87-381c7e8ed298.jpg","open")</f>
        <v/>
      </c>
      <c r="C2745" t="inlineStr">
        <is>
          <t>1a55986c-2c3f-40c0-b3d1-014dce77832e</t>
        </is>
      </c>
      <c r="D2745" t="n">
        <v>55.85925</v>
      </c>
      <c r="E2745" t="n">
        <v>37.35831</v>
      </c>
      <c r="F2745" t="inlineStr"/>
      <c r="G2745" t="inlineStr"/>
      <c r="H2745" t="inlineStr"/>
    </row>
    <row r="2746">
      <c r="A2746" t="inlineStr">
        <is>
          <t>596e4af5-f475-4093-a704-3095ff1cae16.jpg</t>
        </is>
      </c>
      <c r="B2746">
        <f>HYPERLINK("Объекты недвижимости, не соответствующие градостроительным нормам_00-022_Август/596e4af5-f475-4093-a704-3095ff1cae16.jpg","open")</f>
        <v/>
      </c>
      <c r="C2746" t="inlineStr">
        <is>
          <t>ed2bf0f1-3a66-4913-896e-4420a9796c0b</t>
        </is>
      </c>
      <c r="D2746" t="n">
        <v>55.85886</v>
      </c>
      <c r="E2746" t="n">
        <v>37.35778</v>
      </c>
      <c r="F2746" t="inlineStr"/>
      <c r="G2746" t="inlineStr"/>
      <c r="H2746" t="inlineStr"/>
    </row>
    <row r="2747">
      <c r="A2747" t="inlineStr">
        <is>
          <t>31d591eb-6113-4bd5-a64e-4fbd9471d4be.jpg</t>
        </is>
      </c>
      <c r="B2747">
        <f>HYPERLINK("Объекты недвижимости, не соответствующие градостроительным нормам_00-022_Август/31d591eb-6113-4bd5-a64e-4fbd9471d4be.jpg","open")</f>
        <v/>
      </c>
      <c r="C2747" t="inlineStr">
        <is>
          <t>e26f5fc2-1353-4f29-85f3-87c56419161c</t>
        </is>
      </c>
      <c r="D2747" t="n">
        <v>55.73001</v>
      </c>
      <c r="E2747" t="n">
        <v>37.64991</v>
      </c>
      <c r="F2747" t="inlineStr"/>
      <c r="G2747" t="inlineStr"/>
      <c r="H2747" t="inlineStr"/>
    </row>
    <row r="2748">
      <c r="A2748" t="inlineStr">
        <is>
          <t>750659ba-d50f-4a80-a843-5542ef5025d9.jpg</t>
        </is>
      </c>
      <c r="B2748">
        <f>HYPERLINK("Объекты недвижимости, не соответствующие градостроительным нормам_00-022_Август/750659ba-d50f-4a80-a843-5542ef5025d9.jpg","open")</f>
        <v/>
      </c>
      <c r="C2748" t="inlineStr">
        <is>
          <t>f20fbc2b-b369-4734-bb66-92af02fbb0d1</t>
        </is>
      </c>
      <c r="D2748" t="n">
        <v>55.65006</v>
      </c>
      <c r="E2748" t="n">
        <v>37.7401</v>
      </c>
      <c r="F2748" t="inlineStr"/>
      <c r="G2748" t="inlineStr"/>
      <c r="H2748" t="inlineStr"/>
    </row>
    <row r="2749">
      <c r="A2749" t="inlineStr">
        <is>
          <t>9d59a165-78b4-4288-8d9d-e1118ffa23fc.jpg</t>
        </is>
      </c>
      <c r="B2749">
        <f>HYPERLINK("Объекты недвижимости, не соответствующие градостроительным нормам_00-022_Август/9d59a165-78b4-4288-8d9d-e1118ffa23fc.jpg","open")</f>
        <v/>
      </c>
      <c r="C2749" t="inlineStr">
        <is>
          <t>e26f5fc2-1353-4f29-85f3-87c56419161c</t>
        </is>
      </c>
      <c r="D2749" t="n">
        <v>55.73001</v>
      </c>
      <c r="E2749" t="n">
        <v>37.64991</v>
      </c>
      <c r="F2749" t="inlineStr"/>
      <c r="G2749" t="inlineStr"/>
      <c r="H2749" t="inlineStr"/>
    </row>
    <row r="2750">
      <c r="A2750" t="inlineStr">
        <is>
          <t>6b9e4563-e972-4ed2-8515-693b4f7170a1.jpg</t>
        </is>
      </c>
      <c r="B2750">
        <f>HYPERLINK("Объекты недвижимости, не соответствующие градостроительным нормам_00-022_Август/6b9e4563-e972-4ed2-8515-693b4f7170a1.jpg","open")</f>
        <v/>
      </c>
      <c r="C2750" t="inlineStr">
        <is>
          <t>e26f5fc2-1353-4f29-85f3-87c56419161c</t>
        </is>
      </c>
      <c r="D2750" t="n">
        <v>55.7688</v>
      </c>
      <c r="E2750" t="n">
        <v>37.66922</v>
      </c>
      <c r="F2750" t="inlineStr"/>
      <c r="G2750" t="inlineStr"/>
      <c r="H2750" t="inlineStr"/>
    </row>
    <row r="2751">
      <c r="A2751" t="inlineStr">
        <is>
          <t>04af6841-a978-4eb6-a4d6-30fc12c07cd0.jpg</t>
        </is>
      </c>
      <c r="B2751">
        <f>HYPERLINK("Объекты недвижимости, не соответствующие градостроительным нормам_00-022_Август/04af6841-a978-4eb6-a4d6-30fc12c07cd0.jpg","open")</f>
        <v/>
      </c>
      <c r="C2751" t="inlineStr">
        <is>
          <t>1a55986c-2c3f-40c0-b3d1-014dce77832e</t>
        </is>
      </c>
      <c r="D2751" t="n">
        <v>55.86105</v>
      </c>
      <c r="E2751" t="n">
        <v>37.35371</v>
      </c>
      <c r="F2751" t="inlineStr"/>
      <c r="G2751" t="inlineStr"/>
      <c r="H2751" t="inlineStr"/>
    </row>
    <row r="2752">
      <c r="A2752" t="inlineStr">
        <is>
          <t>593989b5-1589-434f-9b8f-565a3f6e8c35.jpg</t>
        </is>
      </c>
      <c r="B2752">
        <f>HYPERLINK("Объекты недвижимости, не соответствующие градостроительным нормам_00-022_Август/593989b5-1589-434f-9b8f-565a3f6e8c35.jpg","open")</f>
        <v/>
      </c>
      <c r="C2752" t="inlineStr">
        <is>
          <t>1a55986c-2c3f-40c0-b3d1-014dce77832e</t>
        </is>
      </c>
      <c r="D2752" t="n">
        <v>55.86108</v>
      </c>
      <c r="E2752" t="n">
        <v>37.35368</v>
      </c>
      <c r="F2752" t="inlineStr"/>
      <c r="G2752" t="inlineStr"/>
      <c r="H2752" t="inlineStr"/>
    </row>
    <row r="2753">
      <c r="A2753" t="inlineStr">
        <is>
          <t>589843f6-52ef-4005-8b89-a23a57fc0276.jpg</t>
        </is>
      </c>
      <c r="B2753">
        <f>HYPERLINK("Объекты недвижимости, не соответствующие градостроительным нормам_00-022_Август/589843f6-52ef-4005-8b89-a23a57fc0276.jpg","open")</f>
        <v/>
      </c>
      <c r="C2753" t="inlineStr">
        <is>
          <t>ed2bf0f1-3a66-4913-896e-4420a9796c0b</t>
        </is>
      </c>
      <c r="D2753" t="n">
        <v>55.86108</v>
      </c>
      <c r="E2753" t="n">
        <v>37.35369</v>
      </c>
      <c r="F2753" t="inlineStr"/>
      <c r="G2753" t="inlineStr"/>
      <c r="H2753" t="inlineStr"/>
    </row>
    <row r="2754">
      <c r="A2754" t="inlineStr">
        <is>
          <t>82672002-49e1-4041-bca1-41f868e4c896.jpg</t>
        </is>
      </c>
      <c r="B2754">
        <f>HYPERLINK("Объекты недвижимости, не соответствующие градостроительным нормам_00-022_Август/82672002-49e1-4041-bca1-41f868e4c896.jpg","open")</f>
        <v/>
      </c>
      <c r="C2754" t="inlineStr">
        <is>
          <t>12e795ad-2aa7-49de-b2da-2c6aa35a4559</t>
        </is>
      </c>
      <c r="D2754" t="n">
        <v>55.69218</v>
      </c>
      <c r="E2754" t="n">
        <v>37.56246</v>
      </c>
      <c r="F2754" t="inlineStr"/>
      <c r="G2754" t="inlineStr"/>
      <c r="H2754" t="inlineStr"/>
    </row>
    <row r="2755">
      <c r="A2755" t="inlineStr">
        <is>
          <t>bf4881d2-4bb6-42c0-a82e-59d0fb9667a4.jpg</t>
        </is>
      </c>
      <c r="B2755">
        <f>HYPERLINK("Объекты недвижимости, не соответствующие градостроительным нормам_00-022_Август/bf4881d2-4bb6-42c0-a82e-59d0fb9667a4.jpg","open")</f>
        <v/>
      </c>
      <c r="C2755" t="inlineStr">
        <is>
          <t>1a55986c-2c3f-40c0-b3d1-014dce77832e</t>
        </is>
      </c>
      <c r="D2755" t="n">
        <v>55.86115</v>
      </c>
      <c r="E2755" t="n">
        <v>37.35355</v>
      </c>
      <c r="F2755" t="inlineStr"/>
      <c r="G2755" t="inlineStr"/>
      <c r="H2755" t="inlineStr"/>
    </row>
    <row r="2756">
      <c r="A2756" t="inlineStr">
        <is>
          <t>63c80f16-11b0-4628-afaf-ce439916895f.jpg</t>
        </is>
      </c>
      <c r="B2756">
        <f>HYPERLINK("Объекты недвижимости, не соответствующие градостроительным нормам_00-022_Август/63c80f16-11b0-4628-afaf-ce439916895f.jpg","open")</f>
        <v/>
      </c>
      <c r="C2756" t="inlineStr">
        <is>
          <t>ed2bf0f1-3a66-4913-896e-4420a9796c0b</t>
        </is>
      </c>
      <c r="D2756" t="n">
        <v>55.86121</v>
      </c>
      <c r="E2756" t="n">
        <v>37.35344</v>
      </c>
      <c r="F2756" t="inlineStr"/>
      <c r="G2756" t="inlineStr"/>
      <c r="H2756" t="inlineStr"/>
    </row>
    <row r="2757">
      <c r="A2757" t="inlineStr">
        <is>
          <t>1cd4cea8-87cd-494f-b127-c20191fdc416.jpg</t>
        </is>
      </c>
      <c r="B2757">
        <f>HYPERLINK("Объекты недвижимости, не соответствующие градостроительным нормам_00-022_Август/1cd4cea8-87cd-494f-b127-c20191fdc416.jpg","open")</f>
        <v/>
      </c>
      <c r="C2757" t="inlineStr">
        <is>
          <t>ed2bf0f1-3a66-4913-896e-4420a9796c0b</t>
        </is>
      </c>
      <c r="D2757" t="n">
        <v>55.86121</v>
      </c>
      <c r="E2757" t="n">
        <v>37.35345</v>
      </c>
      <c r="F2757" t="inlineStr"/>
      <c r="G2757" t="inlineStr"/>
      <c r="H2757" t="inlineStr"/>
    </row>
    <row r="2758">
      <c r="A2758" t="inlineStr">
        <is>
          <t>f4697f87-c07f-4e7e-8b57-cbe3164fcb2a.jpg</t>
        </is>
      </c>
      <c r="B2758">
        <f>HYPERLINK("Объекты недвижимости, не соответствующие градостроительным нормам_00-022_Август/f4697f87-c07f-4e7e-8b57-cbe3164fcb2a.jpg","open")</f>
        <v/>
      </c>
      <c r="C2758" t="inlineStr">
        <is>
          <t>e26f5fc2-1353-4f29-85f3-87c56419161c</t>
        </is>
      </c>
      <c r="D2758" t="n">
        <v>55.76945</v>
      </c>
      <c r="E2758" t="n">
        <v>37.6704</v>
      </c>
      <c r="F2758" t="inlineStr"/>
      <c r="G2758" t="inlineStr"/>
      <c r="H2758" t="inlineStr"/>
    </row>
    <row r="2759">
      <c r="A2759" t="inlineStr">
        <is>
          <t>97bb1600-4676-4304-8687-e253d513bed0.jpg</t>
        </is>
      </c>
      <c r="B2759">
        <f>HYPERLINK("Объекты недвижимости, не соответствующие градостроительным нормам_00-022_Август/97bb1600-4676-4304-8687-e253d513bed0.jpg","open")</f>
        <v/>
      </c>
      <c r="C2759" t="inlineStr">
        <is>
          <t>91248771-2c4d-44f3-b3cf-d536bd4ae73c</t>
        </is>
      </c>
      <c r="D2759" t="n">
        <v>55.78754</v>
      </c>
      <c r="E2759" t="n">
        <v>37.71756</v>
      </c>
      <c r="F2759" t="inlineStr"/>
      <c r="G2759" t="inlineStr"/>
      <c r="H2759" t="inlineStr"/>
    </row>
    <row r="2760">
      <c r="A2760" t="inlineStr">
        <is>
          <t>898be9d9-0fba-49b4-adb6-f81c7822153b.jpg</t>
        </is>
      </c>
      <c r="B2760">
        <f>HYPERLINK("Объекты недвижимости, не соответствующие градостроительным нормам_00-022_Август/898be9d9-0fba-49b4-adb6-f81c7822153b.jpg","open")</f>
        <v/>
      </c>
      <c r="C2760" t="inlineStr">
        <is>
          <t>1a55986c-2c3f-40c0-b3d1-014dce77832e</t>
        </is>
      </c>
      <c r="D2760" t="n">
        <v>55.86046</v>
      </c>
      <c r="E2760" t="n">
        <v>37.35456</v>
      </c>
      <c r="F2760" t="inlineStr"/>
      <c r="G2760" t="inlineStr"/>
      <c r="H2760" t="inlineStr"/>
    </row>
    <row r="2761">
      <c r="A2761" t="inlineStr">
        <is>
          <t>6fd669d3-8961-4a75-8d38-ab165f364850.jpg</t>
        </is>
      </c>
      <c r="B2761">
        <f>HYPERLINK("Объекты недвижимости, не соответствующие градостроительным нормам_00-022_Август/6fd669d3-8961-4a75-8d38-ab165f364850.jpg","open")</f>
        <v/>
      </c>
      <c r="C2761" t="inlineStr">
        <is>
          <t>e26f5fc2-1353-4f29-85f3-87c56419161c</t>
        </is>
      </c>
      <c r="D2761" t="n">
        <v>55.77351</v>
      </c>
      <c r="E2761" t="n">
        <v>37.67991</v>
      </c>
      <c r="F2761" t="inlineStr"/>
      <c r="G2761" t="inlineStr"/>
      <c r="H2761" t="inlineStr"/>
    </row>
    <row r="2762">
      <c r="A2762" t="inlineStr">
        <is>
          <t>d6427517-fd44-4fae-baff-85f78702987c.jpg</t>
        </is>
      </c>
      <c r="B2762">
        <f>HYPERLINK("Объекты недвижимости, не соответствующие градостроительным нормам_00-022_Август/d6427517-fd44-4fae-baff-85f78702987c.jpg","open")</f>
        <v/>
      </c>
      <c r="C2762" t="inlineStr">
        <is>
          <t>e26f5fc2-1353-4f29-85f3-87c56419161c</t>
        </is>
      </c>
      <c r="D2762" t="n">
        <v>55.7743</v>
      </c>
      <c r="E2762" t="n">
        <v>37.68419</v>
      </c>
      <c r="F2762" t="inlineStr"/>
      <c r="G2762" t="inlineStr"/>
      <c r="H2762" t="inlineStr"/>
    </row>
    <row r="2763">
      <c r="A2763" t="inlineStr">
        <is>
          <t>da7a879f-4338-482c-8b7e-ed5e158a2552.jpg</t>
        </is>
      </c>
      <c r="B2763">
        <f>HYPERLINK("Объекты недвижимости, не соответствующие градостроительным нормам_00-022_Август/da7a879f-4338-482c-8b7e-ed5e158a2552.jpg","open")</f>
        <v/>
      </c>
      <c r="C2763" t="inlineStr">
        <is>
          <t>e26f5fc2-1353-4f29-85f3-87c56419161c</t>
        </is>
      </c>
      <c r="D2763" t="n">
        <v>55.77428</v>
      </c>
      <c r="E2763" t="n">
        <v>37.6842</v>
      </c>
      <c r="F2763" t="inlineStr"/>
      <c r="G2763" t="inlineStr"/>
      <c r="H2763" t="inlineStr"/>
    </row>
    <row r="2764">
      <c r="A2764" t="inlineStr">
        <is>
          <t>8ae075a0-e993-4b91-a3ee-b4b148500c13.jpg</t>
        </is>
      </c>
      <c r="B2764">
        <f>HYPERLINK("Объекты недвижимости, не соответствующие градостроительным нормам_00-022_Август/8ae075a0-e993-4b91-a3ee-b4b148500c13.jpg","open")</f>
        <v/>
      </c>
      <c r="C2764" t="inlineStr">
        <is>
          <t>e26f5fc2-1353-4f29-85f3-87c56419161c</t>
        </is>
      </c>
      <c r="D2764" t="n">
        <v>55.77421</v>
      </c>
      <c r="E2764" t="n">
        <v>37.68428</v>
      </c>
      <c r="F2764" t="inlineStr"/>
      <c r="G2764" t="inlineStr"/>
      <c r="H2764" t="inlineStr"/>
    </row>
    <row r="2765">
      <c r="A2765" t="inlineStr">
        <is>
          <t>8d500179-ce44-42a1-b2cb-7301c3461fa6.jpg</t>
        </is>
      </c>
      <c r="B2765">
        <f>HYPERLINK("Объекты недвижимости, не соответствующие градостроительным нормам_00-022_Август/8d500179-ce44-42a1-b2cb-7301c3461fa6.jpg","open")</f>
        <v/>
      </c>
      <c r="C2765" t="inlineStr">
        <is>
          <t>1a55986c-2c3f-40c0-b3d1-014dce77832e</t>
        </is>
      </c>
      <c r="D2765" t="n">
        <v>55.85965</v>
      </c>
      <c r="E2765" t="n">
        <v>37.35576</v>
      </c>
      <c r="F2765" t="inlineStr"/>
      <c r="G2765" t="inlineStr"/>
      <c r="H2765" t="inlineStr"/>
    </row>
    <row r="2766">
      <c r="A2766" t="inlineStr">
        <is>
          <t>d8fa2555-ba2f-4525-b9d3-e54bc7eccfef.jpg</t>
        </is>
      </c>
      <c r="B2766">
        <f>HYPERLINK("Объекты недвижимости, не соответствующие градостроительным нормам_00-022_Август/d8fa2555-ba2f-4525-b9d3-e54bc7eccfef.jpg","open")</f>
        <v/>
      </c>
      <c r="C2766" t="inlineStr">
        <is>
          <t>ed2bf0f1-3a66-4913-896e-4420a9796c0b</t>
        </is>
      </c>
      <c r="D2766" t="n">
        <v>55.85963</v>
      </c>
      <c r="E2766" t="n">
        <v>37.35577</v>
      </c>
      <c r="F2766" t="inlineStr"/>
      <c r="G2766" t="inlineStr"/>
      <c r="H2766" t="inlineStr"/>
    </row>
    <row r="2767">
      <c r="A2767" t="inlineStr">
        <is>
          <t>9143df60-5894-42c9-aa85-ff5fc2ca58ee.jpg</t>
        </is>
      </c>
      <c r="B2767">
        <f>HYPERLINK("Объекты недвижимости, не соответствующие градостроительным нормам_00-022_Август/9143df60-5894-42c9-aa85-ff5fc2ca58ee.jpg","open")</f>
        <v/>
      </c>
      <c r="C2767" t="inlineStr">
        <is>
          <t>4cd87d14-7440-44b7-a5b2-a738e10006f7</t>
        </is>
      </c>
      <c r="D2767" t="n">
        <v>55.77389</v>
      </c>
      <c r="E2767" t="n">
        <v>37.68462</v>
      </c>
      <c r="F2767" t="inlineStr"/>
      <c r="G2767" t="inlineStr"/>
      <c r="H2767" t="inlineStr"/>
    </row>
    <row r="2768">
      <c r="A2768" t="inlineStr">
        <is>
          <t>468ec904-f2d1-40d9-90b7-0b868f3d680e.jpg</t>
        </is>
      </c>
      <c r="B2768">
        <f>HYPERLINK("Объекты недвижимости, не соответствующие градостроительным нормам_00-022_Август/468ec904-f2d1-40d9-90b7-0b868f3d680e.jpg","open")</f>
        <v/>
      </c>
      <c r="C2768" t="inlineStr">
        <is>
          <t>1a55986c-2c3f-40c0-b3d1-014dce77832e</t>
        </is>
      </c>
      <c r="D2768" t="n">
        <v>55.85969</v>
      </c>
      <c r="E2768" t="n">
        <v>37.35577</v>
      </c>
      <c r="F2768" t="inlineStr"/>
      <c r="G2768" t="inlineStr"/>
      <c r="H2768" t="inlineStr"/>
    </row>
    <row r="2769">
      <c r="A2769" t="inlineStr">
        <is>
          <t>5feb6d36-7b55-473d-9767-85316f0a142a.jpg</t>
        </is>
      </c>
      <c r="B2769">
        <f>HYPERLINK("Объекты недвижимости, не соответствующие градостроительным нормам_00-022_Август/5feb6d36-7b55-473d-9767-85316f0a142a.jpg","open")</f>
        <v/>
      </c>
      <c r="C2769" t="inlineStr">
        <is>
          <t>dd48f742-b338-42e2-bbaf-b3a9701b437c</t>
        </is>
      </c>
      <c r="D2769" t="n">
        <v>55.95039</v>
      </c>
      <c r="E2769" t="n">
        <v>37.1847</v>
      </c>
      <c r="F2769" t="inlineStr"/>
      <c r="G2769" t="inlineStr"/>
      <c r="H2769" t="inlineStr"/>
    </row>
    <row r="2770">
      <c r="A2770" t="inlineStr">
        <is>
          <t>a7291fe9-d7ac-420f-8f21-77af823234c3.jpg</t>
        </is>
      </c>
      <c r="B2770">
        <f>HYPERLINK("Объекты недвижимости, не соответствующие градостроительным нормам_00-022_Август/a7291fe9-d7ac-420f-8f21-77af823234c3.jpg","open")</f>
        <v/>
      </c>
      <c r="C2770" t="inlineStr">
        <is>
          <t>1a55986c-2c3f-40c0-b3d1-014dce77832e</t>
        </is>
      </c>
      <c r="D2770" t="n">
        <v>55.85995</v>
      </c>
      <c r="E2770" t="n">
        <v>37.35515</v>
      </c>
      <c r="F2770" t="inlineStr"/>
      <c r="G2770" t="inlineStr"/>
      <c r="H2770" t="inlineStr"/>
    </row>
    <row r="2771">
      <c r="A2771" t="inlineStr">
        <is>
          <t>942ea8ca-427b-4490-bcec-7c36d26cfc88.jpg</t>
        </is>
      </c>
      <c r="B2771">
        <f>HYPERLINK("Объекты недвижимости, не соответствующие градостроительным нормам_00-022_Август/942ea8ca-427b-4490-bcec-7c36d26cfc88.jpg","open")</f>
        <v/>
      </c>
      <c r="C2771" t="inlineStr">
        <is>
          <t>1a55986c-2c3f-40c0-b3d1-014dce77832e</t>
        </is>
      </c>
      <c r="D2771" t="n">
        <v>55.85944</v>
      </c>
      <c r="E2771" t="n">
        <v>37.35372</v>
      </c>
      <c r="F2771" t="inlineStr"/>
      <c r="G2771" t="inlineStr"/>
      <c r="H2771" t="inlineStr"/>
    </row>
    <row r="2772">
      <c r="A2772" t="inlineStr">
        <is>
          <t>e80fc439-70b9-48fe-b18b-41224a00e567.jpg</t>
        </is>
      </c>
      <c r="B2772">
        <f>HYPERLINK("Объекты недвижимости, не соответствующие градостроительным нормам_00-022_Август/e80fc439-70b9-48fe-b18b-41224a00e567.jpg","open")</f>
        <v/>
      </c>
      <c r="C2772" t="inlineStr">
        <is>
          <t>8b2675e2-7f40-47a9-a462-7c9feecd299c</t>
        </is>
      </c>
      <c r="D2772" t="n">
        <v>55.74007</v>
      </c>
      <c r="E2772" t="n">
        <v>37.67415</v>
      </c>
      <c r="F2772" t="inlineStr"/>
      <c r="G2772" t="inlineStr"/>
      <c r="H2772" t="inlineStr"/>
    </row>
    <row r="2773">
      <c r="A2773" t="inlineStr">
        <is>
          <t>b8c254ec-7035-4964-938b-c0ba64d1729a.jpg</t>
        </is>
      </c>
      <c r="B2773">
        <f>HYPERLINK("Объекты недвижимости, не соответствующие градостроительным нормам_00-022_Август/b8c254ec-7035-4964-938b-c0ba64d1729a.jpg","open")</f>
        <v/>
      </c>
      <c r="C2773" t="inlineStr">
        <is>
          <t>c008bda0-324b-4c90-9c2f-36cfc930e0b5</t>
        </is>
      </c>
      <c r="D2773" t="n">
        <v>55.97041</v>
      </c>
      <c r="E2773" t="n">
        <v>37.43035</v>
      </c>
      <c r="F2773" t="inlineStr"/>
      <c r="G2773" t="inlineStr"/>
      <c r="H2773" t="inlineStr"/>
    </row>
    <row r="2774">
      <c r="A2774" t="inlineStr">
        <is>
          <t>a2af094d-7a8e-48f7-a4d8-39c86aa1d5e7.jpg</t>
        </is>
      </c>
      <c r="B2774">
        <f>HYPERLINK("Объекты недвижимости, не соответствующие градостроительным нормам_00-022_Август/a2af094d-7a8e-48f7-a4d8-39c86aa1d5e7.jpg","open")</f>
        <v/>
      </c>
      <c r="C2774" t="inlineStr">
        <is>
          <t>ed2bf0f1-3a66-4913-896e-4420a9796c0b</t>
        </is>
      </c>
      <c r="D2774" t="n">
        <v>55.86174</v>
      </c>
      <c r="E2774" t="n">
        <v>37.34808</v>
      </c>
      <c r="F2774" t="inlineStr"/>
      <c r="G2774" t="inlineStr"/>
      <c r="H2774" t="inlineStr"/>
    </row>
    <row r="2775">
      <c r="A2775" t="inlineStr">
        <is>
          <t>1895c564-715c-4810-bbb9-abb62dff57aa.jpg</t>
        </is>
      </c>
      <c r="B2775">
        <f>HYPERLINK("Объекты недвижимости, не соответствующие градостроительным нормам_00-022_Август/1895c564-715c-4810-bbb9-abb62dff57aa.jpg","open")</f>
        <v/>
      </c>
      <c r="C2775" t="inlineStr">
        <is>
          <t>1a55986c-2c3f-40c0-b3d1-014dce77832e</t>
        </is>
      </c>
      <c r="D2775" t="n">
        <v>55.86174</v>
      </c>
      <c r="E2775" t="n">
        <v>37.34808</v>
      </c>
      <c r="F2775" t="inlineStr"/>
      <c r="G2775" t="inlineStr"/>
      <c r="H2775" t="inlineStr"/>
    </row>
    <row r="2776">
      <c r="A2776" t="inlineStr">
        <is>
          <t>984ea04a-5e07-4587-aef8-40989f22567c.jpg</t>
        </is>
      </c>
      <c r="B2776">
        <f>HYPERLINK("Объекты недвижимости, не соответствующие градостроительным нормам_00-022_Август/984ea04a-5e07-4587-aef8-40989f22567c.jpg","open")</f>
        <v/>
      </c>
      <c r="C2776" t="inlineStr">
        <is>
          <t>e26f5fc2-1353-4f29-85f3-87c56419161c</t>
        </is>
      </c>
      <c r="D2776" t="n">
        <v>55.77996</v>
      </c>
      <c r="E2776" t="n">
        <v>37.67334</v>
      </c>
      <c r="F2776" t="inlineStr"/>
      <c r="G2776" t="inlineStr"/>
      <c r="H2776" t="inlineStr"/>
    </row>
    <row r="2777">
      <c r="A2777" t="inlineStr">
        <is>
          <t>78b2ada2-e597-4ad4-a20a-6f615744c70c.jpg</t>
        </is>
      </c>
      <c r="B2777">
        <f>HYPERLINK("Объекты недвижимости, не соответствующие градостроительным нормам_00-022_Август/78b2ada2-e597-4ad4-a20a-6f615744c70c.jpg","open")</f>
        <v/>
      </c>
      <c r="C2777" t="inlineStr">
        <is>
          <t>e26f5fc2-1353-4f29-85f3-87c56419161c</t>
        </is>
      </c>
      <c r="D2777" t="n">
        <v>55.78012</v>
      </c>
      <c r="E2777" t="n">
        <v>37.67296</v>
      </c>
      <c r="F2777" t="inlineStr"/>
      <c r="G2777" t="inlineStr"/>
      <c r="H2777" t="inlineStr"/>
    </row>
    <row r="2778">
      <c r="A2778" t="inlineStr">
        <is>
          <t>09718019-6e17-430f-b611-f2150efc5d0b.jpg</t>
        </is>
      </c>
      <c r="B2778">
        <f>HYPERLINK("Объекты недвижимости, не соответствующие градостроительным нормам_00-022_Август/09718019-6e17-430f-b611-f2150efc5d0b.jpg","open")</f>
        <v/>
      </c>
      <c r="C2778" t="inlineStr">
        <is>
          <t>e26f5fc2-1353-4f29-85f3-87c56419161c</t>
        </is>
      </c>
      <c r="D2778" t="n">
        <v>55.78025</v>
      </c>
      <c r="E2778" t="n">
        <v>37.6726</v>
      </c>
      <c r="F2778" t="inlineStr"/>
      <c r="G2778" t="inlineStr"/>
      <c r="H2778" t="inlineStr"/>
    </row>
    <row r="2779">
      <c r="A2779" t="inlineStr">
        <is>
          <t>9e7d9fb8-5123-4418-83a6-1bf78152554c.jpg</t>
        </is>
      </c>
      <c r="B2779">
        <f>HYPERLINK("Объекты недвижимости, не соответствующие градостроительным нормам_00-022_Август/9e7d9fb8-5123-4418-83a6-1bf78152554c.jpg","open")</f>
        <v/>
      </c>
      <c r="C2779" t="inlineStr">
        <is>
          <t>5e5b9944-4f9e-4223-bf96-0bc0c8a93dfa</t>
        </is>
      </c>
      <c r="D2779" t="n">
        <v>55.70068</v>
      </c>
      <c r="E2779" t="n">
        <v>37.46602</v>
      </c>
      <c r="F2779" t="inlineStr"/>
      <c r="G2779" t="inlineStr"/>
      <c r="H2779" t="inlineStr"/>
    </row>
    <row r="2780">
      <c r="A2780" t="inlineStr">
        <is>
          <t>d1a37922-61dc-4ece-aa5d-c5f7990b76a6.jpg</t>
        </is>
      </c>
      <c r="B2780">
        <f>HYPERLINK("Объекты недвижимости, не соответствующие градостроительным нормам_00-022_Август/d1a37922-61dc-4ece-aa5d-c5f7990b76a6.jpg","open")</f>
        <v/>
      </c>
      <c r="C2780" t="inlineStr">
        <is>
          <t>55da50d9-6d31-4c29-a85b-6a228578c6de</t>
        </is>
      </c>
      <c r="D2780" t="n">
        <v>55.74007</v>
      </c>
      <c r="E2780" t="n">
        <v>37.67415</v>
      </c>
      <c r="F2780" t="inlineStr"/>
      <c r="G2780" t="inlineStr"/>
      <c r="H2780" t="inlineStr"/>
    </row>
    <row r="2781">
      <c r="A2781" t="inlineStr">
        <is>
          <t>0075c500-7ca4-4d6e-8cc9-439100d75988.jpg</t>
        </is>
      </c>
      <c r="B2781">
        <f>HYPERLINK("Объекты недвижимости, не соответствующие градостроительным нормам_00-022_Август/0075c500-7ca4-4d6e-8cc9-439100d75988.jpg","open")</f>
        <v/>
      </c>
      <c r="C2781" t="inlineStr">
        <is>
          <t>5adecbcf-6742-48b8-951f-8e3abc9509e4</t>
        </is>
      </c>
      <c r="D2781" t="n">
        <v>55.70068</v>
      </c>
      <c r="E2781" t="n">
        <v>37.46602</v>
      </c>
      <c r="F2781" t="inlineStr"/>
      <c r="G2781" t="inlineStr"/>
      <c r="H2781" t="inlineStr"/>
    </row>
    <row r="2782">
      <c r="A2782" t="inlineStr">
        <is>
          <t>853cad76-2137-467c-89cf-da9616c4dd98.jpg</t>
        </is>
      </c>
      <c r="B2782">
        <f>HYPERLINK("Объекты недвижимости, не соответствующие градостроительным нормам_00-022_Август/853cad76-2137-467c-89cf-da9616c4dd98.jpg","open")</f>
        <v/>
      </c>
      <c r="C2782" t="inlineStr">
        <is>
          <t>5e5b9944-4f9e-4223-bf96-0bc0c8a93dfa</t>
        </is>
      </c>
      <c r="D2782" t="n">
        <v>55.70068</v>
      </c>
      <c r="E2782" t="n">
        <v>37.46602</v>
      </c>
      <c r="F2782" t="inlineStr"/>
      <c r="G2782" t="inlineStr"/>
      <c r="H2782" t="inlineStr"/>
    </row>
    <row r="2783">
      <c r="A2783" t="inlineStr">
        <is>
          <t>f5332792-9feb-4341-9e54-3a82b4f54ce1.jpg</t>
        </is>
      </c>
      <c r="B2783">
        <f>HYPERLINK("Объекты недвижимости, не соответствующие градостроительным нормам_00-022_Август/f5332792-9feb-4341-9e54-3a82b4f54ce1.jpg","open")</f>
        <v/>
      </c>
      <c r="C2783" t="inlineStr">
        <is>
          <t>1231bbc5-e64c-4dc7-9acc-77710f47607a</t>
        </is>
      </c>
      <c r="D2783" t="n">
        <v>55.74622</v>
      </c>
      <c r="E2783" t="n">
        <v>37.85431</v>
      </c>
      <c r="F2783" t="inlineStr"/>
      <c r="G2783" t="inlineStr"/>
      <c r="H2783" t="inlineStr"/>
    </row>
    <row r="2784">
      <c r="A2784" t="inlineStr">
        <is>
          <t>bce46c23-32ea-4178-b713-d4fcb19174e0.jpg</t>
        </is>
      </c>
      <c r="B2784">
        <f>HYPERLINK("Объекты недвижимости, не соответствующие градостроительным нормам_00-022_Август/bce46c23-32ea-4178-b713-d4fcb19174e0.jpg","open")</f>
        <v/>
      </c>
      <c r="C2784" t="inlineStr">
        <is>
          <t>5e5b9944-4f9e-4223-bf96-0bc0c8a93dfa</t>
        </is>
      </c>
      <c r="D2784" t="n">
        <v>55.70068</v>
      </c>
      <c r="E2784" t="n">
        <v>37.46602</v>
      </c>
      <c r="F2784" t="inlineStr"/>
      <c r="G2784" t="inlineStr"/>
      <c r="H2784" t="inlineStr"/>
    </row>
    <row r="2785">
      <c r="A2785" t="inlineStr">
        <is>
          <t>fc78f0db-3896-4dcc-b0e4-db9fd8f5f804.jpg</t>
        </is>
      </c>
      <c r="B2785">
        <f>HYPERLINK("Объекты недвижимости, не соответствующие градостроительным нормам_00-022_Август/fc78f0db-3896-4dcc-b0e4-db9fd8f5f804.jpg","open")</f>
        <v/>
      </c>
      <c r="C2785" t="inlineStr">
        <is>
          <t>5adecbcf-6742-48b8-951f-8e3abc9509e4</t>
        </is>
      </c>
      <c r="D2785" t="n">
        <v>55.70068</v>
      </c>
      <c r="E2785" t="n">
        <v>37.46602</v>
      </c>
      <c r="F2785" t="inlineStr"/>
      <c r="G2785" t="inlineStr"/>
      <c r="H2785" t="inlineStr"/>
    </row>
    <row r="2786">
      <c r="A2786" t="inlineStr">
        <is>
          <t>06b6bbb4-c3a2-4414-8013-899f34643241.jpg</t>
        </is>
      </c>
      <c r="B2786">
        <f>HYPERLINK("Объекты недвижимости, не соответствующие градостроительным нормам_00-022_Август/06b6bbb4-c3a2-4414-8013-899f34643241.jpg","open")</f>
        <v/>
      </c>
      <c r="C2786" t="inlineStr">
        <is>
          <t>fce890a6-27da-4062-a046-08262a160ee6</t>
        </is>
      </c>
      <c r="D2786" t="n">
        <v>55.88712</v>
      </c>
      <c r="E2786" t="n">
        <v>37.51398</v>
      </c>
      <c r="F2786" t="inlineStr"/>
      <c r="G2786" t="inlineStr"/>
      <c r="H2786" t="inlineStr"/>
    </row>
    <row r="2787">
      <c r="A2787" t="inlineStr">
        <is>
          <t>19e7fc0f-c3e1-4425-8293-1440f19ae7ae.jpg</t>
        </is>
      </c>
      <c r="B2787">
        <f>HYPERLINK("Объекты недвижимости, не соответствующие градостроительным нормам_00-022_Август/19e7fc0f-c3e1-4425-8293-1440f19ae7ae.jpg","open")</f>
        <v/>
      </c>
      <c r="C2787" t="inlineStr">
        <is>
          <t>5adecbcf-6742-48b8-951f-8e3abc9509e4</t>
        </is>
      </c>
      <c r="D2787" t="n">
        <v>55.70068</v>
      </c>
      <c r="E2787" t="n">
        <v>37.46602</v>
      </c>
      <c r="F2787" t="inlineStr"/>
      <c r="G2787" t="inlineStr"/>
      <c r="H2787" t="inlineStr"/>
    </row>
    <row r="2788">
      <c r="A2788" t="inlineStr">
        <is>
          <t>b4d4eccd-0692-4725-8b09-d1902fb7c2dd.jpg</t>
        </is>
      </c>
      <c r="B2788">
        <f>HYPERLINK("Объекты недвижимости, не соответствующие градостроительным нормам_00-022_Август/b4d4eccd-0692-4725-8b09-d1902fb7c2dd.jpg","open")</f>
        <v/>
      </c>
      <c r="C2788" t="inlineStr">
        <is>
          <t>5e5b9944-4f9e-4223-bf96-0bc0c8a93dfa</t>
        </is>
      </c>
      <c r="D2788" t="n">
        <v>55.70068</v>
      </c>
      <c r="E2788" t="n">
        <v>37.46602</v>
      </c>
      <c r="F2788" t="inlineStr"/>
      <c r="G2788" t="inlineStr"/>
      <c r="H2788" t="inlineStr"/>
    </row>
    <row r="2789">
      <c r="A2789" t="inlineStr">
        <is>
          <t>8fbbfdba-f8c6-4fd6-8b50-50c48f6454c2.jpg</t>
        </is>
      </c>
      <c r="B2789">
        <f>HYPERLINK("Объекты недвижимости, не соответствующие градостроительным нормам_00-022_Август/8fbbfdba-f8c6-4fd6-8b50-50c48f6454c2.jpg","open")</f>
        <v/>
      </c>
      <c r="C2789" t="inlineStr">
        <is>
          <t>acedacc2-0d8b-4fc1-9622-25621a89d071</t>
        </is>
      </c>
      <c r="D2789" t="n">
        <v>55.77782</v>
      </c>
      <c r="E2789" t="n">
        <v>37.82577</v>
      </c>
      <c r="F2789" t="inlineStr"/>
      <c r="G2789" t="inlineStr"/>
      <c r="H2789" t="inlineStr"/>
    </row>
    <row r="2790">
      <c r="A2790" t="inlineStr">
        <is>
          <t>dc14c765-648b-4975-83ba-3c61e7858df9.jpg</t>
        </is>
      </c>
      <c r="B2790">
        <f>HYPERLINK("Объекты недвижимости, не соответствующие градостроительным нормам_00-022_Август/dc14c765-648b-4975-83ba-3c61e7858df9.jpg","open")</f>
        <v/>
      </c>
      <c r="C2790" t="inlineStr">
        <is>
          <t>55da50d9-6d31-4c29-a85b-6a228578c6de</t>
        </is>
      </c>
      <c r="D2790" t="n">
        <v>55.74007</v>
      </c>
      <c r="E2790" t="n">
        <v>37.67415</v>
      </c>
      <c r="F2790" t="inlineStr"/>
      <c r="G2790" t="inlineStr"/>
      <c r="H2790" t="inlineStr"/>
    </row>
    <row r="2791">
      <c r="A2791" t="inlineStr">
        <is>
          <t>9e9d5058-1b76-41bf-8ffb-813c1212f94c.jpg</t>
        </is>
      </c>
      <c r="B2791">
        <f>HYPERLINK("Объекты недвижимости, не соответствующие градостроительным нормам_00-022_Август/9e9d5058-1b76-41bf-8ffb-813c1212f94c.jpg","open")</f>
        <v/>
      </c>
      <c r="C2791" t="inlineStr">
        <is>
          <t>8b2675e2-7f40-47a9-a462-7c9feecd299c</t>
        </is>
      </c>
      <c r="D2791" t="n">
        <v>55.74007</v>
      </c>
      <c r="E2791" t="n">
        <v>37.67415</v>
      </c>
      <c r="F2791" t="inlineStr"/>
      <c r="G2791" t="inlineStr"/>
      <c r="H2791" t="inlineStr"/>
    </row>
    <row r="2792">
      <c r="A2792" t="inlineStr">
        <is>
          <t>73cb6f70-cd59-47f1-859f-7ea576f00519.jpg</t>
        </is>
      </c>
      <c r="B2792">
        <f>HYPERLINK("Объекты недвижимости, не соответствующие градостроительным нормам_00-022_Август/73cb6f70-cd59-47f1-859f-7ea576f00519.jpg","open")</f>
        <v/>
      </c>
      <c r="C2792" t="inlineStr">
        <is>
          <t>ffd931da-542f-43e9-979f-5552b17fe3dc</t>
        </is>
      </c>
      <c r="D2792" t="n">
        <v>55.79485</v>
      </c>
      <c r="E2792" t="n">
        <v>37.69194</v>
      </c>
      <c r="F2792" t="inlineStr"/>
      <c r="G2792" t="inlineStr"/>
      <c r="H2792" t="inlineStr"/>
    </row>
    <row r="2793">
      <c r="A2793" t="inlineStr">
        <is>
          <t>17e6121e-0238-49b5-a11b-460274d90834.jpg</t>
        </is>
      </c>
      <c r="B2793">
        <f>HYPERLINK("Объекты недвижимости, не соответствующие градостроительным нормам_00-022_Август/17e6121e-0238-49b5-a11b-460274d90834.jpg","open")</f>
        <v/>
      </c>
      <c r="C2793" t="inlineStr">
        <is>
          <t>93848fc8-17e7-4748-9ebc-c7e379e11d2f</t>
        </is>
      </c>
      <c r="D2793" t="n">
        <v>55.65759</v>
      </c>
      <c r="E2793" t="n">
        <v>37.70688</v>
      </c>
      <c r="F2793" t="inlineStr"/>
      <c r="G2793" t="inlineStr"/>
      <c r="H2793" t="inlineStr"/>
    </row>
    <row r="2794">
      <c r="A2794" t="inlineStr">
        <is>
          <t>ef8af3ce-7db1-420f-a149-e6d596e55c5b.jpg</t>
        </is>
      </c>
      <c r="B2794">
        <f>HYPERLINK("Объекты недвижимости, не соответствующие градостроительным нормам_00-022_Август/ef8af3ce-7db1-420f-a149-e6d596e55c5b.jpg","open")</f>
        <v/>
      </c>
      <c r="C2794" t="inlineStr">
        <is>
          <t>57812597-37e6-414c-8b11-8c661dbfeb70</t>
        </is>
      </c>
      <c r="D2794" t="n">
        <v>55.73594</v>
      </c>
      <c r="E2794" t="n">
        <v>37.65368</v>
      </c>
      <c r="F2794" t="inlineStr"/>
      <c r="G2794" t="inlineStr"/>
      <c r="H2794" t="inlineStr"/>
    </row>
    <row r="2795">
      <c r="A2795" t="inlineStr">
        <is>
          <t>16cde80c-0310-42f0-821a-6ec386fc7b5a.jpg</t>
        </is>
      </c>
      <c r="B2795">
        <f>HYPERLINK("Объекты недвижимости, не соответствующие градостроительным нормам_00-022_Август/16cde80c-0310-42f0-821a-6ec386fc7b5a.jpg","open")</f>
        <v/>
      </c>
      <c r="C2795" t="inlineStr">
        <is>
          <t>ffd931da-542f-43e9-979f-5552b17fe3dc</t>
        </is>
      </c>
      <c r="D2795" t="n">
        <v>55.79494</v>
      </c>
      <c r="E2795" t="n">
        <v>37.68946</v>
      </c>
      <c r="F2795" t="inlineStr"/>
      <c r="G2795" t="inlineStr"/>
      <c r="H2795" t="inlineStr"/>
    </row>
    <row r="2796">
      <c r="A2796" t="inlineStr">
        <is>
          <t>8bf75b8c-cd47-4dca-84ed-0cdede777ef9.jpg</t>
        </is>
      </c>
      <c r="B2796">
        <f>HYPERLINK("Объекты недвижимости, не соответствующие градостроительным нормам_00-022_Август/8bf75b8c-cd47-4dca-84ed-0cdede777ef9.jpg","open")</f>
        <v/>
      </c>
      <c r="C2796" t="inlineStr">
        <is>
          <t>fce890a6-27da-4062-a046-08262a160ee6</t>
        </is>
      </c>
      <c r="D2796" t="n">
        <v>55.88733</v>
      </c>
      <c r="E2796" t="n">
        <v>37.50802</v>
      </c>
      <c r="F2796" t="inlineStr"/>
      <c r="G2796" t="inlineStr"/>
      <c r="H2796" t="inlineStr"/>
    </row>
    <row r="2797">
      <c r="A2797" t="inlineStr">
        <is>
          <t>f80cc1a5-1cc1-441c-b221-ef8b05221024.jpg</t>
        </is>
      </c>
      <c r="B2797">
        <f>HYPERLINK("Объекты недвижимости, не соответствующие градостроительным нормам_00-022_Август/f80cc1a5-1cc1-441c-b221-ef8b05221024.jpg","open")</f>
        <v/>
      </c>
      <c r="C2797" t="inlineStr">
        <is>
          <t>57812597-37e6-414c-8b11-8c661dbfeb70</t>
        </is>
      </c>
      <c r="D2797" t="n">
        <v>55.73594</v>
      </c>
      <c r="E2797" t="n">
        <v>37.65368</v>
      </c>
      <c r="F2797" t="inlineStr"/>
      <c r="G2797" t="inlineStr"/>
      <c r="H2797" t="inlineStr"/>
    </row>
    <row r="2798">
      <c r="A2798" t="inlineStr">
        <is>
          <t>182f9a71-44bf-45c0-8505-0d50d1b5b078.jpg</t>
        </is>
      </c>
      <c r="B2798">
        <f>HYPERLINK("Объекты недвижимости, не соответствующие градостроительным нормам_00-022_Август/182f9a71-44bf-45c0-8505-0d50d1b5b078.jpg","open")</f>
        <v/>
      </c>
      <c r="C2798" t="inlineStr">
        <is>
          <t>8b2675e2-7f40-47a9-a462-7c9feecd299c</t>
        </is>
      </c>
      <c r="D2798" t="n">
        <v>55.74007</v>
      </c>
      <c r="E2798" t="n">
        <v>37.67415</v>
      </c>
      <c r="F2798" t="inlineStr"/>
      <c r="G2798" t="inlineStr"/>
      <c r="H2798" t="inlineStr"/>
    </row>
    <row r="2799">
      <c r="A2799" t="inlineStr">
        <is>
          <t>185f56bf-9069-4b56-bcda-82b0b26bb196.jpg</t>
        </is>
      </c>
      <c r="B2799">
        <f>HYPERLINK("Объекты недвижимости, не соответствующие градостроительным нормам_00-022_Август/185f56bf-9069-4b56-bcda-82b0b26bb196.jpg","open")</f>
        <v/>
      </c>
      <c r="C2799" t="inlineStr">
        <is>
          <t>61936922-4d4b-458e-80ea-6d4c450aa1d5</t>
        </is>
      </c>
      <c r="D2799" t="n">
        <v>55.76117</v>
      </c>
      <c r="E2799" t="n">
        <v>37.41764</v>
      </c>
      <c r="F2799" t="inlineStr"/>
      <c r="G2799" t="inlineStr"/>
      <c r="H2799" t="inlineStr"/>
    </row>
    <row r="2800">
      <c r="A2800" t="inlineStr">
        <is>
          <t>4460a985-ea0c-4e78-8229-53746c1217c6.jpg</t>
        </is>
      </c>
      <c r="B2800">
        <f>HYPERLINK("Объекты недвижимости, не соответствующие градостроительным нормам_00-022_Август/4460a985-ea0c-4e78-8229-53746c1217c6.jpg","open")</f>
        <v/>
      </c>
      <c r="C2800" t="inlineStr">
        <is>
          <t>8b2675e2-7f40-47a9-a462-7c9feecd299c</t>
        </is>
      </c>
      <c r="D2800" t="n">
        <v>55.74007</v>
      </c>
      <c r="E2800" t="n">
        <v>37.67415</v>
      </c>
      <c r="F2800" t="inlineStr"/>
      <c r="G2800" t="inlineStr"/>
      <c r="H2800" t="inlineStr"/>
    </row>
    <row r="2801">
      <c r="A2801" t="inlineStr">
        <is>
          <t>bd67d6a3-696e-4186-abe4-e29ad5b0fe06.jpg</t>
        </is>
      </c>
      <c r="B2801">
        <f>HYPERLINK("Объекты недвижимости, не соответствующие градостроительным нормам_00-022_Август/bd67d6a3-696e-4186-abe4-e29ad5b0fe06.jpg","open")</f>
        <v/>
      </c>
      <c r="C2801" t="inlineStr">
        <is>
          <t>61936922-4d4b-458e-80ea-6d4c450aa1d5</t>
        </is>
      </c>
      <c r="D2801" t="n">
        <v>55.96584</v>
      </c>
      <c r="E2801" t="n">
        <v>37.40818</v>
      </c>
      <c r="F2801" t="inlineStr"/>
      <c r="G2801" t="inlineStr"/>
      <c r="H2801" t="inlineStr"/>
    </row>
    <row r="2802">
      <c r="A2802" t="inlineStr">
        <is>
          <t>fce87a84-9edb-4c7a-ab9b-4939af3733b4.jpg</t>
        </is>
      </c>
      <c r="B2802">
        <f>HYPERLINK("Объекты недвижимости, не соответствующие градостроительным нормам_00-022_Август/fce87a84-9edb-4c7a-ab9b-4939af3733b4.jpg","open")</f>
        <v/>
      </c>
      <c r="C2802" t="inlineStr">
        <is>
          <t>ed2bf0f1-3a66-4913-896e-4420a9796c0b</t>
        </is>
      </c>
      <c r="D2802" t="n">
        <v>55.84704</v>
      </c>
      <c r="E2802" t="n">
        <v>37.38296</v>
      </c>
      <c r="F2802" t="inlineStr"/>
      <c r="G2802" t="inlineStr"/>
      <c r="H2802" t="inlineStr"/>
    </row>
    <row r="2803">
      <c r="A2803" t="inlineStr">
        <is>
          <t>95219f36-11e6-43bb-a95a-db3c739d25e7.jpg</t>
        </is>
      </c>
      <c r="B2803">
        <f>HYPERLINK("Объекты недвижимости, не соответствующие градостроительным нормам_00-022_Август/95219f36-11e6-43bb-a95a-db3c739d25e7.jpg","open")</f>
        <v/>
      </c>
      <c r="C2803" t="inlineStr">
        <is>
          <t>685d9054-b74f-49ab-857b-109fd2cec80d</t>
        </is>
      </c>
      <c r="D2803" t="n">
        <v>55.72497</v>
      </c>
      <c r="E2803" t="n">
        <v>37.80025</v>
      </c>
      <c r="F2803" t="inlineStr"/>
      <c r="G2803" t="inlineStr"/>
      <c r="H2803" t="inlineStr"/>
    </row>
    <row r="2804">
      <c r="A2804" t="inlineStr">
        <is>
          <t>c90a6699-5fb1-47a1-b5e9-1cbd637f0103.jpg</t>
        </is>
      </c>
      <c r="B2804">
        <f>HYPERLINK("Объекты недвижимости, не соответствующие градостроительным нормам_00-022_Август/c90a6699-5fb1-47a1-b5e9-1cbd637f0103.jpg","open")</f>
        <v/>
      </c>
      <c r="C2804" t="inlineStr">
        <is>
          <t>1a55986c-2c3f-40c0-b3d1-014dce77832e</t>
        </is>
      </c>
      <c r="D2804" t="n">
        <v>55.84757</v>
      </c>
      <c r="E2804" t="n">
        <v>37.38317</v>
      </c>
      <c r="F2804" t="inlineStr"/>
      <c r="G2804" t="inlineStr"/>
      <c r="H2804" t="inlineStr"/>
    </row>
    <row r="2805">
      <c r="A2805" t="inlineStr">
        <is>
          <t>4c414211-e68e-4225-8e36-e3d8026af353.jpg</t>
        </is>
      </c>
      <c r="B2805">
        <f>HYPERLINK("Объекты недвижимости, не соответствующие градостроительным нормам_00-022_Август/4c414211-e68e-4225-8e36-e3d8026af353.jpg","open")</f>
        <v/>
      </c>
      <c r="C2805" t="inlineStr">
        <is>
          <t>ed2bf0f1-3a66-4913-896e-4420a9796c0b</t>
        </is>
      </c>
      <c r="D2805" t="n">
        <v>55.8474</v>
      </c>
      <c r="E2805" t="n">
        <v>37.38288</v>
      </c>
      <c r="F2805" t="inlineStr"/>
      <c r="G2805" t="inlineStr"/>
      <c r="H2805" t="inlineStr"/>
    </row>
    <row r="2806">
      <c r="A2806" t="inlineStr">
        <is>
          <t>f15bbd32-5071-40d2-97da-e323560e6aff.jpg</t>
        </is>
      </c>
      <c r="B2806">
        <f>HYPERLINK("Объекты недвижимости, не соответствующие градостроительным нормам_00-022_Август/f15bbd32-5071-40d2-97da-e323560e6aff.jpg","open")</f>
        <v/>
      </c>
      <c r="C2806" t="inlineStr">
        <is>
          <t>1a55986c-2c3f-40c0-b3d1-014dce77832e</t>
        </is>
      </c>
      <c r="D2806" t="n">
        <v>55.8463</v>
      </c>
      <c r="E2806" t="n">
        <v>37.38054</v>
      </c>
      <c r="F2806" t="inlineStr"/>
      <c r="G2806" t="inlineStr"/>
      <c r="H2806" t="inlineStr"/>
    </row>
    <row r="2807">
      <c r="A2807" t="inlineStr">
        <is>
          <t>a762ac76-320e-44da-9a90-718fc9ee76cd.jpg</t>
        </is>
      </c>
      <c r="B2807">
        <f>HYPERLINK("Объекты недвижимости, не соответствующие градостроительным нормам_00-022_Август/a762ac76-320e-44da-9a90-718fc9ee76cd.jpg","open")</f>
        <v/>
      </c>
      <c r="C2807" t="inlineStr">
        <is>
          <t>8b2675e2-7f40-47a9-a462-7c9feecd299c</t>
        </is>
      </c>
      <c r="D2807" t="n">
        <v>55.77034</v>
      </c>
      <c r="E2807" t="n">
        <v>37.63228</v>
      </c>
      <c r="F2807" t="inlineStr"/>
      <c r="G2807" t="inlineStr"/>
      <c r="H2807" t="inlineStr"/>
    </row>
    <row r="2808">
      <c r="A2808" t="inlineStr">
        <is>
          <t>500bf0cd-33d2-4aa1-aaf1-85342f340544.jpg</t>
        </is>
      </c>
      <c r="B2808">
        <f>HYPERLINK("Объекты недвижимости, не соответствующие градостроительным нормам_00-022_Август/500bf0cd-33d2-4aa1-aaf1-85342f340544.jpg","open")</f>
        <v/>
      </c>
      <c r="C2808" t="inlineStr">
        <is>
          <t>685d9054-b74f-49ab-857b-109fd2cec80d</t>
        </is>
      </c>
      <c r="D2808" t="n">
        <v>55.73089</v>
      </c>
      <c r="E2808" t="n">
        <v>37.72796</v>
      </c>
      <c r="F2808" t="inlineStr"/>
      <c r="G2808" t="inlineStr"/>
      <c r="H2808" t="inlineStr"/>
    </row>
    <row r="2809">
      <c r="A2809" t="inlineStr">
        <is>
          <t>0ab0ee12-6403-4ac8-b565-c5e7a99aabb3.jpg</t>
        </is>
      </c>
      <c r="B2809">
        <f>HYPERLINK("Объекты недвижимости, не соответствующие градостроительным нормам_00-022_Август/0ab0ee12-6403-4ac8-b565-c5e7a99aabb3.jpg","open")</f>
        <v/>
      </c>
      <c r="C2809" t="inlineStr">
        <is>
          <t>db8b536c-32f2-4d9a-ae08-679d227e61f1</t>
        </is>
      </c>
      <c r="D2809" t="n">
        <v>55.68251</v>
      </c>
      <c r="E2809" t="n">
        <v>37.57044</v>
      </c>
      <c r="F2809" t="inlineStr"/>
      <c r="G2809" t="inlineStr"/>
      <c r="H2809" t="inlineStr"/>
    </row>
    <row r="2810">
      <c r="A2810" t="inlineStr">
        <is>
          <t>a5843f42-a454-4442-979b-f960566bdcc8.jpg</t>
        </is>
      </c>
      <c r="B2810">
        <f>HYPERLINK("Объекты недвижимости, не соответствующие градостроительным нормам_00-022_Август/a5843f42-a454-4442-979b-f960566bdcc8.jpg","open")</f>
        <v/>
      </c>
      <c r="C2810" t="inlineStr">
        <is>
          <t>8cde1fd0-eca1-4510-86ab-3c743b65fdfc</t>
        </is>
      </c>
      <c r="D2810" t="n">
        <v>55.61093</v>
      </c>
      <c r="E2810" t="n">
        <v>37.54348</v>
      </c>
      <c r="F2810" t="inlineStr"/>
      <c r="G2810" t="inlineStr"/>
      <c r="H2810" t="inlineStr"/>
    </row>
    <row r="2811">
      <c r="A2811" t="inlineStr">
        <is>
          <t>02f52fb3-6e26-4815-ae52-4f0641dd1dc6.jpg</t>
        </is>
      </c>
      <c r="B2811">
        <f>HYPERLINK("Объекты недвижимости, не соответствующие градостроительным нормам_00-022_Август/02f52fb3-6e26-4815-ae52-4f0641dd1dc6.jpg","open")</f>
        <v/>
      </c>
      <c r="C2811" t="inlineStr">
        <is>
          <t>685d9054-b74f-49ab-857b-109fd2cec80d</t>
        </is>
      </c>
      <c r="D2811" t="n">
        <v>55.7348</v>
      </c>
      <c r="E2811" t="n">
        <v>37.70668</v>
      </c>
      <c r="F2811" t="inlineStr"/>
      <c r="G2811" t="inlineStr"/>
      <c r="H2811" t="inlineStr"/>
    </row>
    <row r="2812">
      <c r="A2812" t="inlineStr">
        <is>
          <t>e69ccdcb-2632-4fed-b0cd-d66ad3bd67e9.jpg</t>
        </is>
      </c>
      <c r="B2812">
        <f>HYPERLINK("Объекты недвижимости, не соответствующие градостроительным нормам_00-022_Август/e69ccdcb-2632-4fed-b0cd-d66ad3bd67e9.jpg","open")</f>
        <v/>
      </c>
      <c r="C2812" t="inlineStr">
        <is>
          <t>db8b536c-32f2-4d9a-ae08-679d227e61f1</t>
        </is>
      </c>
      <c r="D2812" t="n">
        <v>55.68251</v>
      </c>
      <c r="E2812" t="n">
        <v>37.57044</v>
      </c>
      <c r="F2812" t="inlineStr"/>
      <c r="G2812" t="inlineStr"/>
      <c r="H2812" t="inlineStr"/>
    </row>
    <row r="2813">
      <c r="A2813" t="inlineStr">
        <is>
          <t>7a911aca-0521-448e-a923-dd3abf71afd5.jpg</t>
        </is>
      </c>
      <c r="B2813">
        <f>HYPERLINK("Объекты недвижимости, не соответствующие градостроительным нормам_00-022_Август/7a911aca-0521-448e-a923-dd3abf71afd5.jpg","open")</f>
        <v/>
      </c>
      <c r="C2813" t="inlineStr">
        <is>
          <t>db8b536c-32f2-4d9a-ae08-679d227e61f1</t>
        </is>
      </c>
      <c r="D2813" t="n">
        <v>55.68251</v>
      </c>
      <c r="E2813" t="n">
        <v>37.57044</v>
      </c>
      <c r="F2813" t="inlineStr"/>
      <c r="G2813" t="inlineStr"/>
      <c r="H2813" t="inlineStr"/>
    </row>
    <row r="2814">
      <c r="A2814" t="inlineStr">
        <is>
          <t>85893723-6cf3-48ff-86fd-35c2e6564798.jpg</t>
        </is>
      </c>
      <c r="B2814">
        <f>HYPERLINK("Объекты недвижимости, не соответствующие градостроительным нормам_00-022_Август/85893723-6cf3-48ff-86fd-35c2e6564798.jpg","open")</f>
        <v/>
      </c>
      <c r="C2814" t="inlineStr">
        <is>
          <t>1231bbc5-e64c-4dc7-9acc-77710f47607a</t>
        </is>
      </c>
      <c r="D2814" t="n">
        <v>55.74473</v>
      </c>
      <c r="E2814" t="n">
        <v>37.69901</v>
      </c>
      <c r="F2814" t="inlineStr"/>
      <c r="G2814" t="inlineStr"/>
      <c r="H2814" t="inlineStr"/>
    </row>
    <row r="2815">
      <c r="A2815" t="inlineStr">
        <is>
          <t>6f49f7f0-e93b-461d-95b8-d34ffbdace88.jpg</t>
        </is>
      </c>
      <c r="B2815">
        <f>HYPERLINK("Объекты недвижимости, не соответствующие градостроительным нормам_00-022_Август/6f49f7f0-e93b-461d-95b8-d34ffbdace88.jpg","open")</f>
        <v/>
      </c>
      <c r="C2815" t="inlineStr">
        <is>
          <t>8cde1fd0-eca1-4510-86ab-3c743b65fdfc</t>
        </is>
      </c>
      <c r="D2815" t="n">
        <v>55.59668</v>
      </c>
      <c r="E2815" t="n">
        <v>37.53529</v>
      </c>
      <c r="F2815" t="inlineStr"/>
      <c r="G2815" t="inlineStr"/>
      <c r="H2815" t="inlineStr"/>
    </row>
    <row r="2816">
      <c r="A2816" t="inlineStr">
        <is>
          <t>7294b909-ca11-45b3-8a58-3899e302a617.jpg</t>
        </is>
      </c>
      <c r="B2816">
        <f>HYPERLINK("Объекты недвижимости, не соответствующие градостроительным нормам_00-022_Август/7294b909-ca11-45b3-8a58-3899e302a617.jpg","open")</f>
        <v/>
      </c>
      <c r="C2816" t="inlineStr">
        <is>
          <t>ed2bf0f1-3a66-4913-896e-4420a9796c0b</t>
        </is>
      </c>
      <c r="D2816" t="n">
        <v>55.97193</v>
      </c>
      <c r="E2816" t="n">
        <v>37.42994</v>
      </c>
      <c r="F2816" t="inlineStr"/>
      <c r="G2816" t="inlineStr"/>
      <c r="H2816" t="inlineStr"/>
    </row>
    <row r="2817">
      <c r="A2817" t="inlineStr">
        <is>
          <t>8d4f237e-24e1-4c24-9005-02a72637e959.jpg</t>
        </is>
      </c>
      <c r="B2817">
        <f>HYPERLINK("Объекты недвижимости, не соответствующие градостроительным нормам_00-022_Август/8d4f237e-24e1-4c24-9005-02a72637e959.jpg","open")</f>
        <v/>
      </c>
      <c r="C2817" t="inlineStr">
        <is>
          <t>e90a3ac0-5b70-4ede-abeb-382371713306</t>
        </is>
      </c>
      <c r="D2817" t="n">
        <v>55.68251</v>
      </c>
      <c r="E2817" t="n">
        <v>37.57044</v>
      </c>
      <c r="F2817" t="inlineStr"/>
      <c r="G2817" t="inlineStr"/>
      <c r="H2817" t="inlineStr"/>
    </row>
    <row r="2818">
      <c r="A2818" t="inlineStr">
        <is>
          <t>61659b14-42ba-4117-a4d1-b1084d9e4aeb.jpg</t>
        </is>
      </c>
      <c r="B2818">
        <f>HYPERLINK("Объекты недвижимости, не соответствующие градостроительным нормам_00-022_Август/61659b14-42ba-4117-a4d1-b1084d9e4aeb.jpg","open")</f>
        <v/>
      </c>
      <c r="C2818" t="inlineStr">
        <is>
          <t>db8b536c-32f2-4d9a-ae08-679d227e61f1</t>
        </is>
      </c>
      <c r="D2818" t="n">
        <v>55.68251</v>
      </c>
      <c r="E2818" t="n">
        <v>37.57044</v>
      </c>
      <c r="F2818" t="inlineStr"/>
      <c r="G2818" t="inlineStr"/>
      <c r="H2818" t="inlineStr"/>
    </row>
    <row r="2819">
      <c r="A2819" t="inlineStr">
        <is>
          <t>5cfd8766-0e44-466d-bb03-2f43fdcab63e.jpg</t>
        </is>
      </c>
      <c r="B2819">
        <f>HYPERLINK("Объекты недвижимости, не соответствующие градостроительным нормам_00-022_Август/5cfd8766-0e44-466d-bb03-2f43fdcab63e.jpg","open")</f>
        <v/>
      </c>
      <c r="C2819" t="inlineStr">
        <is>
          <t>18a5c468-d9e6-4814-8477-1caf4a2e1fe9</t>
        </is>
      </c>
      <c r="D2819" t="n">
        <v>55.76226</v>
      </c>
      <c r="E2819" t="n">
        <v>37.6731</v>
      </c>
      <c r="F2819" t="inlineStr"/>
      <c r="G2819" t="inlineStr"/>
      <c r="H2819" t="inlineStr"/>
    </row>
    <row r="2820">
      <c r="A2820" t="inlineStr">
        <is>
          <t>b5650d5f-07fc-4517-9f29-2865fb9c6591.jpg</t>
        </is>
      </c>
      <c r="B2820">
        <f>HYPERLINK("Объекты недвижимости, не соответствующие градостроительным нормам_00-022_Август/b5650d5f-07fc-4517-9f29-2865fb9c6591.jpg","open")</f>
        <v/>
      </c>
      <c r="C2820" t="inlineStr">
        <is>
          <t>e90a3ac0-5b70-4ede-abeb-382371713306</t>
        </is>
      </c>
      <c r="D2820" t="n">
        <v>55.68251</v>
      </c>
      <c r="E2820" t="n">
        <v>37.57044</v>
      </c>
      <c r="F2820" t="inlineStr"/>
      <c r="G2820" t="inlineStr"/>
      <c r="H2820" t="inlineStr"/>
    </row>
    <row r="2821">
      <c r="A2821" t="inlineStr">
        <is>
          <t>53f63eaa-c82c-4b94-89c8-1b6ea86e6abb.jpg</t>
        </is>
      </c>
      <c r="B2821">
        <f>HYPERLINK("Объекты недвижимости, не соответствующие градостроительным нормам_00-022_Август/53f63eaa-c82c-4b94-89c8-1b6ea86e6abb.jpg","open")</f>
        <v/>
      </c>
      <c r="C2821" t="inlineStr">
        <is>
          <t>db8b536c-32f2-4d9a-ae08-679d227e61f1</t>
        </is>
      </c>
      <c r="D2821" t="n">
        <v>55.68251</v>
      </c>
      <c r="E2821" t="n">
        <v>37.57044</v>
      </c>
      <c r="F2821" t="inlineStr"/>
      <c r="G2821" t="inlineStr"/>
      <c r="H2821" t="inlineStr"/>
    </row>
    <row r="2822">
      <c r="A2822" t="inlineStr">
        <is>
          <t>a444a8f9-b709-4909-a6b9-3e323e1c95ef.jpg</t>
        </is>
      </c>
      <c r="B2822">
        <f>HYPERLINK("Объекты недвижимости, не соответствующие градостроительным нормам_00-022_Август/a444a8f9-b709-4909-a6b9-3e323e1c95ef.jpg","open")</f>
        <v/>
      </c>
      <c r="C2822" t="inlineStr">
        <is>
          <t>036c664f-5408-4fd0-b479-342c00468eeb</t>
        </is>
      </c>
      <c r="D2822" t="n">
        <v>55.68109</v>
      </c>
      <c r="E2822" t="n">
        <v>37.45463</v>
      </c>
      <c r="F2822" t="inlineStr"/>
      <c r="G2822" t="inlineStr"/>
      <c r="H2822" t="inlineStr"/>
    </row>
    <row r="2823">
      <c r="A2823" t="inlineStr">
        <is>
          <t>c0897521-d689-4895-bc42-9533879568a0.jpg</t>
        </is>
      </c>
      <c r="B2823">
        <f>HYPERLINK("Объекты недвижимости, не соответствующие градостроительным нормам_00-022_Август/c0897521-d689-4895-bc42-9533879568a0.jpg","open")</f>
        <v/>
      </c>
      <c r="C2823" t="inlineStr">
        <is>
          <t>b0429a31-0c70-4b9f-8ea5-73929d82f89e</t>
        </is>
      </c>
      <c r="D2823" t="n">
        <v>55.59113</v>
      </c>
      <c r="E2823" t="n">
        <v>37.60641</v>
      </c>
      <c r="F2823" t="inlineStr"/>
      <c r="G2823" t="inlineStr"/>
      <c r="H2823" t="inlineStr"/>
    </row>
    <row r="2824">
      <c r="A2824" t="inlineStr">
        <is>
          <t>0165ebb1-e684-4600-9f87-24385a02daa8.jpg</t>
        </is>
      </c>
      <c r="B2824">
        <f>HYPERLINK("Объекты недвижимости, не соответствующие градостроительным нормам_00-022_Август/0165ebb1-e684-4600-9f87-24385a02daa8.jpg","open")</f>
        <v/>
      </c>
      <c r="C2824" t="inlineStr">
        <is>
          <t>57aae8a4-582b-4309-8045-c8127a9f86ae</t>
        </is>
      </c>
      <c r="D2824" t="n">
        <v>55.7784</v>
      </c>
      <c r="E2824" t="n">
        <v>37.83003</v>
      </c>
      <c r="F2824" t="inlineStr"/>
      <c r="G2824" t="inlineStr"/>
      <c r="H2824" t="inlineStr"/>
    </row>
    <row r="2825">
      <c r="A2825" t="inlineStr">
        <is>
          <t>329e2425-ad0e-474c-9654-0f4781feb734.jpg</t>
        </is>
      </c>
      <c r="B2825">
        <f>HYPERLINK("Объекты недвижимости, не соответствующие градостроительным нормам_00-022_Август/329e2425-ad0e-474c-9654-0f4781feb734.jpg","open")</f>
        <v/>
      </c>
      <c r="C2825" t="inlineStr">
        <is>
          <t>cbf95b01-f708-45a3-9ec0-3603469b538e</t>
        </is>
      </c>
      <c r="D2825" t="n">
        <v>55.76163</v>
      </c>
      <c r="E2825" t="n">
        <v>37.58088</v>
      </c>
      <c r="F2825" t="inlineStr"/>
      <c r="G2825" t="inlineStr"/>
      <c r="H2825" t="inlineStr"/>
    </row>
    <row r="2826">
      <c r="A2826" t="inlineStr">
        <is>
          <t>5277722c-ead0-43a3-bf33-29179611186c.jpg</t>
        </is>
      </c>
      <c r="B2826">
        <f>HYPERLINK("Объекты недвижимости, не соответствующие градостроительным нормам_00-022_Август/5277722c-ead0-43a3-bf33-29179611186c.jpg","open")</f>
        <v/>
      </c>
      <c r="C2826" t="inlineStr">
        <is>
          <t>a1a9db89-3f74-42ef-8fad-ad69705102cd</t>
        </is>
      </c>
      <c r="D2826" t="n">
        <v>55.76299</v>
      </c>
      <c r="E2826" t="n">
        <v>37.58593</v>
      </c>
      <c r="F2826" t="inlineStr"/>
      <c r="G2826" t="inlineStr"/>
      <c r="H2826" t="inlineStr"/>
    </row>
    <row r="2827">
      <c r="A2827" t="inlineStr">
        <is>
          <t>d0b929d8-302b-4ada-aaa1-46288e84f89a.jpg</t>
        </is>
      </c>
      <c r="B2827">
        <f>HYPERLINK("Объекты недвижимости, не соответствующие градостроительным нормам_00-022_Август/d0b929d8-302b-4ada-aaa1-46288e84f89a.jpg","open")</f>
        <v/>
      </c>
      <c r="C2827" t="inlineStr">
        <is>
          <t>cbf95b01-f708-45a3-9ec0-3603469b538e</t>
        </is>
      </c>
      <c r="D2827" t="n">
        <v>55.76171</v>
      </c>
      <c r="E2827" t="n">
        <v>37.58073</v>
      </c>
      <c r="F2827" t="inlineStr"/>
      <c r="G2827" t="inlineStr"/>
      <c r="H2827" t="inlineStr"/>
    </row>
    <row r="2828">
      <c r="A2828" t="inlineStr">
        <is>
          <t>31780b26-10d5-4558-b332-479b1e81e4e7.jpg</t>
        </is>
      </c>
      <c r="B2828">
        <f>HYPERLINK("Объекты недвижимости, не соответствующие градостроительным нормам_00-022_Август/31780b26-10d5-4558-b332-479b1e81e4e7.jpg","open")</f>
        <v/>
      </c>
      <c r="C2828" t="inlineStr">
        <is>
          <t>cbf95b01-f708-45a3-9ec0-3603469b538e</t>
        </is>
      </c>
      <c r="D2828" t="n">
        <v>55.76163</v>
      </c>
      <c r="E2828" t="n">
        <v>37.58088</v>
      </c>
      <c r="F2828" t="inlineStr"/>
      <c r="G2828" t="inlineStr"/>
      <c r="H2828" t="inlineStr"/>
    </row>
    <row r="2829">
      <c r="A2829" t="inlineStr">
        <is>
          <t>138c2d8b-fa44-446c-b08d-4e09a6b341b9.jpg</t>
        </is>
      </c>
      <c r="B2829">
        <f>HYPERLINK("Объекты недвижимости, не соответствующие градостроительным нормам_00-022_Август/138c2d8b-fa44-446c-b08d-4e09a6b341b9.jpg","open")</f>
        <v/>
      </c>
      <c r="C2829" t="inlineStr">
        <is>
          <t>cbf95b01-f708-45a3-9ec0-3603469b538e</t>
        </is>
      </c>
      <c r="D2829" t="n">
        <v>55.76143</v>
      </c>
      <c r="E2829" t="n">
        <v>37.58047</v>
      </c>
      <c r="F2829" t="inlineStr"/>
      <c r="G2829" t="inlineStr"/>
      <c r="H2829" t="inlineStr"/>
    </row>
    <row r="2830">
      <c r="A2830" t="inlineStr">
        <is>
          <t>4a2d115a-d5f6-406a-b468-d0e6f145a076.jpg</t>
        </is>
      </c>
      <c r="B2830">
        <f>HYPERLINK("Объекты недвижимости, не соответствующие градостроительным нормам_00-022_Август/4a2d115a-d5f6-406a-b468-d0e6f145a076.jpg","open")</f>
        <v/>
      </c>
      <c r="C2830" t="inlineStr">
        <is>
          <t>750bf7e4-0f0f-4f1a-96af-607dc8c1f1c9</t>
        </is>
      </c>
      <c r="D2830" t="n">
        <v>55.61034</v>
      </c>
      <c r="E2830" t="n">
        <v>37.25678</v>
      </c>
      <c r="F2830" t="inlineStr"/>
      <c r="G2830" t="inlineStr"/>
      <c r="H2830" t="inlineStr"/>
    </row>
    <row r="2831">
      <c r="A2831" t="inlineStr">
        <is>
          <t>f19bad12-4faf-4b21-8d75-2d9bdc8bbe7e.jpg</t>
        </is>
      </c>
      <c r="B2831">
        <f>HYPERLINK("Объекты недвижимости, не соответствующие градостроительным нормам_00-022_Август/f19bad12-4faf-4b21-8d75-2d9bdc8bbe7e.jpg","open")</f>
        <v/>
      </c>
      <c r="C2831" t="inlineStr">
        <is>
          <t>cbf95b01-f708-45a3-9ec0-3603469b538e</t>
        </is>
      </c>
      <c r="D2831" t="n">
        <v>55.76141</v>
      </c>
      <c r="E2831" t="n">
        <v>37.58039</v>
      </c>
      <c r="F2831" t="inlineStr"/>
      <c r="G2831" t="inlineStr"/>
      <c r="H2831" t="inlineStr"/>
    </row>
    <row r="2832">
      <c r="A2832" t="inlineStr">
        <is>
          <t>eb974309-4760-46f6-952c-126b56fbba15.jpg</t>
        </is>
      </c>
      <c r="B2832">
        <f>HYPERLINK("Объекты недвижимости, не соответствующие градостроительным нормам_00-022_Август/eb974309-4760-46f6-952c-126b56fbba15.jpg","open")</f>
        <v/>
      </c>
      <c r="C2832" t="inlineStr">
        <is>
          <t>cbf95b01-f708-45a3-9ec0-3603469b538e</t>
        </is>
      </c>
      <c r="D2832" t="n">
        <v>55.76142</v>
      </c>
      <c r="E2832" t="n">
        <v>37.58006</v>
      </c>
      <c r="F2832" t="inlineStr"/>
      <c r="G2832" t="inlineStr"/>
      <c r="H2832" t="inlineStr"/>
    </row>
    <row r="2833">
      <c r="A2833" t="inlineStr">
        <is>
          <t>548b984c-96d9-401a-a92d-f48d7432bbcb.jpg</t>
        </is>
      </c>
      <c r="B2833">
        <f>HYPERLINK("Объекты недвижимости, не соответствующие градостроительным нормам_00-022_Август/548b984c-96d9-401a-a92d-f48d7432bbcb.jpg","open")</f>
        <v/>
      </c>
      <c r="C2833" t="inlineStr">
        <is>
          <t>cbf95b01-f708-45a3-9ec0-3603469b538e</t>
        </is>
      </c>
      <c r="D2833" t="n">
        <v>55.76139</v>
      </c>
      <c r="E2833" t="n">
        <v>37.58014</v>
      </c>
      <c r="F2833" t="inlineStr"/>
      <c r="G2833" t="inlineStr"/>
      <c r="H2833" t="inlineStr"/>
    </row>
    <row r="2834">
      <c r="A2834" t="inlineStr">
        <is>
          <t>97cee693-77b6-4f0b-ac3d-5e6c075837dc.jpg</t>
        </is>
      </c>
      <c r="B2834">
        <f>HYPERLINK("Объекты недвижимости, не соответствующие градостроительным нормам_00-022_Август/97cee693-77b6-4f0b-ac3d-5e6c075837dc.jpg","open")</f>
        <v/>
      </c>
      <c r="C2834" t="inlineStr">
        <is>
          <t>cbf95b01-f708-45a3-9ec0-3603469b538e</t>
        </is>
      </c>
      <c r="D2834" t="n">
        <v>55.76131</v>
      </c>
      <c r="E2834" t="n">
        <v>37.57966</v>
      </c>
      <c r="F2834" t="inlineStr"/>
      <c r="G2834" t="inlineStr"/>
      <c r="H2834" t="inlineStr"/>
    </row>
    <row r="2835">
      <c r="A2835" t="inlineStr">
        <is>
          <t>3a5a2264-657c-4833-9868-78860e5ce13b.jpg</t>
        </is>
      </c>
      <c r="B2835">
        <f>HYPERLINK("Объекты недвижимости, не соответствующие градостроительным нормам_00-022_Август/3a5a2264-657c-4833-9868-78860e5ce13b.jpg","open")</f>
        <v/>
      </c>
      <c r="C2835" t="inlineStr">
        <is>
          <t>cbf95b01-f708-45a3-9ec0-3603469b538e</t>
        </is>
      </c>
      <c r="D2835" t="n">
        <v>55.76133</v>
      </c>
      <c r="E2835" t="n">
        <v>37.58002</v>
      </c>
      <c r="F2835" t="inlineStr"/>
      <c r="G2835" t="inlineStr"/>
      <c r="H2835" t="inlineStr"/>
    </row>
    <row r="2836">
      <c r="A2836" t="inlineStr">
        <is>
          <t>781fe8c8-2d4b-4bea-9e67-f2e2ddd79f1e.jpg</t>
        </is>
      </c>
      <c r="B2836">
        <f>HYPERLINK("Объекты недвижимости, не соответствующие градостроительным нормам_00-022_Август/781fe8c8-2d4b-4bea-9e67-f2e2ddd79f1e.jpg","open")</f>
        <v/>
      </c>
      <c r="C2836" t="inlineStr">
        <is>
          <t>cbf95b01-f708-45a3-9ec0-3603469b538e</t>
        </is>
      </c>
      <c r="D2836" t="n">
        <v>55.76138</v>
      </c>
      <c r="E2836" t="n">
        <v>37.58029</v>
      </c>
      <c r="F2836" t="inlineStr"/>
      <c r="G2836" t="inlineStr"/>
      <c r="H2836" t="inlineStr"/>
    </row>
    <row r="2837">
      <c r="A2837" t="inlineStr">
        <is>
          <t>e0615b86-5ba7-4b87-af29-6e73241ee8e3.jpg</t>
        </is>
      </c>
      <c r="B2837">
        <f>HYPERLINK("Объекты недвижимости, не соответствующие градостроительным нормам_00-022_Август/e0615b86-5ba7-4b87-af29-6e73241ee8e3.jpg","open")</f>
        <v/>
      </c>
      <c r="C2837" t="inlineStr">
        <is>
          <t>cbf95b01-f708-45a3-9ec0-3603469b538e</t>
        </is>
      </c>
      <c r="D2837" t="n">
        <v>55.76129</v>
      </c>
      <c r="E2837" t="n">
        <v>37.58077</v>
      </c>
      <c r="F2837" t="inlineStr"/>
      <c r="G2837" t="inlineStr"/>
      <c r="H2837" t="inlineStr"/>
    </row>
    <row r="2838">
      <c r="A2838" t="inlineStr">
        <is>
          <t>9364efc6-952a-470e-9e8b-8f70a79a6add.jpg</t>
        </is>
      </c>
      <c r="B2838">
        <f>HYPERLINK("Объекты недвижимости, не соответствующие градостроительным нормам_00-022_Август/9364efc6-952a-470e-9e8b-8f70a79a6add.jpg","open")</f>
        <v/>
      </c>
      <c r="C2838" t="inlineStr">
        <is>
          <t>cbf95b01-f708-45a3-9ec0-3603469b538e</t>
        </is>
      </c>
      <c r="D2838" t="n">
        <v>55.76122</v>
      </c>
      <c r="E2838" t="n">
        <v>37.58099</v>
      </c>
      <c r="F2838" t="inlineStr"/>
      <c r="G2838" t="inlineStr"/>
      <c r="H2838" t="inlineStr"/>
    </row>
    <row r="2839">
      <c r="A2839" t="inlineStr">
        <is>
          <t>a2301f3f-1f30-4a9e-b896-7b6350f23b86.jpg</t>
        </is>
      </c>
      <c r="B2839">
        <f>HYPERLINK("Объекты недвижимости, не соответствующие градостроительным нормам_00-022_Август/a2301f3f-1f30-4a9e-b896-7b6350f23b86.jpg","open")</f>
        <v/>
      </c>
      <c r="C2839" t="inlineStr">
        <is>
          <t>ed2bf0f1-3a66-4913-896e-4420a9796c0b</t>
        </is>
      </c>
      <c r="D2839" t="n">
        <v>55.85295</v>
      </c>
      <c r="E2839" t="n">
        <v>37.34258</v>
      </c>
      <c r="F2839" t="inlineStr"/>
      <c r="G2839" t="inlineStr"/>
      <c r="H2839" t="inlineStr"/>
    </row>
    <row r="2840">
      <c r="A2840" t="inlineStr">
        <is>
          <t>466bbdc2-a012-494f-a74c-5794700d5caa.jpg</t>
        </is>
      </c>
      <c r="B2840">
        <f>HYPERLINK("Объекты недвижимости, не соответствующие градостроительным нормам_00-022_Август/466bbdc2-a012-494f-a74c-5794700d5caa.jpg","open")</f>
        <v/>
      </c>
      <c r="C2840" t="inlineStr">
        <is>
          <t>750bf7e4-0f0f-4f1a-96af-607dc8c1f1c9</t>
        </is>
      </c>
      <c r="D2840" t="n">
        <v>55.61503</v>
      </c>
      <c r="E2840" t="n">
        <v>37.2651</v>
      </c>
      <c r="F2840" t="inlineStr"/>
      <c r="G2840" t="inlineStr"/>
      <c r="H2840" t="inlineStr"/>
    </row>
    <row r="2841">
      <c r="A2841" t="inlineStr">
        <is>
          <t>3b8ba1df-e50d-4308-bbb2-7bddcf46e75b.jpg</t>
        </is>
      </c>
      <c r="B2841">
        <f>HYPERLINK("Объекты недвижимости, не соответствующие градостроительным нормам_00-022_Август/3b8ba1df-e50d-4308-bbb2-7bddcf46e75b.jpg","open")</f>
        <v/>
      </c>
      <c r="C2841" t="inlineStr">
        <is>
          <t>31a713a9-b910-424b-b847-e0eaa2f70c70</t>
        </is>
      </c>
      <c r="D2841" t="n">
        <v>55.61503</v>
      </c>
      <c r="E2841" t="n">
        <v>37.2651</v>
      </c>
      <c r="F2841" t="inlineStr"/>
      <c r="G2841" t="inlineStr"/>
      <c r="H2841" t="inlineStr"/>
    </row>
    <row r="2842">
      <c r="A2842" t="inlineStr">
        <is>
          <t>6ab7d69b-133c-4654-b41e-d3316c12b024.jpg</t>
        </is>
      </c>
      <c r="B2842">
        <f>HYPERLINK("Объекты недвижимости, не соответствующие градостроительным нормам_00-022_Август/6ab7d69b-133c-4654-b41e-d3316c12b024.jpg","open")</f>
        <v/>
      </c>
      <c r="C2842" t="inlineStr">
        <is>
          <t>797901ad-53b1-41b8-99d1-d59d59c863d5</t>
        </is>
      </c>
      <c r="D2842" t="n">
        <v>55.79668</v>
      </c>
      <c r="E2842" t="n">
        <v>37.79931</v>
      </c>
      <c r="F2842" t="inlineStr"/>
      <c r="G2842" t="inlineStr"/>
      <c r="H2842" t="inlineStr"/>
    </row>
    <row r="2843">
      <c r="A2843" t="inlineStr">
        <is>
          <t>83571006-aaaa-4888-bd70-2f16a5076507.jpg</t>
        </is>
      </c>
      <c r="B2843">
        <f>HYPERLINK("Объекты недвижимости, не соответствующие градостроительным нормам_00-022_Август/83571006-aaaa-4888-bd70-2f16a5076507.jpg","open")</f>
        <v/>
      </c>
      <c r="C2843" t="inlineStr">
        <is>
          <t>b0b7ea82-53be-40d0-b992-e2fd18611d5c</t>
        </is>
      </c>
      <c r="D2843" t="n">
        <v>55.65958</v>
      </c>
      <c r="E2843" t="n">
        <v>37.74488</v>
      </c>
      <c r="F2843" t="inlineStr"/>
      <c r="G2843" t="inlineStr"/>
      <c r="H2843" t="inlineStr"/>
    </row>
    <row r="2844">
      <c r="A2844" t="inlineStr">
        <is>
          <t>43bb27a2-57c3-49cb-93e8-7f8e4e534815.jpg</t>
        </is>
      </c>
      <c r="B2844">
        <f>HYPERLINK("Объекты недвижимости, не соответствующие градостроительным нормам_00-022_Август/43bb27a2-57c3-49cb-93e8-7f8e4e534815.jpg","open")</f>
        <v/>
      </c>
      <c r="C2844" t="inlineStr">
        <is>
          <t>936502dd-24a4-4256-9fdf-0d8fb72af3ed</t>
        </is>
      </c>
      <c r="D2844" t="n">
        <v>55.592</v>
      </c>
      <c r="E2844" t="n">
        <v>37.65772</v>
      </c>
      <c r="F2844" t="inlineStr"/>
      <c r="G2844" t="inlineStr"/>
      <c r="H2844" t="inlineStr"/>
    </row>
    <row r="2845">
      <c r="A2845" t="inlineStr">
        <is>
          <t>0c71556a-5998-4386-a74a-c88d03b0f093.jpg</t>
        </is>
      </c>
      <c r="B2845">
        <f>HYPERLINK("Объекты недвижимости, не соответствующие градостроительным нормам_00-022_Август/0c71556a-5998-4386-a74a-c88d03b0f093.jpg","open")</f>
        <v/>
      </c>
      <c r="C2845" t="inlineStr">
        <is>
          <t>2acfb2da-e3f6-464c-bd17-4b713522c142</t>
        </is>
      </c>
      <c r="D2845" t="n">
        <v>55.82415</v>
      </c>
      <c r="E2845" t="n">
        <v>37.5754</v>
      </c>
      <c r="F2845" t="inlineStr"/>
      <c r="G2845" t="inlineStr"/>
      <c r="H2845" t="inlineStr"/>
    </row>
    <row r="2846">
      <c r="A2846" t="inlineStr">
        <is>
          <t>0066aecc-c509-4433-a038-1d0531cb7477.jpg</t>
        </is>
      </c>
      <c r="B2846">
        <f>HYPERLINK("Объекты недвижимости, не соответствующие градостроительным нормам_00-022_Август/0066aecc-c509-4433-a038-1d0531cb7477.jpg","open")</f>
        <v/>
      </c>
      <c r="C2846" t="inlineStr">
        <is>
          <t>cbf95b01-f708-45a3-9ec0-3603469b538e</t>
        </is>
      </c>
      <c r="D2846" t="n">
        <v>55.74313</v>
      </c>
      <c r="E2846" t="n">
        <v>37.58384</v>
      </c>
      <c r="F2846" t="inlineStr"/>
      <c r="G2846" t="inlineStr"/>
      <c r="H2846" t="inlineStr"/>
    </row>
    <row r="2847">
      <c r="A2847" t="inlineStr">
        <is>
          <t>2de91daa-e56d-4523-9a45-d4c2df384bbc.jpg</t>
        </is>
      </c>
      <c r="B2847">
        <f>HYPERLINK("Объекты недвижимости, не соответствующие градостроительным нормам_00-022_Август/2de91daa-e56d-4523-9a45-d4c2df384bbc.jpg","open")</f>
        <v/>
      </c>
      <c r="C2847" t="inlineStr">
        <is>
          <t>036c664f-5408-4fd0-b479-342c00468eeb</t>
        </is>
      </c>
      <c r="D2847" t="n">
        <v>55.68069</v>
      </c>
      <c r="E2847" t="n">
        <v>37.45735</v>
      </c>
      <c r="F2847" t="inlineStr"/>
      <c r="G2847" t="inlineStr"/>
      <c r="H2847" t="inlineStr"/>
    </row>
    <row r="2848">
      <c r="A2848" t="inlineStr">
        <is>
          <t>1d5e66d9-446b-4def-9f1c-7ecabb489bc5.jpg</t>
        </is>
      </c>
      <c r="B2848">
        <f>HYPERLINK("Объекты недвижимости, не соответствующие градостроительным нормам_00-022_Август/1d5e66d9-446b-4def-9f1c-7ecabb489bc5.jpg","open")</f>
        <v/>
      </c>
      <c r="C2848" t="inlineStr">
        <is>
          <t>cbf95b01-f708-45a3-9ec0-3603469b538e</t>
        </is>
      </c>
      <c r="D2848" t="n">
        <v>55.74221</v>
      </c>
      <c r="E2848" t="n">
        <v>37.58384</v>
      </c>
      <c r="F2848" t="inlineStr"/>
      <c r="G2848" t="inlineStr"/>
      <c r="H2848" t="inlineStr"/>
    </row>
    <row r="2849">
      <c r="A2849" t="inlineStr">
        <is>
          <t>cac01757-77be-4b02-a199-fbc3a4be3b84.jpg</t>
        </is>
      </c>
      <c r="B2849">
        <f>HYPERLINK("Объекты недвижимости, не соответствующие градостроительным нормам_00-022_Август/cac01757-77be-4b02-a199-fbc3a4be3b84.jpg","open")</f>
        <v/>
      </c>
      <c r="C2849" t="inlineStr">
        <is>
          <t>cbf95b01-f708-45a3-9ec0-3603469b538e</t>
        </is>
      </c>
      <c r="D2849" t="n">
        <v>55.7422</v>
      </c>
      <c r="E2849" t="n">
        <v>37.58384</v>
      </c>
      <c r="F2849" t="inlineStr"/>
      <c r="G2849" t="inlineStr"/>
      <c r="H2849" t="inlineStr"/>
    </row>
    <row r="2850">
      <c r="A2850" t="inlineStr">
        <is>
          <t>56138f9e-2250-420f-9e01-51962f0c99bf.jpg</t>
        </is>
      </c>
      <c r="B2850">
        <f>HYPERLINK("Объекты недвижимости, не соответствующие градостроительным нормам_00-022_Август/56138f9e-2250-420f-9e01-51962f0c99bf.jpg","open")</f>
        <v/>
      </c>
      <c r="C2850" t="inlineStr">
        <is>
          <t>cbf95b01-f708-45a3-9ec0-3603469b538e</t>
        </is>
      </c>
      <c r="D2850" t="n">
        <v>55.7422</v>
      </c>
      <c r="E2850" t="n">
        <v>37.58384</v>
      </c>
      <c r="F2850" t="inlineStr"/>
      <c r="G2850" t="inlineStr"/>
      <c r="H2850" t="inlineStr"/>
    </row>
    <row r="2851">
      <c r="A2851" t="inlineStr">
        <is>
          <t>f7d12b13-33e8-45df-9b12-043787e14c61.jpg</t>
        </is>
      </c>
      <c r="B2851">
        <f>HYPERLINK("Объекты недвижимости, не соответствующие градостроительным нормам_00-022_Август/f7d12b13-33e8-45df-9b12-043787e14c61.jpg","open")</f>
        <v/>
      </c>
      <c r="C2851" t="inlineStr">
        <is>
          <t>e90a3ac0-5b70-4ede-abeb-382371713306</t>
        </is>
      </c>
      <c r="D2851" t="n">
        <v>55.68251</v>
      </c>
      <c r="E2851" t="n">
        <v>37.57044</v>
      </c>
      <c r="F2851" t="inlineStr"/>
      <c r="G2851" t="inlineStr"/>
      <c r="H2851" t="inlineStr"/>
    </row>
    <row r="2852">
      <c r="A2852" t="inlineStr">
        <is>
          <t>008b710c-a033-4bb6-82b1-90aadd761684.jpg</t>
        </is>
      </c>
      <c r="B2852">
        <f>HYPERLINK("Объекты недвижимости, не соответствующие градостроительным нормам_00-022_Август/008b710c-a033-4bb6-82b1-90aadd761684.jpg","open")</f>
        <v/>
      </c>
      <c r="C2852" t="inlineStr">
        <is>
          <t>caa4772d-6278-4484-a046-ee25514bf521</t>
        </is>
      </c>
      <c r="D2852" t="n">
        <v>55.67219</v>
      </c>
      <c r="E2852" t="n">
        <v>37.72172</v>
      </c>
      <c r="F2852" t="inlineStr"/>
      <c r="G2852" t="inlineStr"/>
      <c r="H2852" t="inlineStr"/>
    </row>
    <row r="2853">
      <c r="A2853" t="inlineStr">
        <is>
          <t>247f5973-957a-4746-a6f8-2b5c01527041.jpg</t>
        </is>
      </c>
      <c r="B2853">
        <f>HYPERLINK("Объекты недвижимости, не соответствующие градостроительным нормам_00-022_Август/247f5973-957a-4746-a6f8-2b5c01527041.jpg","open")</f>
        <v/>
      </c>
      <c r="C2853" t="inlineStr">
        <is>
          <t>b0429a31-0c70-4b9f-8ea5-73929d82f89e</t>
        </is>
      </c>
      <c r="D2853" t="n">
        <v>55.59195</v>
      </c>
      <c r="E2853" t="n">
        <v>37.609</v>
      </c>
      <c r="F2853" t="inlineStr"/>
      <c r="G2853" t="inlineStr"/>
      <c r="H2853" t="inlineStr"/>
    </row>
    <row r="2854">
      <c r="A2854" t="inlineStr">
        <is>
          <t>50021011-2dd1-435f-9844-c904b6c5ed13.jpg</t>
        </is>
      </c>
      <c r="B2854">
        <f>HYPERLINK("Объекты недвижимости, не соответствующие градостроительным нормам_00-022_Август/50021011-2dd1-435f-9844-c904b6c5ed13.jpg","open")</f>
        <v/>
      </c>
      <c r="C2854" t="inlineStr">
        <is>
          <t>9c930d0e-e445-452d-a046-325646b21ab7</t>
        </is>
      </c>
      <c r="D2854" t="n">
        <v>56.20943</v>
      </c>
      <c r="E2854" t="n">
        <v>38.2493</v>
      </c>
      <c r="F2854" t="inlineStr"/>
      <c r="G2854" t="inlineStr"/>
      <c r="H2854" t="inlineStr"/>
    </row>
    <row r="2855">
      <c r="A2855" t="inlineStr">
        <is>
          <t>211f4689-beeb-4d34-9148-e1ffbc3a4838.jpg</t>
        </is>
      </c>
      <c r="B2855">
        <f>HYPERLINK("Объекты недвижимости, не соответствующие градостроительным нормам_00-022_Август/211f4689-beeb-4d34-9148-e1ffbc3a4838.jpg","open")</f>
        <v/>
      </c>
      <c r="C2855" t="inlineStr">
        <is>
          <t>685d9054-b74f-49ab-857b-109fd2cec80d</t>
        </is>
      </c>
      <c r="D2855" t="n">
        <v>55.50583</v>
      </c>
      <c r="E2855" t="n">
        <v>37.19352</v>
      </c>
      <c r="F2855" t="inlineStr"/>
      <c r="G2855" t="inlineStr"/>
      <c r="H2855" t="inlineStr"/>
    </row>
    <row r="2856">
      <c r="A2856" t="inlineStr">
        <is>
          <t>bbcc3090-90e6-4c11-82b7-c9ec426f7d68.jpg</t>
        </is>
      </c>
      <c r="B2856">
        <f>HYPERLINK("Объекты недвижимости, не соответствующие градостроительным нормам_00-022_Август/bbcc3090-90e6-4c11-82b7-c9ec426f7d68.jpg","open")</f>
        <v/>
      </c>
      <c r="C2856" t="inlineStr">
        <is>
          <t>d2c4eccd-3e4b-406c-a903-0f5e43d0be35</t>
        </is>
      </c>
      <c r="D2856" t="n">
        <v>55.76226</v>
      </c>
      <c r="E2856" t="n">
        <v>37.6731</v>
      </c>
      <c r="F2856" t="inlineStr"/>
      <c r="G2856" t="inlineStr"/>
      <c r="H2856" t="inlineStr"/>
    </row>
    <row r="2857">
      <c r="A2857" t="inlineStr">
        <is>
          <t>88a3b06a-0092-42f1-bf69-b67741395fee.jpg</t>
        </is>
      </c>
      <c r="B2857">
        <f>HYPERLINK("Объекты недвижимости, не соответствующие градостроительным нормам_00-022_Август/88a3b06a-0092-42f1-bf69-b67741395fee.jpg","open")</f>
        <v/>
      </c>
      <c r="C2857" t="inlineStr">
        <is>
          <t>cbf95b01-f708-45a3-9ec0-3603469b538e</t>
        </is>
      </c>
      <c r="D2857" t="n">
        <v>55.73446</v>
      </c>
      <c r="E2857" t="n">
        <v>37.59542</v>
      </c>
      <c r="F2857" t="inlineStr"/>
      <c r="G2857" t="inlineStr"/>
      <c r="H2857" t="inlineStr"/>
    </row>
    <row r="2858">
      <c r="A2858" t="inlineStr">
        <is>
          <t>0670086d-a3bc-4fd4-b2e6-f387e8e59d1b.jpg</t>
        </is>
      </c>
      <c r="B2858">
        <f>HYPERLINK("Объекты недвижимости, не соответствующие градостроительным нормам_00-022_Август/0670086d-a3bc-4fd4-b2e6-f387e8e59d1b.jpg","open")</f>
        <v/>
      </c>
      <c r="C2858" t="inlineStr">
        <is>
          <t>a1a9db89-3f74-42ef-8fad-ad69705102cd</t>
        </is>
      </c>
      <c r="D2858" t="n">
        <v>55.73446</v>
      </c>
      <c r="E2858" t="n">
        <v>37.59542</v>
      </c>
      <c r="F2858" t="inlineStr"/>
      <c r="G2858" t="inlineStr"/>
      <c r="H2858" t="inlineStr"/>
    </row>
    <row r="2859">
      <c r="A2859" t="inlineStr">
        <is>
          <t>ab835ab0-6487-419c-ad35-c72fd4d2c0e8.jpg</t>
        </is>
      </c>
      <c r="B2859">
        <f>HYPERLINK("Объекты недвижимости, не соответствующие градостроительным нормам_00-022_Август/ab835ab0-6487-419c-ad35-c72fd4d2c0e8.jpg","open")</f>
        <v/>
      </c>
      <c r="C2859" t="inlineStr">
        <is>
          <t>cbf95b01-f708-45a3-9ec0-3603469b538e</t>
        </is>
      </c>
      <c r="D2859" t="n">
        <v>55.73446</v>
      </c>
      <c r="E2859" t="n">
        <v>37.59542</v>
      </c>
      <c r="F2859" t="inlineStr"/>
      <c r="G2859" t="inlineStr"/>
      <c r="H2859" t="inlineStr"/>
    </row>
    <row r="2860">
      <c r="A2860" t="inlineStr">
        <is>
          <t>18502383-c5b0-4b0b-9f15-b5c2933a9fa3.jpg</t>
        </is>
      </c>
      <c r="B2860">
        <f>HYPERLINK("Объекты недвижимости, не соответствующие градостроительным нормам_00-022_Август/18502383-c5b0-4b0b-9f15-b5c2933a9fa3.jpg","open")</f>
        <v/>
      </c>
      <c r="C2860" t="inlineStr">
        <is>
          <t>cbf95b01-f708-45a3-9ec0-3603469b538e</t>
        </is>
      </c>
      <c r="D2860" t="n">
        <v>55.73446</v>
      </c>
      <c r="E2860" t="n">
        <v>37.59542</v>
      </c>
      <c r="F2860" t="inlineStr"/>
      <c r="G2860" t="inlineStr"/>
      <c r="H2860" t="inlineStr"/>
    </row>
    <row r="2861">
      <c r="A2861" t="inlineStr">
        <is>
          <t>9cc07368-86e8-4d3e-8b5a-f601d4c9e879.jpg</t>
        </is>
      </c>
      <c r="B2861">
        <f>HYPERLINK("Объекты недвижимости, не соответствующие градостроительным нормам_00-022_Август/9cc07368-86e8-4d3e-8b5a-f601d4c9e879.jpg","open")</f>
        <v/>
      </c>
      <c r="C2861" t="inlineStr">
        <is>
          <t>cbf95b01-f708-45a3-9ec0-3603469b538e</t>
        </is>
      </c>
      <c r="D2861" t="n">
        <v>55.73446</v>
      </c>
      <c r="E2861" t="n">
        <v>37.59542</v>
      </c>
      <c r="F2861" t="inlineStr"/>
      <c r="G2861" t="inlineStr"/>
      <c r="H2861" t="inlineStr"/>
    </row>
    <row r="2862">
      <c r="A2862" t="inlineStr">
        <is>
          <t>b0e4bd26-b59e-4c21-b3ce-4a2e696e87f4.jpg</t>
        </is>
      </c>
      <c r="B2862">
        <f>HYPERLINK("Объекты недвижимости, не соответствующие градостроительным нормам_00-022_Август/b0e4bd26-b59e-4c21-b3ce-4a2e696e87f4.jpg","open")</f>
        <v/>
      </c>
      <c r="C2862" t="inlineStr">
        <is>
          <t>a1a9db89-3f74-42ef-8fad-ad69705102cd</t>
        </is>
      </c>
      <c r="D2862" t="n">
        <v>55.73446</v>
      </c>
      <c r="E2862" t="n">
        <v>37.59542</v>
      </c>
      <c r="F2862" t="inlineStr"/>
      <c r="G2862" t="inlineStr"/>
      <c r="H2862" t="inlineStr"/>
    </row>
    <row r="2863">
      <c r="A2863" t="inlineStr">
        <is>
          <t>be9e0eda-afa5-43e8-93ff-9b6f5cca3baf.jpg</t>
        </is>
      </c>
      <c r="B2863">
        <f>HYPERLINK("Объекты недвижимости, не соответствующие градостроительным нормам_00-022_Август/be9e0eda-afa5-43e8-93ff-9b6f5cca3baf.jpg","open")</f>
        <v/>
      </c>
      <c r="C2863" t="inlineStr">
        <is>
          <t>93848fc8-17e7-4748-9ebc-c7e379e11d2f</t>
        </is>
      </c>
      <c r="D2863" t="n">
        <v>55.68678</v>
      </c>
      <c r="E2863" t="n">
        <v>37.7323</v>
      </c>
      <c r="F2863" t="inlineStr"/>
      <c r="G2863" t="inlineStr"/>
      <c r="H2863" t="inlineStr"/>
    </row>
    <row r="2864">
      <c r="A2864" t="inlineStr">
        <is>
          <t>4eedb56b-af28-42e3-8dfa-dacee9ca3159.jpg</t>
        </is>
      </c>
      <c r="B2864">
        <f>HYPERLINK("Объекты недвижимости, не соответствующие градостроительным нормам_00-022_Август/4eedb56b-af28-42e3-8dfa-dacee9ca3159.jpg","open")</f>
        <v/>
      </c>
      <c r="C2864" t="inlineStr">
        <is>
          <t>ffd931da-542f-43e9-979f-5552b17fe3dc</t>
        </is>
      </c>
      <c r="D2864" t="n">
        <v>55.79657</v>
      </c>
      <c r="E2864" t="n">
        <v>37.68971</v>
      </c>
      <c r="F2864" t="inlineStr"/>
      <c r="G2864" t="inlineStr"/>
      <c r="H2864" t="inlineStr"/>
    </row>
    <row r="2865">
      <c r="A2865" t="inlineStr">
        <is>
          <t>be5d3aa3-3f68-444e-b1b8-0542100d01af.jpg</t>
        </is>
      </c>
      <c r="B2865">
        <f>HYPERLINK("Объекты недвижимости, не соответствующие градостроительным нормам_00-022_Август/be5d3aa3-3f68-444e-b1b8-0542100d01af.jpg","open")</f>
        <v/>
      </c>
      <c r="C2865" t="inlineStr">
        <is>
          <t>b0b7ea82-53be-40d0-b992-e2fd18611d5c</t>
        </is>
      </c>
      <c r="D2865" t="n">
        <v>55.65718</v>
      </c>
      <c r="E2865" t="n">
        <v>37.74251</v>
      </c>
      <c r="F2865" t="inlineStr"/>
      <c r="G2865" t="inlineStr"/>
      <c r="H2865" t="inlineStr"/>
    </row>
    <row r="2866">
      <c r="A2866" t="inlineStr">
        <is>
          <t>e970bb55-5d55-4680-9b5a-1df13be5b3db.jpg</t>
        </is>
      </c>
      <c r="B2866">
        <f>HYPERLINK("Объекты недвижимости, не соответствующие градостроительным нормам_00-022_Август/e970bb55-5d55-4680-9b5a-1df13be5b3db.jpg","open")</f>
        <v/>
      </c>
      <c r="C2866" t="inlineStr">
        <is>
          <t>f20fbc2b-b369-4734-bb66-92af02fbb0d1</t>
        </is>
      </c>
      <c r="D2866" t="n">
        <v>55.65718</v>
      </c>
      <c r="E2866" t="n">
        <v>37.7425</v>
      </c>
      <c r="F2866" t="inlineStr"/>
      <c r="G2866" t="inlineStr"/>
      <c r="H2866" t="inlineStr"/>
    </row>
    <row r="2867">
      <c r="A2867" t="inlineStr">
        <is>
          <t>88ff2a4c-11a2-4bb0-97cd-28a1ffba6a23.jpg</t>
        </is>
      </c>
      <c r="B2867">
        <f>HYPERLINK("Объекты недвижимости, не соответствующие градостроительным нормам_00-022_Август/88ff2a4c-11a2-4bb0-97cd-28a1ffba6a23.jpg","open")</f>
        <v/>
      </c>
      <c r="C2867" t="inlineStr">
        <is>
          <t>b0b7ea82-53be-40d0-b992-e2fd18611d5c</t>
        </is>
      </c>
      <c r="D2867" t="n">
        <v>55.66135</v>
      </c>
      <c r="E2867" t="n">
        <v>37.74689</v>
      </c>
      <c r="F2867" t="inlineStr"/>
      <c r="G2867" t="inlineStr"/>
      <c r="H2867" t="inlineStr"/>
    </row>
    <row r="2868">
      <c r="A2868" t="inlineStr">
        <is>
          <t>a2752f69-dcbb-42e5-a423-67d0ff2274a5.jpg</t>
        </is>
      </c>
      <c r="B2868">
        <f>HYPERLINK("Объекты недвижимости, не соответствующие градостроительным нормам_00-022_Август/a2752f69-dcbb-42e5-a423-67d0ff2274a5.jpg","open")</f>
        <v/>
      </c>
      <c r="C2868" t="inlineStr">
        <is>
          <t>db8b536c-32f2-4d9a-ae08-679d227e61f1</t>
        </is>
      </c>
      <c r="D2868" t="n">
        <v>55.70471</v>
      </c>
      <c r="E2868" t="n">
        <v>37.63673</v>
      </c>
      <c r="F2868" t="inlineStr"/>
      <c r="G2868" t="inlineStr"/>
      <c r="H2868" t="inlineStr"/>
    </row>
    <row r="2869">
      <c r="A2869" t="inlineStr">
        <is>
          <t>68a7ac50-c896-4926-9abf-4f371610a879.jpg</t>
        </is>
      </c>
      <c r="B2869">
        <f>HYPERLINK("Объекты недвижимости, не соответствующие градостроительным нормам_00-022_Август/68a7ac50-c896-4926-9abf-4f371610a879.jpg","open")</f>
        <v/>
      </c>
      <c r="C2869" t="inlineStr">
        <is>
          <t>8996eb30-6497-4318-8a0e-b95314b8172e</t>
        </is>
      </c>
      <c r="D2869" t="n">
        <v>55.86876</v>
      </c>
      <c r="E2869" t="n">
        <v>37.55725</v>
      </c>
      <c r="F2869" t="inlineStr"/>
      <c r="G2869" t="inlineStr"/>
      <c r="H2869" t="inlineStr"/>
    </row>
    <row r="2870">
      <c r="A2870" t="inlineStr">
        <is>
          <t>b16f4dc6-eb6c-4d8f-82ea-9c82b19974d1.jpg</t>
        </is>
      </c>
      <c r="B2870">
        <f>HYPERLINK("Объекты недвижимости, не соответствующие градостроительным нормам_00-022_Август/b16f4dc6-eb6c-4d8f-82ea-9c82b19974d1.jpg","open")</f>
        <v/>
      </c>
      <c r="C2870" t="inlineStr">
        <is>
          <t>b0429a31-0c70-4b9f-8ea5-73929d82f89e</t>
        </is>
      </c>
      <c r="D2870" t="n">
        <v>55.59116</v>
      </c>
      <c r="E2870" t="n">
        <v>37.61273</v>
      </c>
      <c r="F2870" t="inlineStr"/>
      <c r="G2870" t="inlineStr"/>
      <c r="H2870" t="inlineStr"/>
    </row>
    <row r="2871">
      <c r="A2871" t="inlineStr">
        <is>
          <t>e6679980-aea0-4109-8992-c7ca480f0eeb.jpg</t>
        </is>
      </c>
      <c r="B2871">
        <f>HYPERLINK("Объекты недвижимости, не соответствующие градостроительным нормам_00-022_Август/e6679980-aea0-4109-8992-c7ca480f0eeb.jpg","open")</f>
        <v/>
      </c>
      <c r="C2871" t="inlineStr">
        <is>
          <t>99f3abba-c55b-49f0-9de5-9f88e9597cc0</t>
        </is>
      </c>
      <c r="D2871" t="n">
        <v>55.59116</v>
      </c>
      <c r="E2871" t="n">
        <v>37.61273</v>
      </c>
      <c r="F2871" t="inlineStr"/>
      <c r="G2871" t="inlineStr"/>
      <c r="H2871" t="inlineStr"/>
    </row>
    <row r="2872">
      <c r="A2872" t="inlineStr">
        <is>
          <t>f1aa93b8-b362-4f90-94a4-ced1740ea88a.jpg</t>
        </is>
      </c>
      <c r="B2872">
        <f>HYPERLINK("Объекты недвижимости, не соответствующие градостроительным нормам_00-022_Август/f1aa93b8-b362-4f90-94a4-ced1740ea88a.jpg","open")</f>
        <v/>
      </c>
      <c r="C2872" t="inlineStr">
        <is>
          <t>29ad9edb-d533-4272-a986-be24eb004851</t>
        </is>
      </c>
      <c r="D2872" t="n">
        <v>55.78174</v>
      </c>
      <c r="E2872" t="n">
        <v>37.6684</v>
      </c>
      <c r="F2872" t="inlineStr"/>
      <c r="G2872" t="inlineStr"/>
      <c r="H2872" t="inlineStr"/>
    </row>
    <row r="2873">
      <c r="A2873" t="inlineStr">
        <is>
          <t>6652a0ba-a980-43bf-8dde-b7250e09ea74.jpg</t>
        </is>
      </c>
      <c r="B2873">
        <f>HYPERLINK("Объекты недвижимости, не соответствующие градостроительным нормам_00-022_Август/6652a0ba-a980-43bf-8dde-b7250e09ea74.jpg","open")</f>
        <v/>
      </c>
      <c r="C2873" t="inlineStr">
        <is>
          <t>685d9054-b74f-49ab-857b-109fd2cec80d</t>
        </is>
      </c>
      <c r="D2873" t="n">
        <v>55.70457</v>
      </c>
      <c r="E2873" t="n">
        <v>37.65928</v>
      </c>
      <c r="F2873" t="inlineStr"/>
      <c r="G2873" t="inlineStr"/>
      <c r="H2873" t="inlineStr"/>
    </row>
    <row r="2874">
      <c r="A2874" t="inlineStr">
        <is>
          <t>d51a7230-c568-4def-8af2-c97ac7f902c2.jpg</t>
        </is>
      </c>
      <c r="B2874">
        <f>HYPERLINK("Объекты недвижимости, не соответствующие градостроительным нормам_00-022_Август/d51a7230-c568-4def-8af2-c97ac7f902c2.jpg","open")</f>
        <v/>
      </c>
      <c r="C2874" t="inlineStr">
        <is>
          <t>29ad9edb-d533-4272-a986-be24eb004851</t>
        </is>
      </c>
      <c r="D2874" t="n">
        <v>55.78234</v>
      </c>
      <c r="E2874" t="n">
        <v>37.66829</v>
      </c>
      <c r="F2874" t="inlineStr"/>
      <c r="G2874" t="inlineStr"/>
      <c r="H2874" t="inlineStr"/>
    </row>
    <row r="2875">
      <c r="A2875" t="inlineStr">
        <is>
          <t>63c60324-94e6-403f-aaeb-1b4b8a21c465.jpg</t>
        </is>
      </c>
      <c r="B2875">
        <f>HYPERLINK("Объекты недвижимости, не соответствующие градостроительным нормам_00-022_Август/63c60324-94e6-403f-aaeb-1b4b8a21c465.jpg","open")</f>
        <v/>
      </c>
      <c r="C2875" t="inlineStr">
        <is>
          <t>b0429a31-0c70-4b9f-8ea5-73929d82f89e</t>
        </is>
      </c>
      <c r="D2875" t="n">
        <v>55.58958</v>
      </c>
      <c r="E2875" t="n">
        <v>37.61321</v>
      </c>
      <c r="F2875" t="inlineStr"/>
      <c r="G2875" t="inlineStr"/>
      <c r="H2875" t="inlineStr"/>
    </row>
    <row r="2876">
      <c r="A2876" t="inlineStr">
        <is>
          <t>a7370126-657b-4b7c-b86d-9ba138b53213.jpg</t>
        </is>
      </c>
      <c r="B2876">
        <f>HYPERLINK("Объекты недвижимости, не соответствующие градостроительным нормам_00-022_Август/a7370126-657b-4b7c-b86d-9ba138b53213.jpg","open")</f>
        <v/>
      </c>
      <c r="C2876" t="inlineStr">
        <is>
          <t>99f3abba-c55b-49f0-9de5-9f88e9597cc0</t>
        </is>
      </c>
      <c r="D2876" t="n">
        <v>55.58949</v>
      </c>
      <c r="E2876" t="n">
        <v>37.61316</v>
      </c>
      <c r="F2876" t="inlineStr"/>
      <c r="G2876" t="inlineStr"/>
      <c r="H2876" t="inlineStr"/>
    </row>
    <row r="2877">
      <c r="A2877" t="inlineStr">
        <is>
          <t>a2f908f5-8e73-459b-aa2f-9c451514325d.jpg</t>
        </is>
      </c>
      <c r="B2877">
        <f>HYPERLINK("Объекты недвижимости, не соответствующие градостроительным нормам_00-022_Август/a2f908f5-8e73-459b-aa2f-9c451514325d.jpg","open")</f>
        <v/>
      </c>
      <c r="C2877" t="inlineStr">
        <is>
          <t>93848fc8-17e7-4748-9ebc-c7e379e11d2f</t>
        </is>
      </c>
      <c r="D2877" t="n">
        <v>55.68866</v>
      </c>
      <c r="E2877" t="n">
        <v>37.72171</v>
      </c>
      <c r="F2877" t="inlineStr"/>
      <c r="G2877" t="inlineStr"/>
      <c r="H2877" t="inlineStr"/>
    </row>
    <row r="2878">
      <c r="A2878" t="inlineStr">
        <is>
          <t>bf4f5eaa-29cc-4835-baf6-f8d5ec3fbbff.jpg</t>
        </is>
      </c>
      <c r="B2878">
        <f>HYPERLINK("Объекты недвижимости, не соответствующие градостроительным нормам_00-022_Август/bf4f5eaa-29cc-4835-baf6-f8d5ec3fbbff.jpg","open")</f>
        <v/>
      </c>
      <c r="C2878" t="inlineStr">
        <is>
          <t>b0429a31-0c70-4b9f-8ea5-73929d82f89e</t>
        </is>
      </c>
      <c r="D2878" t="n">
        <v>55.58933</v>
      </c>
      <c r="E2878" t="n">
        <v>37.61135</v>
      </c>
      <c r="F2878" t="inlineStr"/>
      <c r="G2878" t="inlineStr"/>
      <c r="H2878" t="inlineStr"/>
    </row>
    <row r="2879">
      <c r="A2879" t="inlineStr">
        <is>
          <t>e25c01bc-d31b-4d2a-9c45-be40234ca032.jpg</t>
        </is>
      </c>
      <c r="B2879">
        <f>HYPERLINK("Объекты недвижимости, не соответствующие градостроительным нормам_00-022_Август/e25c01bc-d31b-4d2a-9c45-be40234ca032.jpg","open")</f>
        <v/>
      </c>
      <c r="C2879" t="inlineStr">
        <is>
          <t>b6b3590f-f506-4399-8205-e7ac710132e7</t>
        </is>
      </c>
      <c r="D2879" t="n">
        <v>55.80674</v>
      </c>
      <c r="E2879" t="n">
        <v>37.51187</v>
      </c>
      <c r="F2879" t="inlineStr"/>
      <c r="G2879" t="inlineStr"/>
      <c r="H2879" t="inlineStr"/>
    </row>
    <row r="2880">
      <c r="A2880" t="inlineStr">
        <is>
          <t>d3ef3a89-d721-4bff-8766-5de706e6f48d.jpg</t>
        </is>
      </c>
      <c r="B2880">
        <f>HYPERLINK("Объекты недвижимости, не соответствующие градостроительным нормам_00-022_Август/d3ef3a89-d721-4bff-8766-5de706e6f48d.jpg","open")</f>
        <v/>
      </c>
      <c r="C2880" t="inlineStr">
        <is>
          <t>12e795ad-2aa7-49de-b2da-2c6aa35a4559</t>
        </is>
      </c>
      <c r="D2880" t="n">
        <v>55.69696</v>
      </c>
      <c r="E2880" t="n">
        <v>37.57159</v>
      </c>
      <c r="F2880" t="inlineStr"/>
      <c r="G2880" t="inlineStr"/>
      <c r="H2880" t="inlineStr"/>
    </row>
    <row r="2881">
      <c r="A2881" t="inlineStr">
        <is>
          <t>d3f7f2b5-ffd8-41ad-8649-c41bf644d144.jpg</t>
        </is>
      </c>
      <c r="B2881">
        <f>HYPERLINK("Объекты недвижимости, не соответствующие градостроительным нормам_00-022_Август/d3f7f2b5-ffd8-41ad-8649-c41bf644d144.jpg","open")</f>
        <v/>
      </c>
      <c r="C2881" t="inlineStr">
        <is>
          <t>db8b536c-32f2-4d9a-ae08-679d227e61f1</t>
        </is>
      </c>
      <c r="D2881" t="n">
        <v>55.68745</v>
      </c>
      <c r="E2881" t="n">
        <v>37.58469</v>
      </c>
      <c r="F2881" t="inlineStr"/>
      <c r="G2881" t="inlineStr"/>
      <c r="H2881" t="inlineStr"/>
    </row>
    <row r="2882">
      <c r="A2882" t="inlineStr">
        <is>
          <t>1a602760-5e7e-4d8d-bc9b-8bd39699d7a5.jpg</t>
        </is>
      </c>
      <c r="B2882">
        <f>HYPERLINK("Объекты недвижимости, не соответствующие градостроительным нормам_00-022_Август/1a602760-5e7e-4d8d-bc9b-8bd39699d7a5.jpg","open")</f>
        <v/>
      </c>
      <c r="C2882" t="inlineStr">
        <is>
          <t>93848fc8-17e7-4748-9ebc-c7e379e11d2f</t>
        </is>
      </c>
      <c r="D2882" t="n">
        <v>55.68222</v>
      </c>
      <c r="E2882" t="n">
        <v>37.73016</v>
      </c>
      <c r="F2882" t="inlineStr"/>
      <c r="G2882" t="inlineStr"/>
      <c r="H2882" t="inlineStr"/>
    </row>
    <row r="2883">
      <c r="A2883" t="inlineStr">
        <is>
          <t>a2eb5083-d0d0-4a6e-bc60-c74022dba41c.jpg</t>
        </is>
      </c>
      <c r="B2883">
        <f>HYPERLINK("Объекты недвижимости, не соответствующие градостроительным нормам_00-022_Август/a2eb5083-d0d0-4a6e-bc60-c74022dba41c.jpg","open")</f>
        <v/>
      </c>
      <c r="C2883" t="inlineStr">
        <is>
          <t>99f3abba-c55b-49f0-9de5-9f88e9597cc0</t>
        </is>
      </c>
      <c r="D2883" t="n">
        <v>55.58968</v>
      </c>
      <c r="E2883" t="n">
        <v>37.60859</v>
      </c>
      <c r="F2883" t="inlineStr"/>
      <c r="G2883" t="inlineStr"/>
      <c r="H2883" t="inlineStr"/>
    </row>
    <row r="2884">
      <c r="A2884" t="inlineStr">
        <is>
          <t>9e231943-2769-4ed0-b86b-4ec63ff051fd.jpg</t>
        </is>
      </c>
      <c r="B2884">
        <f>HYPERLINK("Объекты недвижимости, не соответствующие градостроительным нормам_00-022_Август/9e231943-2769-4ed0-b86b-4ec63ff051fd.jpg","open")</f>
        <v/>
      </c>
      <c r="C2884" t="inlineStr">
        <is>
          <t>b0429a31-0c70-4b9f-8ea5-73929d82f89e</t>
        </is>
      </c>
      <c r="D2884" t="n">
        <v>55.5897</v>
      </c>
      <c r="E2884" t="n">
        <v>37.60859</v>
      </c>
      <c r="F2884" t="inlineStr"/>
      <c r="G2884" t="inlineStr"/>
      <c r="H2884" t="inlineStr"/>
    </row>
    <row r="2885">
      <c r="A2885" t="inlineStr">
        <is>
          <t>648b7a9e-d5e1-4368-ab11-07775a2db81c.jpg</t>
        </is>
      </c>
      <c r="B2885">
        <f>HYPERLINK("Объекты недвижимости, не соответствующие градостроительным нормам_00-022_Август/648b7a9e-d5e1-4368-ab11-07775a2db81c.jpg","open")</f>
        <v/>
      </c>
      <c r="C2885" t="inlineStr">
        <is>
          <t>fce890a6-27da-4062-a046-08262a160ee6</t>
        </is>
      </c>
      <c r="D2885" t="n">
        <v>55.7551</v>
      </c>
      <c r="E2885" t="n">
        <v>37.67086</v>
      </c>
      <c r="F2885" t="inlineStr"/>
      <c r="G2885" t="inlineStr"/>
      <c r="H2885" t="inlineStr"/>
    </row>
    <row r="2886">
      <c r="A2886" t="inlineStr">
        <is>
          <t>87ed41dd-6e03-47e2-a6c7-a50c774bbfb4.jpg</t>
        </is>
      </c>
      <c r="B2886">
        <f>HYPERLINK("Объекты недвижимости, не соответствующие градостроительным нормам_00-022_Август/87ed41dd-6e03-47e2-a6c7-a50c774bbfb4.jpg","open")</f>
        <v/>
      </c>
      <c r="C2886" t="inlineStr">
        <is>
          <t>b0429a31-0c70-4b9f-8ea5-73929d82f89e</t>
        </is>
      </c>
      <c r="D2886" t="n">
        <v>55.58974</v>
      </c>
      <c r="E2886" t="n">
        <v>37.60861</v>
      </c>
      <c r="F2886" t="inlineStr"/>
      <c r="G2886" t="inlineStr"/>
      <c r="H2886" t="inlineStr"/>
    </row>
    <row r="2887">
      <c r="A2887" t="inlineStr">
        <is>
          <t>e5cd712d-b0ab-477b-b6e9-46756f0f7b0d.jpg</t>
        </is>
      </c>
      <c r="B2887">
        <f>HYPERLINK("Объекты недвижимости, не соответствующие градостроительным нормам_00-022_Август/e5cd712d-b0ab-477b-b6e9-46756f0f7b0d.jpg","open")</f>
        <v/>
      </c>
      <c r="C2887" t="inlineStr">
        <is>
          <t>99f3abba-c55b-49f0-9de5-9f88e9597cc0</t>
        </is>
      </c>
      <c r="D2887" t="n">
        <v>55.58972</v>
      </c>
      <c r="E2887" t="n">
        <v>37.60859</v>
      </c>
      <c r="F2887" t="inlineStr"/>
      <c r="G2887" t="inlineStr"/>
      <c r="H2887" t="inlineStr"/>
    </row>
    <row r="2888">
      <c r="A2888" t="inlineStr">
        <is>
          <t>6d1b80e8-a56b-436b-9c00-d91a52605bf1.jpg</t>
        </is>
      </c>
      <c r="B2888">
        <f>HYPERLINK("Объекты недвижимости, не соответствующие градостроительным нормам_00-022_Август/6d1b80e8-a56b-436b-9c00-d91a52605bf1.jpg","open")</f>
        <v/>
      </c>
      <c r="C2888" t="inlineStr">
        <is>
          <t>b0429a31-0c70-4b9f-8ea5-73929d82f89e</t>
        </is>
      </c>
      <c r="D2888" t="n">
        <v>55.58972</v>
      </c>
      <c r="E2888" t="n">
        <v>37.60857</v>
      </c>
      <c r="F2888" t="inlineStr"/>
      <c r="G2888" t="inlineStr"/>
      <c r="H2888" t="inlineStr"/>
    </row>
    <row r="2889">
      <c r="A2889" t="inlineStr">
        <is>
          <t>7828f8b9-4162-4ea0-b1e5-3f333fc2e76d.jpg</t>
        </is>
      </c>
      <c r="B2889">
        <f>HYPERLINK("Объекты недвижимости, не соответствующие градостроительным нормам_00-022_Август/7828f8b9-4162-4ea0-b1e5-3f333fc2e76d.jpg","open")</f>
        <v/>
      </c>
      <c r="C2889" t="inlineStr">
        <is>
          <t>9f88688f-4c81-42a8-b76a-3c3e7edf869e</t>
        </is>
      </c>
      <c r="D2889" t="n">
        <v>55.75155</v>
      </c>
      <c r="E2889" t="n">
        <v>37.67079</v>
      </c>
      <c r="F2889" t="inlineStr"/>
      <c r="G2889" t="inlineStr"/>
      <c r="H2889" t="inlineStr"/>
    </row>
    <row r="2890">
      <c r="A2890" t="inlineStr">
        <is>
          <t>5f352d6a-a6b1-4480-a20e-e08ce9ae2cef.jpg</t>
        </is>
      </c>
      <c r="B2890">
        <f>HYPERLINK("Объекты недвижимости, не соответствующие градостроительным нормам_00-022_Август/5f352d6a-a6b1-4480-a20e-e08ce9ae2cef.jpg","open")</f>
        <v/>
      </c>
      <c r="C2890" t="inlineStr">
        <is>
          <t>9f88688f-4c81-42a8-b76a-3c3e7edf869e</t>
        </is>
      </c>
      <c r="D2890" t="n">
        <v>55.75155</v>
      </c>
      <c r="E2890" t="n">
        <v>37.67079</v>
      </c>
      <c r="F2890" t="inlineStr"/>
      <c r="G2890" t="inlineStr"/>
      <c r="H2890" t="inlineStr"/>
    </row>
    <row r="2891">
      <c r="A2891" t="inlineStr">
        <is>
          <t>b5db78cd-2c67-47d1-a180-0d387d45aa8a.jpg</t>
        </is>
      </c>
      <c r="B2891">
        <f>HYPERLINK("Объекты недвижимости, не соответствующие градостроительным нормам_00-022_Август/b5db78cd-2c67-47d1-a180-0d387d45aa8a.jpg","open")</f>
        <v/>
      </c>
      <c r="C2891" t="inlineStr">
        <is>
          <t>fce890a6-27da-4062-a046-08262a160ee6</t>
        </is>
      </c>
      <c r="D2891" t="n">
        <v>55.75155</v>
      </c>
      <c r="E2891" t="n">
        <v>37.67079</v>
      </c>
      <c r="F2891" t="inlineStr"/>
      <c r="G2891" t="inlineStr"/>
      <c r="H2891" t="inlineStr"/>
    </row>
    <row r="2892">
      <c r="A2892" t="inlineStr">
        <is>
          <t>0ac30fe7-394d-4ad0-98fc-a4779507e631.jpg</t>
        </is>
      </c>
      <c r="B2892">
        <f>HYPERLINK("Объекты недвижимости, не соответствующие градостроительным нормам_00-022_Август/0ac30fe7-394d-4ad0-98fc-a4779507e631.jpg","open")</f>
        <v/>
      </c>
      <c r="C2892" t="inlineStr">
        <is>
          <t>fce890a6-27da-4062-a046-08262a160ee6</t>
        </is>
      </c>
      <c r="D2892" t="n">
        <v>55.75155</v>
      </c>
      <c r="E2892" t="n">
        <v>37.67079</v>
      </c>
      <c r="F2892" t="inlineStr"/>
      <c r="G2892" t="inlineStr"/>
      <c r="H2892" t="inlineStr"/>
    </row>
    <row r="2893">
      <c r="A2893" t="inlineStr">
        <is>
          <t>d5e6ebc7-1242-42b0-95bd-6ce5bffb9234.jpg</t>
        </is>
      </c>
      <c r="B2893">
        <f>HYPERLINK("Объекты недвижимости, не соответствующие градостроительным нормам_00-022_Август/d5e6ebc7-1242-42b0-95bd-6ce5bffb9234.jpg","open")</f>
        <v/>
      </c>
      <c r="C2893" t="inlineStr">
        <is>
          <t>fce890a6-27da-4062-a046-08262a160ee6</t>
        </is>
      </c>
      <c r="D2893" t="n">
        <v>55.75155</v>
      </c>
      <c r="E2893" t="n">
        <v>37.67079</v>
      </c>
      <c r="F2893" t="inlineStr"/>
      <c r="G2893" t="inlineStr"/>
      <c r="H2893" t="inlineStr"/>
    </row>
    <row r="2894">
      <c r="A2894" t="inlineStr">
        <is>
          <t>4a0e2f09-f6ae-419b-a08e-15b6f0a209d3.jpg</t>
        </is>
      </c>
      <c r="B2894">
        <f>HYPERLINK("Объекты недвижимости, не соответствующие градостроительным нормам_00-022_Август/4a0e2f09-f6ae-419b-a08e-15b6f0a209d3.jpg","open")</f>
        <v/>
      </c>
      <c r="C2894" t="inlineStr">
        <is>
          <t>31a713a9-b910-424b-b847-e0eaa2f70c70</t>
        </is>
      </c>
      <c r="D2894" t="n">
        <v>55.61106</v>
      </c>
      <c r="E2894" t="n">
        <v>37.32259</v>
      </c>
      <c r="F2894" t="inlineStr"/>
      <c r="G2894" t="inlineStr"/>
      <c r="H2894" t="inlineStr"/>
    </row>
    <row r="2895">
      <c r="A2895" t="inlineStr">
        <is>
          <t>067e3ad5-46c0-4896-afb9-9964035f02cc.jpg</t>
        </is>
      </c>
      <c r="B2895">
        <f>HYPERLINK("Объекты недвижимости, не соответствующие градостроительным нормам_00-022_Август/067e3ad5-46c0-4896-afb9-9964035f02cc.jpg","open")</f>
        <v/>
      </c>
      <c r="C2895" t="inlineStr">
        <is>
          <t>29ad9edb-d533-4272-a986-be24eb004851</t>
        </is>
      </c>
      <c r="D2895" t="n">
        <v>55.72611</v>
      </c>
      <c r="E2895" t="n">
        <v>37.57759</v>
      </c>
      <c r="F2895" t="inlineStr"/>
      <c r="G2895" t="inlineStr"/>
      <c r="H2895" t="inlineStr"/>
    </row>
    <row r="2896">
      <c r="A2896" t="inlineStr">
        <is>
          <t>d5dd900e-8886-43a6-bb4d-47768e329574.jpg</t>
        </is>
      </c>
      <c r="B2896">
        <f>HYPERLINK("Объекты недвижимости, не соответствующие градостроительным нормам_00-022_Август/d5dd900e-8886-43a6-bb4d-47768e329574.jpg","open")</f>
        <v/>
      </c>
      <c r="C2896" t="inlineStr">
        <is>
          <t>1a55986c-2c3f-40c0-b3d1-014dce77832e</t>
        </is>
      </c>
      <c r="D2896" t="n">
        <v>55.98245</v>
      </c>
      <c r="E2896" t="n">
        <v>37.41782</v>
      </c>
      <c r="F2896" t="inlineStr"/>
      <c r="G2896" t="inlineStr"/>
      <c r="H2896" t="inlineStr"/>
    </row>
    <row r="2897">
      <c r="A2897" t="inlineStr">
        <is>
          <t>008e8f9e-fe3b-4415-ab82-ce26b9590448.jpg</t>
        </is>
      </c>
      <c r="B2897">
        <f>HYPERLINK("Объекты недвижимости, не соответствующие градостроительным нормам_00-022_Август/008e8f9e-fe3b-4415-ab82-ce26b9590448.jpg","open")</f>
        <v/>
      </c>
      <c r="C2897" t="inlineStr">
        <is>
          <t>ed2bf0f1-3a66-4913-896e-4420a9796c0b</t>
        </is>
      </c>
      <c r="D2897" t="n">
        <v>55.98243</v>
      </c>
      <c r="E2897" t="n">
        <v>37.41803</v>
      </c>
      <c r="F2897" t="inlineStr"/>
      <c r="G2897" t="inlineStr"/>
      <c r="H2897" t="inlineStr"/>
    </row>
    <row r="2898">
      <c r="A2898" t="inlineStr">
        <is>
          <t>e27162ce-ee4a-4893-9e07-d26e4d4e1c82.jpg</t>
        </is>
      </c>
      <c r="B2898">
        <f>HYPERLINK("Объекты недвижимости, не соответствующие градостроительным нормам_00-022_Август/e27162ce-ee4a-4893-9e07-d26e4d4e1c82.jpg","open")</f>
        <v/>
      </c>
      <c r="C2898" t="inlineStr">
        <is>
          <t>f60286ac-55e7-4099-85bd-cc599a7a0c65</t>
        </is>
      </c>
      <c r="D2898" t="n">
        <v>55.79672</v>
      </c>
      <c r="E2898" t="n">
        <v>37.6958</v>
      </c>
      <c r="F2898" t="inlineStr"/>
      <c r="G2898" t="inlineStr"/>
      <c r="H2898" t="inlineStr"/>
    </row>
    <row r="2899">
      <c r="A2899" t="inlineStr">
        <is>
          <t>005ca39b-062d-474f-b45c-cc76e0a0a67b.jpg</t>
        </is>
      </c>
      <c r="B2899">
        <f>HYPERLINK("Объекты недвижимости, не соответствующие градостроительным нормам_00-022_Август/005ca39b-062d-474f-b45c-cc76e0a0a67b.jpg","open")</f>
        <v/>
      </c>
      <c r="C2899" t="inlineStr">
        <is>
          <t>1a55986c-2c3f-40c0-b3d1-014dce77832e</t>
        </is>
      </c>
      <c r="D2899" t="n">
        <v>55.98229</v>
      </c>
      <c r="E2899" t="n">
        <v>37.4123</v>
      </c>
      <c r="F2899" t="inlineStr"/>
      <c r="G2899" t="inlineStr"/>
      <c r="H2899" t="inlineStr"/>
    </row>
    <row r="2900">
      <c r="A2900" t="inlineStr">
        <is>
          <t>39633516-a337-4eff-851a-2d695a2b342b.jpg</t>
        </is>
      </c>
      <c r="B2900">
        <f>HYPERLINK("Объекты недвижимости, не соответствующие градостроительным нормам_00-022_Август/39633516-a337-4eff-851a-2d695a2b342b.jpg","open")</f>
        <v/>
      </c>
      <c r="C2900" t="inlineStr">
        <is>
          <t>18a5c468-d9e6-4814-8477-1caf4a2e1fe9</t>
        </is>
      </c>
      <c r="D2900" t="n">
        <v>55.98158</v>
      </c>
      <c r="E2900" t="n">
        <v>37.40747</v>
      </c>
      <c r="F2900" t="inlineStr"/>
      <c r="G2900" t="inlineStr"/>
      <c r="H2900" t="inlineStr"/>
    </row>
    <row r="2901">
      <c r="A2901" t="inlineStr">
        <is>
          <t>80d90095-edc8-46b3-82e1-ac5ae56cebe5.jpg</t>
        </is>
      </c>
      <c r="B2901">
        <f>HYPERLINK("Объекты недвижимости, не соответствующие градостроительным нормам_00-022_Август/80d90095-edc8-46b3-82e1-ac5ae56cebe5.jpg","open")</f>
        <v/>
      </c>
      <c r="C2901" t="inlineStr">
        <is>
          <t>d2c4eccd-3e4b-406c-a903-0f5e43d0be35</t>
        </is>
      </c>
      <c r="D2901" t="n">
        <v>55.98158</v>
      </c>
      <c r="E2901" t="n">
        <v>37.40747</v>
      </c>
      <c r="F2901" t="inlineStr"/>
      <c r="G2901" t="inlineStr"/>
      <c r="H2901" t="inlineStr"/>
    </row>
    <row r="2902">
      <c r="A2902" t="inlineStr">
        <is>
          <t>b0c4ffd3-6d28-4bf8-bc9f-3f39e609de71.jpg</t>
        </is>
      </c>
      <c r="B2902">
        <f>HYPERLINK("Объекты недвижимости, не соответствующие градостроительным нормам_00-022_Август/b0c4ffd3-6d28-4bf8-bc9f-3f39e609de71.jpg","open")</f>
        <v/>
      </c>
      <c r="C2902" t="inlineStr">
        <is>
          <t>12e795ad-2aa7-49de-b2da-2c6aa35a4559</t>
        </is>
      </c>
      <c r="D2902" t="n">
        <v>55.7048</v>
      </c>
      <c r="E2902" t="n">
        <v>37.57733</v>
      </c>
      <c r="F2902" t="inlineStr"/>
      <c r="G2902" t="inlineStr"/>
      <c r="H2902" t="inlineStr"/>
    </row>
    <row r="2903">
      <c r="A2903" t="inlineStr">
        <is>
          <t>5bcf5f2d-0935-4b94-a810-d8d8967e29eb.jpg</t>
        </is>
      </c>
      <c r="B2903">
        <f>HYPERLINK("Объекты недвижимости, не соответствующие градостроительным нормам_00-022_Август/5bcf5f2d-0935-4b94-a810-d8d8967e29eb.jpg","open")</f>
        <v/>
      </c>
      <c r="C2903" t="inlineStr">
        <is>
          <t>31a713a9-b910-424b-b847-e0eaa2f70c70</t>
        </is>
      </c>
      <c r="D2903" t="n">
        <v>55.61311</v>
      </c>
      <c r="E2903" t="n">
        <v>37.2847</v>
      </c>
      <c r="F2903" t="inlineStr"/>
      <c r="G2903" t="inlineStr"/>
      <c r="H2903" t="inlineStr"/>
    </row>
    <row r="2904">
      <c r="A2904" t="inlineStr">
        <is>
          <t>beb46acb-8b40-4386-8590-cba165a5101d.jpg</t>
        </is>
      </c>
      <c r="B2904">
        <f>HYPERLINK("Объекты недвижимости, не соответствующие градостроительным нормам_00-022_Август/beb46acb-8b40-4386-8590-cba165a5101d.jpg","open")</f>
        <v/>
      </c>
      <c r="C2904" t="inlineStr">
        <is>
          <t>e26f5fc2-1353-4f29-85f3-87c56419161c</t>
        </is>
      </c>
      <c r="D2904" t="n">
        <v>55.78236</v>
      </c>
      <c r="E2904" t="n">
        <v>37.6703</v>
      </c>
      <c r="F2904" t="inlineStr"/>
      <c r="G2904" t="inlineStr"/>
      <c r="H2904" t="inlineStr"/>
    </row>
    <row r="2905">
      <c r="A2905" t="inlineStr">
        <is>
          <t>52aa6b66-72fc-4db2-9fd9-2c09a9c9afe0.jpg</t>
        </is>
      </c>
      <c r="B2905">
        <f>HYPERLINK("Объекты недвижимости, не соответствующие градостроительным нормам_00-022_Август/52aa6b66-72fc-4db2-9fd9-2c09a9c9afe0.jpg","open")</f>
        <v/>
      </c>
      <c r="C2905" t="inlineStr">
        <is>
          <t>31a713a9-b910-424b-b847-e0eaa2f70c70</t>
        </is>
      </c>
      <c r="D2905" t="n">
        <v>55.61877</v>
      </c>
      <c r="E2905" t="n">
        <v>37.27489</v>
      </c>
      <c r="F2905" t="inlineStr"/>
      <c r="G2905" t="inlineStr"/>
      <c r="H2905" t="inlineStr"/>
    </row>
    <row r="2906">
      <c r="A2906" t="inlineStr">
        <is>
          <t>60063f15-8815-4893-9308-7b9cb87ec467.jpg</t>
        </is>
      </c>
      <c r="B2906">
        <f>HYPERLINK("Объекты недвижимости, не соответствующие градостроительным нормам_00-022_Август/60063f15-8815-4893-9308-7b9cb87ec467.jpg","open")</f>
        <v/>
      </c>
      <c r="C2906" t="inlineStr">
        <is>
          <t>ffd931da-542f-43e9-979f-5552b17fe3dc</t>
        </is>
      </c>
      <c r="D2906" t="n">
        <v>55.79699</v>
      </c>
      <c r="E2906" t="n">
        <v>37.69709</v>
      </c>
      <c r="F2906" t="inlineStr"/>
      <c r="G2906" t="inlineStr"/>
      <c r="H2906" t="inlineStr"/>
    </row>
    <row r="2907">
      <c r="A2907" t="inlineStr">
        <is>
          <t>b2e396a1-db29-4178-8813-7c2893ef2690.jpg</t>
        </is>
      </c>
      <c r="B2907">
        <f>HYPERLINK("Объекты недвижимости, не соответствующие градостроительным нормам_00-022_Август/b2e396a1-db29-4178-8813-7c2893ef2690.jpg","open")</f>
        <v/>
      </c>
      <c r="C2907" t="inlineStr">
        <is>
          <t>036c664f-5408-4fd0-b479-342c00468eeb</t>
        </is>
      </c>
      <c r="D2907" t="n">
        <v>55.67666</v>
      </c>
      <c r="E2907" t="n">
        <v>37.4458</v>
      </c>
      <c r="F2907" t="inlineStr"/>
      <c r="G2907" t="inlineStr"/>
      <c r="H2907" t="inlineStr"/>
    </row>
    <row r="2908">
      <c r="A2908" t="inlineStr">
        <is>
          <t>b43884bb-f6e2-406a-9df9-a3e79fb892aa.jpg</t>
        </is>
      </c>
      <c r="B2908">
        <f>HYPERLINK("Объекты недвижимости, не соответствующие градостроительным нормам_00-022_Август/b43884bb-f6e2-406a-9df9-a3e79fb892aa.jpg","open")</f>
        <v/>
      </c>
      <c r="C2908" t="inlineStr">
        <is>
          <t>036c664f-5408-4fd0-b479-342c00468eeb</t>
        </is>
      </c>
      <c r="D2908" t="n">
        <v>55.67712</v>
      </c>
      <c r="E2908" t="n">
        <v>37.44526</v>
      </c>
      <c r="F2908" t="inlineStr"/>
      <c r="G2908" t="inlineStr"/>
      <c r="H2908" t="inlineStr"/>
    </row>
    <row r="2909">
      <c r="A2909" t="inlineStr">
        <is>
          <t>214e4a19-6826-431a-82ba-10e5a4ef5984.jpg</t>
        </is>
      </c>
      <c r="B2909">
        <f>HYPERLINK("Объекты недвижимости, не соответствующие градостроительным нормам_00-022_Август/214e4a19-6826-431a-82ba-10e5a4ef5984.jpg","open")</f>
        <v/>
      </c>
      <c r="C2909" t="inlineStr">
        <is>
          <t>a28f597e-d1cd-4d3b-b572-c86d033412e9</t>
        </is>
      </c>
      <c r="D2909" t="n">
        <v>55.67698</v>
      </c>
      <c r="E2909" t="n">
        <v>37.44477</v>
      </c>
      <c r="F2909" t="inlineStr"/>
      <c r="G2909" t="inlineStr"/>
      <c r="H2909" t="inlineStr"/>
    </row>
    <row r="2910">
      <c r="A2910" t="inlineStr">
        <is>
          <t>6cb658e4-cf9e-4dcd-8435-9fc2a65865c0.jpg</t>
        </is>
      </c>
      <c r="B2910">
        <f>HYPERLINK("Объекты недвижимости, не соответствующие градостроительным нормам_00-022_Август/6cb658e4-cf9e-4dcd-8435-9fc2a65865c0.jpg","open")</f>
        <v/>
      </c>
      <c r="C2910" t="inlineStr">
        <is>
          <t>1a55986c-2c3f-40c0-b3d1-014dce77832e</t>
        </is>
      </c>
      <c r="D2910" t="n">
        <v>55.97381</v>
      </c>
      <c r="E2910" t="n">
        <v>37.43111</v>
      </c>
      <c r="F2910" t="inlineStr"/>
      <c r="G2910" t="inlineStr"/>
      <c r="H2910" t="inlineStr"/>
    </row>
    <row r="2911">
      <c r="A2911" t="inlineStr">
        <is>
          <t>39d901f7-b7f8-423e-bea0-b60d3cc61ab2.jpg</t>
        </is>
      </c>
      <c r="B2911">
        <f>HYPERLINK("Объекты недвижимости, не соответствующие градостроительным нормам_00-022_Август/39d901f7-b7f8-423e-bea0-b60d3cc61ab2.jpg","open")</f>
        <v/>
      </c>
      <c r="C2911" t="inlineStr">
        <is>
          <t>ed2bf0f1-3a66-4913-896e-4420a9796c0b</t>
        </is>
      </c>
      <c r="D2911" t="n">
        <v>55.97075</v>
      </c>
      <c r="E2911" t="n">
        <v>37.43034</v>
      </c>
      <c r="F2911" t="inlineStr"/>
      <c r="G2911" t="inlineStr"/>
      <c r="H2911" t="inlineStr"/>
    </row>
    <row r="2912">
      <c r="A2912" t="inlineStr">
        <is>
          <t>3eaf8d12-bde8-448c-89ed-cc1c9b47d690.jpg</t>
        </is>
      </c>
      <c r="B2912">
        <f>HYPERLINK("Объекты недвижимости, не соответствующие градостроительным нормам_00-022_Август/3eaf8d12-bde8-448c-89ed-cc1c9b47d690.jpg","open")</f>
        <v/>
      </c>
      <c r="C2912" t="inlineStr">
        <is>
          <t>e26f5fc2-1353-4f29-85f3-87c56419161c</t>
        </is>
      </c>
      <c r="D2912" t="n">
        <v>54.52078</v>
      </c>
      <c r="E2912" t="n">
        <v>41.26113</v>
      </c>
      <c r="F2912" t="inlineStr"/>
      <c r="G2912" t="inlineStr"/>
      <c r="H2912" t="inlineStr"/>
    </row>
    <row r="2913">
      <c r="A2913" t="inlineStr">
        <is>
          <t>94968311-a3ea-4af8-bb39-bb4b1e352abd.jpg</t>
        </is>
      </c>
      <c r="B2913">
        <f>HYPERLINK("Объекты недвижимости, не соответствующие градостроительным нормам_00-022_Август/94968311-a3ea-4af8-bb39-bb4b1e352abd.jpg","open")</f>
        <v/>
      </c>
      <c r="C2913" t="inlineStr">
        <is>
          <t>e26f5fc2-1353-4f29-85f3-87c56419161c</t>
        </is>
      </c>
      <c r="D2913" t="n">
        <v>54.52078</v>
      </c>
      <c r="E2913" t="n">
        <v>41.26113</v>
      </c>
      <c r="F2913" t="inlineStr"/>
      <c r="G2913" t="inlineStr"/>
      <c r="H2913" t="inlineStr"/>
    </row>
    <row r="2914">
      <c r="A2914" t="inlineStr">
        <is>
          <t>0315f831-fea2-4466-ab90-1f809d26b85d.jpg</t>
        </is>
      </c>
      <c r="B2914">
        <f>HYPERLINK("Объекты недвижимости, не соответствующие градостроительным нормам_00-022_Август/0315f831-fea2-4466-ab90-1f809d26b85d.jpg","open")</f>
        <v/>
      </c>
      <c r="C2914" t="inlineStr">
        <is>
          <t>e26f5fc2-1353-4f29-85f3-87c56419161c</t>
        </is>
      </c>
      <c r="D2914" t="n">
        <v>54.52078</v>
      </c>
      <c r="E2914" t="n">
        <v>41.26113</v>
      </c>
      <c r="F2914" t="inlineStr"/>
      <c r="G2914" t="inlineStr"/>
      <c r="H2914" t="inlineStr"/>
    </row>
    <row r="2915">
      <c r="A2915" t="inlineStr">
        <is>
          <t>e7ffd57d-41b5-4085-b75c-b1ee482c576e.jpg</t>
        </is>
      </c>
      <c r="B2915">
        <f>HYPERLINK("Объекты недвижимости, не соответствующие градостроительным нормам_00-022_Август/e7ffd57d-41b5-4085-b75c-b1ee482c576e.jpg","open")</f>
        <v/>
      </c>
      <c r="C2915" t="inlineStr">
        <is>
          <t>ed2bf0f1-3a66-4913-896e-4420a9796c0b</t>
        </is>
      </c>
      <c r="D2915" t="n">
        <v>55.97536</v>
      </c>
      <c r="E2915" t="n">
        <v>37.39943</v>
      </c>
      <c r="F2915" t="inlineStr"/>
      <c r="G2915" t="inlineStr"/>
      <c r="H2915" t="inlineStr"/>
    </row>
    <row r="2916">
      <c r="A2916" t="inlineStr">
        <is>
          <t>40f39857-6efa-47d9-b11e-b1ec31db1b76.jpg</t>
        </is>
      </c>
      <c r="B2916">
        <f>HYPERLINK("Объекты недвижимости, не соответствующие градостроительным нормам_00-022_Август/40f39857-6efa-47d9-b11e-b1ec31db1b76.jpg","open")</f>
        <v/>
      </c>
      <c r="C2916" t="inlineStr">
        <is>
          <t>ed2bf0f1-3a66-4913-896e-4420a9796c0b</t>
        </is>
      </c>
      <c r="D2916" t="n">
        <v>55.98196</v>
      </c>
      <c r="E2916" t="n">
        <v>37.42013</v>
      </c>
      <c r="F2916" t="inlineStr"/>
      <c r="G2916" t="inlineStr"/>
      <c r="H2916" t="inlineStr"/>
    </row>
    <row r="2917">
      <c r="A2917" t="inlineStr">
        <is>
          <t>111f1768-3799-4e60-a99c-1209fb8bd1dd.jpg</t>
        </is>
      </c>
      <c r="B2917">
        <f>HYPERLINK("Объекты недвижимости, не соответствующие градостроительным нормам_00-022_Август/111f1768-3799-4e60-a99c-1209fb8bd1dd.jpg","open")</f>
        <v/>
      </c>
      <c r="C2917" t="inlineStr">
        <is>
          <t>ed2bf0f1-3a66-4913-896e-4420a9796c0b</t>
        </is>
      </c>
      <c r="D2917" t="n">
        <v>55.97757</v>
      </c>
      <c r="E2917" t="n">
        <v>37.42941</v>
      </c>
      <c r="F2917" t="inlineStr"/>
      <c r="G2917" t="inlineStr"/>
      <c r="H2917" t="inlineStr"/>
    </row>
    <row r="2918">
      <c r="A2918" t="inlineStr">
        <is>
          <t>b5998cb1-27fc-433f-b1b9-1c10f2940ff7.jpg</t>
        </is>
      </c>
      <c r="B2918">
        <f>HYPERLINK("Объекты недвижимости, не соответствующие градостроительным нормам_00-022_Август/b5998cb1-27fc-433f-b1b9-1c10f2940ff7.jpg","open")</f>
        <v/>
      </c>
      <c r="C2918" t="inlineStr">
        <is>
          <t>ed2bf0f1-3a66-4913-896e-4420a9796c0b</t>
        </is>
      </c>
      <c r="D2918" t="n">
        <v>55.97178</v>
      </c>
      <c r="E2918" t="n">
        <v>37.43074</v>
      </c>
      <c r="F2918" t="inlineStr"/>
      <c r="G2918" t="inlineStr"/>
      <c r="H2918" t="inlineStr"/>
    </row>
    <row r="2919">
      <c r="A2919" t="inlineStr">
        <is>
          <t>dfdad888-ab3f-4815-a3eb-cfdf662bff57.jpg</t>
        </is>
      </c>
      <c r="B2919">
        <f>HYPERLINK("Объекты недвижимости, не соответствующие градостроительным нормам_00-022_Август/dfdad888-ab3f-4815-a3eb-cfdf662bff57.jpg","open")</f>
        <v/>
      </c>
      <c r="C2919" t="inlineStr">
        <is>
          <t>ed2bf0f1-3a66-4913-896e-4420a9796c0b</t>
        </is>
      </c>
      <c r="D2919" t="n">
        <v>55.96856</v>
      </c>
      <c r="E2919" t="n">
        <v>37.42849</v>
      </c>
      <c r="F2919" t="inlineStr"/>
      <c r="G2919" t="inlineStr"/>
      <c r="H2919" t="inlineStr"/>
    </row>
    <row r="2920">
      <c r="A2920" t="inlineStr">
        <is>
          <t>a9426acf-afb6-4bc6-b3f7-add123f6905f.jpg</t>
        </is>
      </c>
      <c r="B2920">
        <f>HYPERLINK("Объекты недвижимости, не соответствующие градостроительным нормам_00-022_Август/a9426acf-afb6-4bc6-b3f7-add123f6905f.jpg","open")</f>
        <v/>
      </c>
      <c r="C2920" t="inlineStr">
        <is>
          <t>9c930d0e-e445-452d-a046-325646b21ab7</t>
        </is>
      </c>
      <c r="D2920" t="n">
        <v>55.7691</v>
      </c>
      <c r="E2920" t="n">
        <v>37.66258</v>
      </c>
      <c r="F2920" t="inlineStr"/>
      <c r="G2920" t="inlineStr"/>
      <c r="H2920" t="inlineStr"/>
    </row>
    <row r="2921">
      <c r="A2921" t="inlineStr">
        <is>
          <t>f82f905f-5777-4732-8887-8bd4d7d70613.jpg</t>
        </is>
      </c>
      <c r="B2921">
        <f>HYPERLINK("Объекты недвижимости, не соответствующие градостроительным нормам_00-022_Август/f82f905f-5777-4732-8887-8bd4d7d70613.jpg","open")</f>
        <v/>
      </c>
      <c r="C2921" t="inlineStr">
        <is>
          <t>6e2567a0-1fb9-40d5-a0e7-0adb480d2965</t>
        </is>
      </c>
      <c r="D2921" t="n">
        <v>55.75082</v>
      </c>
      <c r="E2921" t="n">
        <v>37.6576</v>
      </c>
      <c r="F2921" t="inlineStr"/>
      <c r="G2921" t="inlineStr"/>
      <c r="H2921" t="inlineStr"/>
    </row>
    <row r="2922">
      <c r="A2922" t="inlineStr">
        <is>
          <t>a594c53c-810e-4ee3-825b-4fd607ecb6dd.jpg</t>
        </is>
      </c>
      <c r="B2922">
        <f>HYPERLINK("Объекты недвижимости, не соответствующие градостроительным нормам_00-022_Август/a594c53c-810e-4ee3-825b-4fd607ecb6dd.jpg","open")</f>
        <v/>
      </c>
      <c r="C2922" t="inlineStr">
        <is>
          <t>f60286ac-55e7-4099-85bd-cc599a7a0c65</t>
        </is>
      </c>
      <c r="D2922" t="n">
        <v>55.79477</v>
      </c>
      <c r="E2922" t="n">
        <v>37.69447</v>
      </c>
      <c r="F2922" t="inlineStr"/>
      <c r="G2922" t="inlineStr"/>
      <c r="H2922" t="inlineStr"/>
    </row>
    <row r="2923">
      <c r="A2923" t="inlineStr">
        <is>
          <t>9b8abe51-ba75-42ac-8782-24b17220e930.jpg</t>
        </is>
      </c>
      <c r="B2923">
        <f>HYPERLINK("Объекты недвижимости, не соответствующие градостроительным нормам_00-022_Август/9b8abe51-ba75-42ac-8782-24b17220e930.jpg","open")</f>
        <v/>
      </c>
      <c r="C2923" t="inlineStr">
        <is>
          <t>1a55986c-2c3f-40c0-b3d1-014dce77832e</t>
        </is>
      </c>
      <c r="D2923" t="n">
        <v>55.98058</v>
      </c>
      <c r="E2923" t="n">
        <v>37.42538</v>
      </c>
      <c r="F2923" t="inlineStr"/>
      <c r="G2923" t="inlineStr"/>
      <c r="H2923" t="inlineStr"/>
    </row>
    <row r="2924">
      <c r="A2924" t="inlineStr">
        <is>
          <t>4548ba1f-3e9f-46a0-abb7-2c46517102e8.jpg</t>
        </is>
      </c>
      <c r="B2924">
        <f>HYPERLINK("Объекты недвижимости, не соответствующие градостроительным нормам_00-022_Август/4548ba1f-3e9f-46a0-abb7-2c46517102e8.jpg","open")</f>
        <v/>
      </c>
      <c r="C2924" t="inlineStr">
        <is>
          <t>ed2bf0f1-3a66-4913-896e-4420a9796c0b</t>
        </is>
      </c>
      <c r="D2924" t="n">
        <v>55.98049</v>
      </c>
      <c r="E2924" t="n">
        <v>37.42557</v>
      </c>
      <c r="F2924" t="inlineStr"/>
      <c r="G2924" t="inlineStr"/>
      <c r="H2924" t="inlineStr"/>
    </row>
    <row r="2925">
      <c r="A2925" t="inlineStr">
        <is>
          <t>4cec9ed5-29f6-4c74-95f6-b98cbe06272b.jpg</t>
        </is>
      </c>
      <c r="B2925">
        <f>HYPERLINK("Объекты недвижимости, не соответствующие градостроительным нормам_00-022_Август/4cec9ed5-29f6-4c74-95f6-b98cbe06272b.jpg","open")</f>
        <v/>
      </c>
      <c r="C2925" t="inlineStr">
        <is>
          <t>1a55986c-2c3f-40c0-b3d1-014dce77832e</t>
        </is>
      </c>
      <c r="D2925" t="n">
        <v>55.9775</v>
      </c>
      <c r="E2925" t="n">
        <v>37.42981</v>
      </c>
      <c r="F2925" t="inlineStr"/>
      <c r="G2925" t="inlineStr"/>
      <c r="H2925" t="inlineStr"/>
    </row>
    <row r="2926">
      <c r="A2926" t="inlineStr">
        <is>
          <t>2124714e-2cf8-427e-98c0-0995fbf544fe.jpg</t>
        </is>
      </c>
      <c r="B2926">
        <f>HYPERLINK("Объекты недвижимости, не соответствующие градостроительным нормам_00-022_Август/2124714e-2cf8-427e-98c0-0995fbf544fe.jpg","open")</f>
        <v/>
      </c>
      <c r="C2926" t="inlineStr">
        <is>
          <t>ed2bf0f1-3a66-4913-896e-4420a9796c0b</t>
        </is>
      </c>
      <c r="D2926" t="n">
        <v>55.97739</v>
      </c>
      <c r="E2926" t="n">
        <v>37.42992</v>
      </c>
      <c r="F2926" t="inlineStr"/>
      <c r="G2926" t="inlineStr"/>
      <c r="H2926" t="inlineStr"/>
    </row>
    <row r="2927">
      <c r="A2927" t="inlineStr">
        <is>
          <t>8d8a6644-014e-4c36-acfc-42f992191078.jpg</t>
        </is>
      </c>
      <c r="B2927">
        <f>HYPERLINK("Объекты недвижимости, не соответствующие градостроительным нормам_00-022_Август/8d8a6644-014e-4c36-acfc-42f992191078.jpg","open")</f>
        <v/>
      </c>
      <c r="C2927" t="inlineStr">
        <is>
          <t>036c664f-5408-4fd0-b479-342c00468eeb</t>
        </is>
      </c>
      <c r="D2927" t="n">
        <v>55.68015</v>
      </c>
      <c r="E2927" t="n">
        <v>37.45241</v>
      </c>
      <c r="F2927" t="inlineStr"/>
      <c r="G2927" t="inlineStr"/>
      <c r="H2927" t="inlineStr"/>
    </row>
    <row r="2928">
      <c r="A2928" t="inlineStr">
        <is>
          <t>5486824e-8228-44e7-983a-fe6238cb55a3.jpg</t>
        </is>
      </c>
      <c r="B2928">
        <f>HYPERLINK("Объекты недвижимости, не соответствующие градостроительным нормам_00-022_Август/5486824e-8228-44e7-983a-fe6238cb55a3.jpg","open")</f>
        <v/>
      </c>
      <c r="C2928" t="inlineStr">
        <is>
          <t>caa4772d-6278-4484-a046-ee25514bf521</t>
        </is>
      </c>
      <c r="D2928" t="n">
        <v>55.68225</v>
      </c>
      <c r="E2928" t="n">
        <v>37.73022</v>
      </c>
      <c r="F2928" t="inlineStr"/>
      <c r="G2928" t="inlineStr"/>
      <c r="H2928" t="inlineStr"/>
    </row>
    <row r="2929">
      <c r="A2929" t="inlineStr">
        <is>
          <t>1d3d068e-f776-4149-93c8-355b7bba0a4a.jpg</t>
        </is>
      </c>
      <c r="B2929">
        <f>HYPERLINK("Объекты недвижимости, не соответствующие градостроительным нормам_00-022_Август/1d3d068e-f776-4149-93c8-355b7bba0a4a.jpg","open")</f>
        <v/>
      </c>
      <c r="C2929" t="inlineStr">
        <is>
          <t>caa4772d-6278-4484-a046-ee25514bf521</t>
        </is>
      </c>
      <c r="D2929" t="n">
        <v>55.68225</v>
      </c>
      <c r="E2929" t="n">
        <v>37.73019</v>
      </c>
      <c r="F2929" t="inlineStr"/>
      <c r="G2929" t="inlineStr"/>
      <c r="H2929" t="inlineStr"/>
    </row>
    <row r="2930">
      <c r="A2930" t="inlineStr">
        <is>
          <t>0b4c44eb-30e1-4b0c-af7d-dec990054e9a.jpg</t>
        </is>
      </c>
      <c r="B2930">
        <f>HYPERLINK("Объекты недвижимости, не соответствующие градостроительным нормам_00-022_Август/0b4c44eb-30e1-4b0c-af7d-dec990054e9a.jpg","open")</f>
        <v/>
      </c>
      <c r="C2930" t="inlineStr">
        <is>
          <t>b6b3590f-f506-4399-8205-e7ac710132e7</t>
        </is>
      </c>
      <c r="D2930" t="n">
        <v>55.81006</v>
      </c>
      <c r="E2930" t="n">
        <v>37.5359</v>
      </c>
      <c r="F2930" t="inlineStr"/>
      <c r="G2930" t="inlineStr"/>
      <c r="H2930" t="inlineStr"/>
    </row>
    <row r="2931">
      <c r="A2931" t="inlineStr">
        <is>
          <t>9e33105d-3187-4414-b7ed-dc3511d9a400.jpg</t>
        </is>
      </c>
      <c r="B2931">
        <f>HYPERLINK("Объекты недвижимости, не соответствующие градостроительным нормам_00-022_Август/9e33105d-3187-4414-b7ed-dc3511d9a400.jpg","open")</f>
        <v/>
      </c>
      <c r="C2931" t="inlineStr">
        <is>
          <t>caa4772d-6278-4484-a046-ee25514bf521</t>
        </is>
      </c>
      <c r="D2931" t="n">
        <v>55.68296</v>
      </c>
      <c r="E2931" t="n">
        <v>37.73042</v>
      </c>
      <c r="F2931" t="inlineStr"/>
      <c r="G2931" t="inlineStr"/>
      <c r="H2931" t="inlineStr"/>
    </row>
    <row r="2932">
      <c r="A2932" t="inlineStr">
        <is>
          <t>0dbc7990-d216-401e-bf5b-17bc027f12df.jpg</t>
        </is>
      </c>
      <c r="B2932">
        <f>HYPERLINK("Объекты недвижимости, не соответствующие градостроительным нормам_00-022_Август/0dbc7990-d216-401e-bf5b-17bc027f12df.jpg","open")</f>
        <v/>
      </c>
      <c r="C2932" t="inlineStr">
        <is>
          <t>93848fc8-17e7-4748-9ebc-c7e379e11d2f</t>
        </is>
      </c>
      <c r="D2932" t="n">
        <v>55.7033</v>
      </c>
      <c r="E2932" t="n">
        <v>37.69703</v>
      </c>
      <c r="F2932" t="inlineStr"/>
      <c r="G2932" t="inlineStr"/>
      <c r="H2932" t="inlineStr"/>
    </row>
    <row r="2933">
      <c r="A2933" t="inlineStr">
        <is>
          <t>f0f25bce-a6e4-45af-a5d5-daeb84fc6ff4.jpg</t>
        </is>
      </c>
      <c r="B2933">
        <f>HYPERLINK("Объекты недвижимости, не соответствующие градостроительным нормам_00-022_Август/f0f25bce-a6e4-45af-a5d5-daeb84fc6ff4.jpg","open")</f>
        <v/>
      </c>
      <c r="C2933" t="inlineStr">
        <is>
          <t>31a713a9-b910-424b-b847-e0eaa2f70c70</t>
        </is>
      </c>
      <c r="D2933" t="n">
        <v>55.62819</v>
      </c>
      <c r="E2933" t="n">
        <v>37.3368</v>
      </c>
      <c r="F2933" t="inlineStr"/>
      <c r="G2933" t="inlineStr"/>
      <c r="H2933" t="inlineStr"/>
    </row>
    <row r="2934">
      <c r="A2934" t="inlineStr">
        <is>
          <t>8d4262be-4eb6-4d53-8464-739f97a30fb5.jpg</t>
        </is>
      </c>
      <c r="B2934">
        <f>HYPERLINK("Объекты недвижимости, не соответствующие градостроительным нормам_00-022_Август/8d4262be-4eb6-4d53-8464-739f97a30fb5.jpg","open")</f>
        <v/>
      </c>
      <c r="C2934" t="inlineStr">
        <is>
          <t>61936922-4d4b-458e-80ea-6d4c450aa1d5</t>
        </is>
      </c>
      <c r="D2934" t="n">
        <v>55.76762</v>
      </c>
      <c r="E2934" t="n">
        <v>37.40864</v>
      </c>
      <c r="F2934" t="inlineStr"/>
      <c r="G2934" t="inlineStr"/>
      <c r="H2934" t="inlineStr"/>
    </row>
    <row r="2935">
      <c r="A2935" t="inlineStr">
        <is>
          <t>34cb2579-11d5-4e11-ac99-db1b7e80632f.jpg</t>
        </is>
      </c>
      <c r="B2935">
        <f>HYPERLINK("Объекты недвижимости, не соответствующие градостроительным нормам_00-022_Август/34cb2579-11d5-4e11-ac99-db1b7e80632f.jpg","open")</f>
        <v/>
      </c>
      <c r="C2935" t="inlineStr">
        <is>
          <t>9c930d0e-e445-452d-a046-325646b21ab7</t>
        </is>
      </c>
      <c r="D2935" t="n">
        <v>55.86191</v>
      </c>
      <c r="E2935" t="n">
        <v>37.67428</v>
      </c>
      <c r="F2935" t="inlineStr"/>
      <c r="G2935" t="inlineStr"/>
      <c r="H2935" t="inlineStr"/>
    </row>
    <row r="2936">
      <c r="A2936" t="inlineStr">
        <is>
          <t>f4ae5bc4-fc54-4915-b363-28948a5608d2.jpg</t>
        </is>
      </c>
      <c r="B2936">
        <f>HYPERLINK("Объекты недвижимости, не соответствующие градостроительным нормам_00-022_Август/f4ae5bc4-fc54-4915-b363-28948a5608d2.jpg","open")</f>
        <v/>
      </c>
      <c r="C2936" t="inlineStr">
        <is>
          <t>1231bbc5-e64c-4dc7-9acc-77710f47607a</t>
        </is>
      </c>
      <c r="D2936" t="n">
        <v>55.65354</v>
      </c>
      <c r="E2936" t="n">
        <v>37.6075</v>
      </c>
      <c r="F2936" t="inlineStr"/>
      <c r="G2936" t="inlineStr"/>
      <c r="H2936" t="inlineStr"/>
    </row>
    <row r="2937">
      <c r="A2937" t="inlineStr">
        <is>
          <t>14c6c5ff-faaa-4ed5-bf5f-ab6ec15aed00.jpg</t>
        </is>
      </c>
      <c r="B2937">
        <f>HYPERLINK("Объекты недвижимости, не соответствующие градостроительным нормам_00-022_Август/14c6c5ff-faaa-4ed5-bf5f-ab6ec15aed00.jpg","open")</f>
        <v/>
      </c>
      <c r="C2937" t="inlineStr">
        <is>
          <t>685d9054-b74f-49ab-857b-109fd2cec80d</t>
        </is>
      </c>
      <c r="D2937" t="n">
        <v>55.65354</v>
      </c>
      <c r="E2937" t="n">
        <v>37.6075</v>
      </c>
      <c r="F2937" t="inlineStr"/>
      <c r="G2937" t="inlineStr"/>
      <c r="H2937" t="inlineStr"/>
    </row>
    <row r="2938">
      <c r="A2938" t="inlineStr">
        <is>
          <t>f0460124-a9f0-48a5-8e2a-1b4d9cfb8bee.jpg</t>
        </is>
      </c>
      <c r="B2938">
        <f>HYPERLINK("Объекты недвижимости, не соответствующие градостроительным нормам_00-022_Август/f0460124-a9f0-48a5-8e2a-1b4d9cfb8bee.jpg","open")</f>
        <v/>
      </c>
      <c r="C2938" t="inlineStr">
        <is>
          <t>685d9054-b74f-49ab-857b-109fd2cec80d</t>
        </is>
      </c>
      <c r="D2938" t="n">
        <v>55.65354</v>
      </c>
      <c r="E2938" t="n">
        <v>37.6075</v>
      </c>
      <c r="F2938" t="inlineStr"/>
      <c r="G2938" t="inlineStr"/>
      <c r="H2938" t="inlineStr"/>
    </row>
    <row r="2939">
      <c r="A2939" t="inlineStr">
        <is>
          <t>78678e2b-bd19-43af-a926-77124f959c2e.jpg</t>
        </is>
      </c>
      <c r="B2939">
        <f>HYPERLINK("Объекты недвижимости, не соответствующие градостроительным нормам_00-022_Август/78678e2b-bd19-43af-a926-77124f959c2e.jpg","open")</f>
        <v/>
      </c>
      <c r="C2939" t="inlineStr">
        <is>
          <t>1231bbc5-e64c-4dc7-9acc-77710f47607a</t>
        </is>
      </c>
      <c r="D2939" t="n">
        <v>55.65354</v>
      </c>
      <c r="E2939" t="n">
        <v>37.6075</v>
      </c>
      <c r="F2939" t="inlineStr"/>
      <c r="G2939" t="inlineStr"/>
      <c r="H2939" t="inlineStr"/>
    </row>
    <row r="2940">
      <c r="A2940" t="inlineStr">
        <is>
          <t>3a78147a-e84e-4918-b81f-9ee80881cc6c.jpg</t>
        </is>
      </c>
      <c r="B2940">
        <f>HYPERLINK("Объекты недвижимости, не соответствующие градостроительным нормам_00-022_Август/3a78147a-e84e-4918-b81f-9ee80881cc6c.jpg","open")</f>
        <v/>
      </c>
      <c r="C2940" t="inlineStr">
        <is>
          <t>caa4772d-6278-4484-a046-ee25514bf521</t>
        </is>
      </c>
      <c r="D2940" t="n">
        <v>55.71314</v>
      </c>
      <c r="E2940" t="n">
        <v>37.71922</v>
      </c>
      <c r="F2940" t="inlineStr"/>
      <c r="G2940" t="inlineStr"/>
      <c r="H2940" t="inlineStr"/>
    </row>
    <row r="2941">
      <c r="A2941" t="inlineStr">
        <is>
          <t>d9683c48-fb87-4ae2-ac19-0dc90c97dafe.jpg</t>
        </is>
      </c>
      <c r="B2941">
        <f>HYPERLINK("Объекты недвижимости, не соответствующие градостроительным нормам_00-022_Август/d9683c48-fb87-4ae2-ac19-0dc90c97dafe.jpg","open")</f>
        <v/>
      </c>
      <c r="C2941" t="inlineStr">
        <is>
          <t>685d9054-b74f-49ab-857b-109fd2cec80d</t>
        </is>
      </c>
      <c r="D2941" t="n">
        <v>55.64826</v>
      </c>
      <c r="E2941" t="n">
        <v>37.60637</v>
      </c>
      <c r="F2941" t="inlineStr"/>
      <c r="G2941" t="inlineStr"/>
      <c r="H2941" t="inlineStr"/>
    </row>
    <row r="2942">
      <c r="A2942" t="inlineStr">
        <is>
          <t>53bd1154-8fcc-4134-b1b9-d8f432f7a22c.jpg</t>
        </is>
      </c>
      <c r="B2942">
        <f>HYPERLINK("Объекты недвижимости, не соответствующие градостроительным нормам_00-022_Август/53bd1154-8fcc-4134-b1b9-d8f432f7a22c.jpg","open")</f>
        <v/>
      </c>
      <c r="C2942" t="inlineStr">
        <is>
          <t>1231bbc5-e64c-4dc7-9acc-77710f47607a</t>
        </is>
      </c>
      <c r="D2942" t="n">
        <v>55.64785</v>
      </c>
      <c r="E2942" t="n">
        <v>37.60621</v>
      </c>
      <c r="F2942" t="inlineStr"/>
      <c r="G2942" t="inlineStr"/>
      <c r="H2942" t="inlineStr"/>
    </row>
    <row r="2943">
      <c r="A2943" t="inlineStr">
        <is>
          <t>6572aacc-c92d-4136-b57b-1983fb1696a7.jpg</t>
        </is>
      </c>
      <c r="B2943">
        <f>HYPERLINK("Объекты недвижимости, не соответствующие градостроительным нормам_00-022_Август/6572aacc-c92d-4136-b57b-1983fb1696a7.jpg","open")</f>
        <v/>
      </c>
      <c r="C2943" t="inlineStr">
        <is>
          <t>b6b3590f-f506-4399-8205-e7ac710132e7</t>
        </is>
      </c>
      <c r="D2943" t="n">
        <v>55.81335</v>
      </c>
      <c r="E2943" t="n">
        <v>37.52151</v>
      </c>
      <c r="F2943" t="inlineStr"/>
      <c r="G2943" t="inlineStr"/>
      <c r="H2943" t="inlineStr"/>
    </row>
    <row r="2944">
      <c r="A2944" t="inlineStr">
        <is>
          <t>9dd64c64-2105-44fd-9772-e37ca8fe3ce3.jpg</t>
        </is>
      </c>
      <c r="B2944">
        <f>HYPERLINK("Объекты недвижимости, не соответствующие градостроительным нормам_00-022_Август/9dd64c64-2105-44fd-9772-e37ca8fe3ce3.jpg","open")</f>
        <v/>
      </c>
      <c r="C2944" t="inlineStr">
        <is>
          <t>685d9054-b74f-49ab-857b-109fd2cec80d</t>
        </is>
      </c>
      <c r="D2944" t="n">
        <v>55.64718</v>
      </c>
      <c r="E2944" t="n">
        <v>37.60376</v>
      </c>
      <c r="F2944" t="inlineStr"/>
      <c r="G2944" t="inlineStr"/>
      <c r="H2944" t="inlineStr"/>
    </row>
    <row r="2945">
      <c r="A2945" t="inlineStr">
        <is>
          <t>963a1d2a-694b-496d-8071-2ea8770b0210.jpg</t>
        </is>
      </c>
      <c r="B2945">
        <f>HYPERLINK("Объекты недвижимости, не соответствующие градостроительным нормам_00-022_Август/963a1d2a-694b-496d-8071-2ea8770b0210.jpg","open")</f>
        <v/>
      </c>
      <c r="C2945" t="inlineStr">
        <is>
          <t>8cde1fd0-eca1-4510-86ab-3c743b65fdfc</t>
        </is>
      </c>
      <c r="D2945" t="n">
        <v>55.61005</v>
      </c>
      <c r="E2945" t="n">
        <v>37.5154</v>
      </c>
      <c r="F2945" t="inlineStr"/>
      <c r="G2945" t="inlineStr"/>
      <c r="H2945" t="inlineStr"/>
    </row>
    <row r="2946">
      <c r="A2946" t="inlineStr">
        <is>
          <t>fc0bcf3f-f2c2-4253-871f-a96bd16969c6.jpg</t>
        </is>
      </c>
      <c r="B2946">
        <f>HYPERLINK("Объекты недвижимости, не соответствующие градостроительным нормам_00-022_Август/fc0bcf3f-f2c2-4253-871f-a96bd16969c6.jpg","open")</f>
        <v/>
      </c>
      <c r="C2946" t="inlineStr">
        <is>
          <t>8cde1fd0-eca1-4510-86ab-3c743b65fdfc</t>
        </is>
      </c>
      <c r="D2946" t="n">
        <v>55.60993</v>
      </c>
      <c r="E2946" t="n">
        <v>37.51511</v>
      </c>
      <c r="F2946" t="inlineStr"/>
      <c r="G2946" t="inlineStr"/>
      <c r="H2946" t="inlineStr"/>
    </row>
    <row r="2947">
      <c r="A2947" t="inlineStr">
        <is>
          <t>b5ecbf67-9980-46a8-90a2-eacd925f78fa.jpg</t>
        </is>
      </c>
      <c r="B2947">
        <f>HYPERLINK("Объекты недвижимости, не соответствующие градостроительным нормам_00-022_Август/b5ecbf67-9980-46a8-90a2-eacd925f78fa.jpg","open")</f>
        <v/>
      </c>
      <c r="C2947" t="inlineStr">
        <is>
          <t>8cde1fd0-eca1-4510-86ab-3c743b65fdfc</t>
        </is>
      </c>
      <c r="D2947" t="n">
        <v>55.6098</v>
      </c>
      <c r="E2947" t="n">
        <v>37.51481</v>
      </c>
      <c r="F2947" t="inlineStr"/>
      <c r="G2947" t="inlineStr"/>
      <c r="H2947" t="inlineStr"/>
    </row>
    <row r="2948">
      <c r="A2948" t="inlineStr">
        <is>
          <t>0a8daae4-b3a7-45aa-a370-4b48682bd4f9.jpg</t>
        </is>
      </c>
      <c r="B2948">
        <f>HYPERLINK("Объекты недвижимости, не соответствующие градостроительным нормам_00-022_Август/0a8daae4-b3a7-45aa-a370-4b48682bd4f9.jpg","open")</f>
        <v/>
      </c>
      <c r="C2948" t="inlineStr">
        <is>
          <t>8cde1fd0-eca1-4510-86ab-3c743b65fdfc</t>
        </is>
      </c>
      <c r="D2948" t="n">
        <v>55.60966</v>
      </c>
      <c r="E2948" t="n">
        <v>37.5145</v>
      </c>
      <c r="F2948" t="inlineStr"/>
      <c r="G2948" t="inlineStr"/>
      <c r="H2948" t="inlineStr"/>
    </row>
    <row r="2949">
      <c r="A2949" t="inlineStr">
        <is>
          <t>6b50e161-7eb5-4fb1-a4c8-9ae4f843694b.jpg</t>
        </is>
      </c>
      <c r="B2949">
        <f>HYPERLINK("Объекты недвижимости, не соответствующие градостроительным нормам_00-022_Август/6b50e161-7eb5-4fb1-a4c8-9ae4f843694b.jpg","open")</f>
        <v/>
      </c>
      <c r="C2949" t="inlineStr">
        <is>
          <t>8cde1fd0-eca1-4510-86ab-3c743b65fdfc</t>
        </is>
      </c>
      <c r="D2949" t="n">
        <v>55.60952</v>
      </c>
      <c r="E2949" t="n">
        <v>37.51417</v>
      </c>
      <c r="F2949" t="inlineStr"/>
      <c r="G2949" t="inlineStr"/>
      <c r="H2949" t="inlineStr"/>
    </row>
    <row r="2950">
      <c r="A2950" t="inlineStr">
        <is>
          <t>67e98e7b-4ca6-4f74-9289-d87e02260531.jpg</t>
        </is>
      </c>
      <c r="B2950">
        <f>HYPERLINK("Объекты недвижимости, не соответствующие градостроительным нормам_00-022_Август/67e98e7b-4ca6-4f74-9289-d87e02260531.jpg","open")</f>
        <v/>
      </c>
      <c r="C2950" t="inlineStr">
        <is>
          <t>685d9054-b74f-49ab-857b-109fd2cec80d</t>
        </is>
      </c>
      <c r="D2950" t="n">
        <v>55.64683</v>
      </c>
      <c r="E2950" t="n">
        <v>37.60297</v>
      </c>
      <c r="F2950" t="inlineStr"/>
      <c r="G2950" t="inlineStr"/>
      <c r="H2950" t="inlineStr"/>
    </row>
    <row r="2951">
      <c r="A2951" t="inlineStr">
        <is>
          <t>08e5f5b1-7a90-4714-b05e-247cd96f96b7.jpg</t>
        </is>
      </c>
      <c r="B2951">
        <f>HYPERLINK("Объекты недвижимости, не соответствующие градостроительным нормам_00-022_Август/08e5f5b1-7a90-4714-b05e-247cd96f96b7.jpg","open")</f>
        <v/>
      </c>
      <c r="C2951" t="inlineStr">
        <is>
          <t>1231bbc5-e64c-4dc7-9acc-77710f47607a</t>
        </is>
      </c>
      <c r="D2951" t="n">
        <v>55.64683</v>
      </c>
      <c r="E2951" t="n">
        <v>37.603</v>
      </c>
      <c r="F2951" t="inlineStr"/>
      <c r="G2951" t="inlineStr"/>
      <c r="H2951" t="inlineStr"/>
    </row>
    <row r="2952">
      <c r="A2952" t="inlineStr">
        <is>
          <t>197da67a-3674-495d-bb0b-bec47763f0fb.jpg</t>
        </is>
      </c>
      <c r="B2952">
        <f>HYPERLINK("Объекты недвижимости, не соответствующие градостроительным нормам_00-022_Август/197da67a-3674-495d-bb0b-bec47763f0fb.jpg","open")</f>
        <v/>
      </c>
      <c r="C2952" t="inlineStr">
        <is>
          <t>8cde1fd0-eca1-4510-86ab-3c743b65fdfc</t>
        </is>
      </c>
      <c r="D2952" t="n">
        <v>55.6057</v>
      </c>
      <c r="E2952" t="n">
        <v>37.51112</v>
      </c>
      <c r="F2952" t="inlineStr"/>
      <c r="G2952" t="inlineStr"/>
      <c r="H2952" t="inlineStr"/>
    </row>
    <row r="2953">
      <c r="A2953" t="inlineStr">
        <is>
          <t>0b92d67f-20fc-4ea7-a828-be50370c8f8b.jpg</t>
        </is>
      </c>
      <c r="B2953">
        <f>HYPERLINK("Объекты недвижимости, не соответствующие градостроительным нормам_00-022_Август/0b92d67f-20fc-4ea7-a828-be50370c8f8b.jpg","open")</f>
        <v/>
      </c>
      <c r="C2953" t="inlineStr">
        <is>
          <t>8996eb30-6497-4318-8a0e-b95314b8172e</t>
        </is>
      </c>
      <c r="D2953" t="n">
        <v>55.85048</v>
      </c>
      <c r="E2953" t="n">
        <v>37.47921</v>
      </c>
      <c r="F2953" t="inlineStr"/>
      <c r="G2953" t="inlineStr"/>
      <c r="H2953" t="inlineStr"/>
    </row>
    <row r="2954">
      <c r="A2954" t="inlineStr">
        <is>
          <t>bd7432fd-3508-4d73-b97a-ff7329e82385.jpg</t>
        </is>
      </c>
      <c r="B2954">
        <f>HYPERLINK("Объекты недвижимости, не соответствующие градостроительным нормам_00-022_Август/bd7432fd-3508-4d73-b97a-ff7329e82385.jpg","open")</f>
        <v/>
      </c>
      <c r="C2954" t="inlineStr">
        <is>
          <t>1c951e11-4940-43c6-a447-394097e5609a</t>
        </is>
      </c>
      <c r="D2954" t="n">
        <v>55.61803</v>
      </c>
      <c r="E2954" t="n">
        <v>37.50397</v>
      </c>
      <c r="F2954" t="inlineStr"/>
      <c r="G2954" t="inlineStr"/>
      <c r="H2954" t="inlineStr"/>
    </row>
    <row r="2955">
      <c r="A2955" t="inlineStr">
        <is>
          <t>a26c5524-bb51-46f1-863c-0adfacf14240.jpg</t>
        </is>
      </c>
      <c r="B2955">
        <f>HYPERLINK("Объекты недвижимости, не соответствующие градостроительным нормам_00-022_Август/a26c5524-bb51-46f1-863c-0adfacf14240.jpg","open")</f>
        <v/>
      </c>
      <c r="C2955" t="inlineStr">
        <is>
          <t>1c951e11-4940-43c6-a447-394097e5609a</t>
        </is>
      </c>
      <c r="D2955" t="n">
        <v>55.61803</v>
      </c>
      <c r="E2955" t="n">
        <v>37.50398</v>
      </c>
      <c r="F2955" t="inlineStr"/>
      <c r="G2955" t="inlineStr"/>
      <c r="H2955" t="inlineStr"/>
    </row>
    <row r="2956">
      <c r="A2956" t="inlineStr">
        <is>
          <t>87ea2762-48dd-4924-9582-d18677f336a4.jpg</t>
        </is>
      </c>
      <c r="B2956">
        <f>HYPERLINK("Объекты недвижимости, не соответствующие градостроительным нормам_00-022_Август/87ea2762-48dd-4924-9582-d18677f336a4.jpg","open")</f>
        <v/>
      </c>
      <c r="C2956" t="inlineStr">
        <is>
          <t>b6b3590f-f506-4399-8205-e7ac710132e7</t>
        </is>
      </c>
      <c r="D2956" t="n">
        <v>55.81228</v>
      </c>
      <c r="E2956" t="n">
        <v>37.53065</v>
      </c>
      <c r="F2956" t="inlineStr"/>
      <c r="G2956" t="inlineStr"/>
      <c r="H2956" t="inlineStr"/>
    </row>
    <row r="2957">
      <c r="A2957" t="inlineStr">
        <is>
          <t>9a794826-9370-4e70-a4b2-bb5e21d83169.jpg</t>
        </is>
      </c>
      <c r="B2957">
        <f>HYPERLINK("Объекты недвижимости, не соответствующие градостроительным нормам_00-022_Август/9a794826-9370-4e70-a4b2-bb5e21d83169.jpg","open")</f>
        <v/>
      </c>
      <c r="C2957" t="inlineStr">
        <is>
          <t>1c951e11-4940-43c6-a447-394097e5609a</t>
        </is>
      </c>
      <c r="D2957" t="n">
        <v>55.61435</v>
      </c>
      <c r="E2957" t="n">
        <v>37.50746</v>
      </c>
      <c r="F2957" t="inlineStr"/>
      <c r="G2957" t="inlineStr"/>
      <c r="H2957" t="inlineStr"/>
    </row>
    <row r="2958">
      <c r="A2958" t="inlineStr">
        <is>
          <t>498863a4-d889-4216-a2bc-27eacc078876.jpg</t>
        </is>
      </c>
      <c r="B2958">
        <f>HYPERLINK("Объекты недвижимости, не соответствующие градостроительным нормам_00-022_Август/498863a4-d889-4216-a2bc-27eacc078876.jpg","open")</f>
        <v/>
      </c>
      <c r="C2958" t="inlineStr">
        <is>
          <t>8cde1fd0-eca1-4510-86ab-3c743b65fdfc</t>
        </is>
      </c>
      <c r="D2958" t="n">
        <v>55.60982</v>
      </c>
      <c r="E2958" t="n">
        <v>37.51291</v>
      </c>
      <c r="F2958" t="inlineStr"/>
      <c r="G2958" t="inlineStr"/>
      <c r="H2958" t="inlineStr"/>
    </row>
    <row r="2959">
      <c r="A2959" t="inlineStr">
        <is>
          <t>2809cc5a-64fd-438e-9f18-ab8cd2016038.jpg</t>
        </is>
      </c>
      <c r="B2959">
        <f>HYPERLINK("Объекты недвижимости, не соответствующие градостроительным нормам_00-022_Август/2809cc5a-64fd-438e-9f18-ab8cd2016038.jpg","open")</f>
        <v/>
      </c>
      <c r="C2959" t="inlineStr">
        <is>
          <t>1c951e11-4940-43c6-a447-394097e5609a</t>
        </is>
      </c>
      <c r="D2959" t="n">
        <v>55.60983</v>
      </c>
      <c r="E2959" t="n">
        <v>37.51294</v>
      </c>
      <c r="F2959" t="inlineStr"/>
      <c r="G2959" t="inlineStr"/>
      <c r="H2959" t="inlineStr"/>
    </row>
    <row r="2960">
      <c r="A2960" t="inlineStr">
        <is>
          <t>5340fef0-2649-454d-a2b2-ead5f605f487.jpg</t>
        </is>
      </c>
      <c r="B2960">
        <f>HYPERLINK("Объекты недвижимости, не соответствующие градостроительным нормам_00-022_Август/5340fef0-2649-454d-a2b2-ead5f605f487.jpg","open")</f>
        <v/>
      </c>
      <c r="C2960" t="inlineStr">
        <is>
          <t>8cde1fd0-eca1-4510-86ab-3c743b65fdfc</t>
        </is>
      </c>
      <c r="D2960" t="n">
        <v>55.6101</v>
      </c>
      <c r="E2960" t="n">
        <v>37.51379</v>
      </c>
      <c r="F2960" t="inlineStr"/>
      <c r="G2960" t="inlineStr"/>
      <c r="H2960" t="inlineStr"/>
    </row>
    <row r="2961">
      <c r="A2961" t="inlineStr">
        <is>
          <t>5a1f58a4-a698-4c90-843f-bbedd7b30911.jpg</t>
        </is>
      </c>
      <c r="B2961">
        <f>HYPERLINK("Объекты недвижимости, не соответствующие градостроительным нормам_00-022_Август/5a1f58a4-a698-4c90-843f-bbedd7b30911.jpg","open")</f>
        <v/>
      </c>
      <c r="C2961" t="inlineStr">
        <is>
          <t>ed2bf0f1-3a66-4913-896e-4420a9796c0b</t>
        </is>
      </c>
      <c r="D2961" t="n">
        <v>55.98241</v>
      </c>
      <c r="E2961" t="n">
        <v>37.41549</v>
      </c>
      <c r="F2961" t="inlineStr"/>
      <c r="G2961" t="inlineStr"/>
      <c r="H2961" t="inlineStr"/>
    </row>
    <row r="2962">
      <c r="A2962" t="inlineStr">
        <is>
          <t>66e617ad-5e16-4e1c-a6ac-a3cb736254bb.jpg</t>
        </is>
      </c>
      <c r="B2962">
        <f>HYPERLINK("Объекты недвижимости, не соответствующие градостроительным нормам_00-022_Август/66e617ad-5e16-4e1c-a6ac-a3cb736254bb.jpg","open")</f>
        <v/>
      </c>
      <c r="C2962" t="inlineStr">
        <is>
          <t>1231bbc5-e64c-4dc7-9acc-77710f47607a</t>
        </is>
      </c>
      <c r="D2962" t="n">
        <v>55.64628</v>
      </c>
      <c r="E2962" t="n">
        <v>37.60457</v>
      </c>
      <c r="F2962" t="inlineStr"/>
      <c r="G2962" t="inlineStr"/>
      <c r="H2962" t="inlineStr"/>
    </row>
    <row r="2963">
      <c r="A2963" t="inlineStr">
        <is>
          <t>c20e1bea-e0bf-4dfa-a9ce-a86db254bfb8.jpg</t>
        </is>
      </c>
      <c r="B2963">
        <f>HYPERLINK("Объекты недвижимости, не соответствующие градостроительным нормам_00-022_Август/c20e1bea-e0bf-4dfa-a9ce-a86db254bfb8.jpg","open")</f>
        <v/>
      </c>
      <c r="C2963" t="inlineStr">
        <is>
          <t>685d9054-b74f-49ab-857b-109fd2cec80d</t>
        </is>
      </c>
      <c r="D2963" t="n">
        <v>55.64616</v>
      </c>
      <c r="E2963" t="n">
        <v>37.60454</v>
      </c>
      <c r="F2963" t="inlineStr"/>
      <c r="G2963" t="inlineStr"/>
      <c r="H2963" t="inlineStr"/>
    </row>
    <row r="2964">
      <c r="A2964" t="inlineStr">
        <is>
          <t>9a058882-5a2c-4206-94b8-d73e836fb5a0.jpg</t>
        </is>
      </c>
      <c r="B2964">
        <f>HYPERLINK("Объекты недвижимости, не соответствующие градостроительным нормам_00-022_Август/9a058882-5a2c-4206-94b8-d73e836fb5a0.jpg","open")</f>
        <v/>
      </c>
      <c r="C2964" t="inlineStr">
        <is>
          <t>685d9054-b74f-49ab-857b-109fd2cec80d</t>
        </is>
      </c>
      <c r="D2964" t="n">
        <v>55.64618</v>
      </c>
      <c r="E2964" t="n">
        <v>37.60457</v>
      </c>
      <c r="F2964" t="inlineStr"/>
      <c r="G2964" t="inlineStr"/>
      <c r="H2964" t="inlineStr"/>
    </row>
    <row r="2965">
      <c r="A2965" t="inlineStr">
        <is>
          <t>2bc9260d-685d-48a3-9325-564139854254.jpg</t>
        </is>
      </c>
      <c r="B2965">
        <f>HYPERLINK("Объекты недвижимости, не соответствующие градостроительным нормам_00-022_Август/2bc9260d-685d-48a3-9325-564139854254.jpg","open")</f>
        <v/>
      </c>
      <c r="C2965" t="inlineStr">
        <is>
          <t>1c951e11-4940-43c6-a447-394097e5609a</t>
        </is>
      </c>
      <c r="D2965" t="n">
        <v>55.60999</v>
      </c>
      <c r="E2965" t="n">
        <v>37.51495</v>
      </c>
      <c r="F2965" t="inlineStr"/>
      <c r="G2965" t="inlineStr"/>
      <c r="H2965" t="inlineStr"/>
    </row>
    <row r="2966">
      <c r="A2966" t="inlineStr">
        <is>
          <t>19784ca0-875e-496b-a22a-41005ad9f0b1.jpg</t>
        </is>
      </c>
      <c r="B2966">
        <f>HYPERLINK("Объекты недвижимости, не соответствующие градостроительным нормам_00-022_Август/19784ca0-875e-496b-a22a-41005ad9f0b1.jpg","open")</f>
        <v/>
      </c>
      <c r="C2966" t="inlineStr">
        <is>
          <t>8cde1fd0-eca1-4510-86ab-3c743b65fdfc</t>
        </is>
      </c>
      <c r="D2966" t="n">
        <v>55.60996</v>
      </c>
      <c r="E2966" t="n">
        <v>37.51491</v>
      </c>
      <c r="F2966" t="inlineStr"/>
      <c r="G2966" t="inlineStr"/>
      <c r="H2966" t="inlineStr"/>
    </row>
    <row r="2967">
      <c r="A2967" t="inlineStr">
        <is>
          <t>c844f1d2-7747-4cec-89b6-ffb020340a07.jpg</t>
        </is>
      </c>
      <c r="B2967">
        <f>HYPERLINK("Объекты недвижимости, не соответствующие градостроительным нормам_00-022_Август/c844f1d2-7747-4cec-89b6-ffb020340a07.jpg","open")</f>
        <v/>
      </c>
      <c r="C2967" t="inlineStr">
        <is>
          <t>030e8755-17c1-44eb-9530-707d0d3121cb</t>
        </is>
      </c>
      <c r="D2967" t="n">
        <v>55.58487</v>
      </c>
      <c r="E2967" t="n">
        <v>37.68249</v>
      </c>
      <c r="F2967" t="inlineStr"/>
      <c r="G2967" t="inlineStr"/>
      <c r="H2967" t="inlineStr"/>
    </row>
    <row r="2968">
      <c r="A2968" t="inlineStr">
        <is>
          <t>97d9bc8b-848f-417f-a1d3-7dda81a1c8fc.jpg</t>
        </is>
      </c>
      <c r="B2968">
        <f>HYPERLINK("Объекты недвижимости, не соответствующие градостроительным нормам_00-022_Август/97d9bc8b-848f-417f-a1d3-7dda81a1c8fc.jpg","open")</f>
        <v/>
      </c>
      <c r="C2968" t="inlineStr">
        <is>
          <t>8cde1fd0-eca1-4510-86ab-3c743b65fdfc</t>
        </is>
      </c>
      <c r="D2968" t="n">
        <v>55.60996</v>
      </c>
      <c r="E2968" t="n">
        <v>37.51507</v>
      </c>
      <c r="F2968" t="inlineStr"/>
      <c r="G2968" t="inlineStr"/>
      <c r="H2968" t="inlineStr"/>
    </row>
    <row r="2969">
      <c r="A2969" t="inlineStr">
        <is>
          <t>cf84ea40-c792-439f-9f75-007a3f964b93.jpg</t>
        </is>
      </c>
      <c r="B2969">
        <f>HYPERLINK("Объекты недвижимости, не соответствующие градостроительным нормам_00-022_Август/cf84ea40-c792-439f-9f75-007a3f964b93.jpg","open")</f>
        <v/>
      </c>
      <c r="C2969" t="inlineStr">
        <is>
          <t>8cde1fd0-eca1-4510-86ab-3c743b65fdfc</t>
        </is>
      </c>
      <c r="D2969" t="n">
        <v>55.60965</v>
      </c>
      <c r="E2969" t="n">
        <v>37.51435</v>
      </c>
      <c r="F2969" t="inlineStr"/>
      <c r="G2969" t="inlineStr"/>
      <c r="H2969" t="inlineStr"/>
    </row>
    <row r="2970">
      <c r="A2970" t="inlineStr">
        <is>
          <t>6e029f58-b414-4b9d-a7d7-e3c991234e78.jpg</t>
        </is>
      </c>
      <c r="B2970">
        <f>HYPERLINK("Объекты недвижимости, не соответствующие градостроительным нормам_00-022_Август/6e029f58-b414-4b9d-a7d7-e3c991234e78.jpg","open")</f>
        <v/>
      </c>
      <c r="C2970" t="inlineStr">
        <is>
          <t>8cde1fd0-eca1-4510-86ab-3c743b65fdfc</t>
        </is>
      </c>
      <c r="D2970" t="n">
        <v>55.60949</v>
      </c>
      <c r="E2970" t="n">
        <v>37.51399</v>
      </c>
      <c r="F2970" t="inlineStr"/>
      <c r="G2970" t="inlineStr"/>
      <c r="H2970" t="inlineStr"/>
    </row>
    <row r="2971">
      <c r="A2971" t="inlineStr">
        <is>
          <t>2c30add4-42d9-4d7c-a3ae-5954f87ae918.jpg</t>
        </is>
      </c>
      <c r="B2971">
        <f>HYPERLINK("Объекты недвижимости, не соответствующие градостроительным нормам_00-022_Август/2c30add4-42d9-4d7c-a3ae-5954f87ae918.jpg","open")</f>
        <v/>
      </c>
      <c r="C2971" t="inlineStr">
        <is>
          <t>b0429a31-0c70-4b9f-8ea5-73929d82f89e</t>
        </is>
      </c>
      <c r="D2971" t="n">
        <v>55.59019</v>
      </c>
      <c r="E2971" t="n">
        <v>37.60516</v>
      </c>
      <c r="F2971" t="inlineStr"/>
      <c r="G2971" t="inlineStr"/>
      <c r="H2971" t="inlineStr"/>
    </row>
    <row r="2972">
      <c r="A2972" t="inlineStr">
        <is>
          <t>865afb16-ba6a-40c6-9f06-c3aa604bcb5c.jpg</t>
        </is>
      </c>
      <c r="B2972">
        <f>HYPERLINK("Объекты недвижимости, не соответствующие градостроительным нормам_00-022_Август/865afb16-ba6a-40c6-9f06-c3aa604bcb5c.jpg","open")</f>
        <v/>
      </c>
      <c r="C2972" t="inlineStr">
        <is>
          <t>8cde1fd0-eca1-4510-86ab-3c743b65fdfc</t>
        </is>
      </c>
      <c r="D2972" t="n">
        <v>55.60937</v>
      </c>
      <c r="E2972" t="n">
        <v>37.51368</v>
      </c>
      <c r="F2972" t="inlineStr"/>
      <c r="G2972" t="inlineStr"/>
      <c r="H2972" t="inlineStr"/>
    </row>
    <row r="2973">
      <c r="A2973" t="inlineStr">
        <is>
          <t>1a9d5a9c-d262-4b19-b9d0-4e637d13a760.jpg</t>
        </is>
      </c>
      <c r="B2973">
        <f>HYPERLINK("Объекты недвижимости, не соответствующие градостроительным нормам_00-022_Август/1a9d5a9c-d262-4b19-b9d0-4e637d13a760.jpg","open")</f>
        <v/>
      </c>
      <c r="C2973" t="inlineStr">
        <is>
          <t>1c951e11-4940-43c6-a447-394097e5609a</t>
        </is>
      </c>
      <c r="D2973" t="n">
        <v>55.6092</v>
      </c>
      <c r="E2973" t="n">
        <v>37.51312</v>
      </c>
      <c r="F2973" t="inlineStr"/>
      <c r="G2973" t="inlineStr"/>
      <c r="H2973" t="inlineStr"/>
    </row>
    <row r="2974">
      <c r="A2974" t="inlineStr">
        <is>
          <t>ece3e9ae-d6ec-4930-a5c6-d2d39087c355.jpg</t>
        </is>
      </c>
      <c r="B2974">
        <f>HYPERLINK("Объекты недвижимости, не соответствующие градостроительным нормам_00-022_Август/ece3e9ae-d6ec-4930-a5c6-d2d39087c355.jpg","open")</f>
        <v/>
      </c>
      <c r="C2974" t="inlineStr">
        <is>
          <t>8cde1fd0-eca1-4510-86ab-3c743b65fdfc</t>
        </is>
      </c>
      <c r="D2974" t="n">
        <v>55.60929</v>
      </c>
      <c r="E2974" t="n">
        <v>37.51309</v>
      </c>
      <c r="F2974" t="inlineStr"/>
      <c r="G2974" t="inlineStr"/>
      <c r="H2974" t="inlineStr"/>
    </row>
    <row r="2975">
      <c r="A2975" t="inlineStr">
        <is>
          <t>0a80867c-24f7-407d-8fcd-cdf1cb99e123.jpg</t>
        </is>
      </c>
      <c r="B2975">
        <f>HYPERLINK("Объекты недвижимости, не соответствующие градостроительным нормам_00-022_Август/0a80867c-24f7-407d-8fcd-cdf1cb99e123.jpg","open")</f>
        <v/>
      </c>
      <c r="C2975" t="inlineStr">
        <is>
          <t>1c951e11-4940-43c6-a447-394097e5609a</t>
        </is>
      </c>
      <c r="D2975" t="n">
        <v>55.60933</v>
      </c>
      <c r="E2975" t="n">
        <v>37.51307</v>
      </c>
      <c r="F2975" t="inlineStr"/>
      <c r="G2975" t="inlineStr"/>
      <c r="H2975" t="inlineStr"/>
    </row>
    <row r="2976">
      <c r="A2976" t="inlineStr">
        <is>
          <t>a87d1196-b3f5-4c69-a41a-0b864610aecc.jpg</t>
        </is>
      </c>
      <c r="B2976">
        <f>HYPERLINK("Объекты недвижимости, не соответствующие градостроительным нормам_00-022_Август/a87d1196-b3f5-4c69-a41a-0b864610aecc.jpg","open")</f>
        <v/>
      </c>
      <c r="C2976" t="inlineStr">
        <is>
          <t>8cde1fd0-eca1-4510-86ab-3c743b65fdfc</t>
        </is>
      </c>
      <c r="D2976" t="n">
        <v>55.60944</v>
      </c>
      <c r="E2976" t="n">
        <v>37.51302</v>
      </c>
      <c r="F2976" t="inlineStr"/>
      <c r="G2976" t="inlineStr"/>
      <c r="H2976" t="inlineStr"/>
    </row>
    <row r="2977">
      <c r="A2977" t="inlineStr">
        <is>
          <t>9b082905-be9b-48b7-acc9-2bfede3f4aad.jpg</t>
        </is>
      </c>
      <c r="B2977">
        <f>HYPERLINK("Объекты недвижимости, не соответствующие градостроительным нормам_00-022_Август/9b082905-be9b-48b7-acc9-2bfede3f4aad.jpg","open")</f>
        <v/>
      </c>
      <c r="C2977" t="inlineStr">
        <is>
          <t>8cde1fd0-eca1-4510-86ab-3c743b65fdfc</t>
        </is>
      </c>
      <c r="D2977" t="n">
        <v>55.61066</v>
      </c>
      <c r="E2977" t="n">
        <v>37.51169</v>
      </c>
      <c r="F2977" t="inlineStr"/>
      <c r="G2977" t="inlineStr"/>
      <c r="H2977" t="inlineStr"/>
    </row>
    <row r="2978">
      <c r="A2978" t="inlineStr">
        <is>
          <t>3f8a0b4c-8267-4741-9513-484057aadf7e.jpg</t>
        </is>
      </c>
      <c r="B2978">
        <f>HYPERLINK("Объекты недвижимости, не соответствующие градостроительным нормам_00-022_Август/3f8a0b4c-8267-4741-9513-484057aadf7e.jpg","open")</f>
        <v/>
      </c>
      <c r="C2978" t="inlineStr">
        <is>
          <t>8cde1fd0-eca1-4510-86ab-3c743b65fdfc</t>
        </is>
      </c>
      <c r="D2978" t="n">
        <v>55.61104</v>
      </c>
      <c r="E2978" t="n">
        <v>37.51117</v>
      </c>
      <c r="F2978" t="inlineStr"/>
      <c r="G2978" t="inlineStr"/>
      <c r="H2978" t="inlineStr"/>
    </row>
    <row r="2979">
      <c r="A2979" t="inlineStr">
        <is>
          <t>67b0d98b-28e1-4a95-956c-28a1a7b00079.jpg</t>
        </is>
      </c>
      <c r="B2979">
        <f>HYPERLINK("Объекты недвижимости, не соответствующие градостроительным нормам_00-022_Август/67b0d98b-28e1-4a95-956c-28a1a7b00079.jpg","open")</f>
        <v/>
      </c>
      <c r="C2979" t="inlineStr">
        <is>
          <t>8cde1fd0-eca1-4510-86ab-3c743b65fdfc</t>
        </is>
      </c>
      <c r="D2979" t="n">
        <v>55.61179</v>
      </c>
      <c r="E2979" t="n">
        <v>37.51017</v>
      </c>
      <c r="F2979" t="inlineStr"/>
      <c r="G2979" t="inlineStr"/>
      <c r="H2979" t="inlineStr"/>
    </row>
    <row r="2980">
      <c r="A2980" t="inlineStr">
        <is>
          <t>2ab525e8-2359-42e6-9c6a-0c3d8107e2ea.jpg</t>
        </is>
      </c>
      <c r="B2980">
        <f>HYPERLINK("Объекты недвижимости, не соответствующие градостроительным нормам_00-022_Август/2ab525e8-2359-42e6-9c6a-0c3d8107e2ea.jpg","open")</f>
        <v/>
      </c>
      <c r="C2980" t="inlineStr">
        <is>
          <t>ffd931da-542f-43e9-979f-5552b17fe3dc</t>
        </is>
      </c>
      <c r="D2980" t="n">
        <v>55.79836</v>
      </c>
      <c r="E2980" t="n">
        <v>37.69868</v>
      </c>
      <c r="F2980" t="inlineStr"/>
      <c r="G2980" t="inlineStr"/>
      <c r="H2980" t="inlineStr"/>
    </row>
    <row r="2981">
      <c r="A2981" t="inlineStr">
        <is>
          <t>7c0caf31-38af-4e33-801d-92b724cad960.jpg</t>
        </is>
      </c>
      <c r="B2981">
        <f>HYPERLINK("Объекты недвижимости, не соответствующие градостроительным нормам_00-022_Август/7c0caf31-38af-4e33-801d-92b724cad960.jpg","open")</f>
        <v/>
      </c>
      <c r="C2981" t="inlineStr">
        <is>
          <t>93848fc8-17e7-4748-9ebc-c7e379e11d2f</t>
        </is>
      </c>
      <c r="D2981" t="n">
        <v>55.70374</v>
      </c>
      <c r="E2981" t="n">
        <v>37.7047</v>
      </c>
      <c r="F2981" t="inlineStr"/>
      <c r="G2981" t="inlineStr"/>
      <c r="H2981" t="inlineStr"/>
    </row>
    <row r="2982">
      <c r="A2982" t="inlineStr">
        <is>
          <t>6e2ebb35-0af3-410f-93c5-4a45ca2a5542.jpg</t>
        </is>
      </c>
      <c r="B2982">
        <f>HYPERLINK("Объекты недвижимости, не соответствующие градостроительным нормам_00-022_Август/6e2ebb35-0af3-410f-93c5-4a45ca2a5542.jpg","open")</f>
        <v/>
      </c>
      <c r="C2982" t="inlineStr">
        <is>
          <t>8cde1fd0-eca1-4510-86ab-3c743b65fdfc</t>
        </is>
      </c>
      <c r="D2982" t="n">
        <v>55.60999</v>
      </c>
      <c r="E2982" t="n">
        <v>37.5152</v>
      </c>
      <c r="F2982" t="inlineStr"/>
      <c r="G2982" t="inlineStr"/>
      <c r="H2982" t="inlineStr"/>
    </row>
    <row r="2983">
      <c r="A2983" t="inlineStr">
        <is>
          <t>8427bf47-c7d4-40d6-96e2-ff0dd7152336.jpg</t>
        </is>
      </c>
      <c r="B2983">
        <f>HYPERLINK("Объекты недвижимости, не соответствующие градостроительным нормам_00-022_Август/8427bf47-c7d4-40d6-96e2-ff0dd7152336.jpg","open")</f>
        <v/>
      </c>
      <c r="C2983" t="inlineStr">
        <is>
          <t>8cde1fd0-eca1-4510-86ab-3c743b65fdfc</t>
        </is>
      </c>
      <c r="D2983" t="n">
        <v>55.60987</v>
      </c>
      <c r="E2983" t="n">
        <v>37.5149</v>
      </c>
      <c r="F2983" t="inlineStr"/>
      <c r="G2983" t="inlineStr"/>
      <c r="H2983" t="inlineStr"/>
    </row>
    <row r="2984">
      <c r="A2984" t="inlineStr">
        <is>
          <t>81d84d8a-6cca-42d6-b7a8-83ae2af5865b.jpg</t>
        </is>
      </c>
      <c r="B2984">
        <f>HYPERLINK("Объекты недвижимости, не соответствующие градостроительным нормам_00-022_Август/81d84d8a-6cca-42d6-b7a8-83ae2af5865b.jpg","open")</f>
        <v/>
      </c>
      <c r="C2984" t="inlineStr">
        <is>
          <t>8cde1fd0-eca1-4510-86ab-3c743b65fdfc</t>
        </is>
      </c>
      <c r="D2984" t="n">
        <v>55.60975</v>
      </c>
      <c r="E2984" t="n">
        <v>37.51459</v>
      </c>
      <c r="F2984" t="inlineStr"/>
      <c r="G2984" t="inlineStr"/>
      <c r="H2984" t="inlineStr"/>
    </row>
    <row r="2985">
      <c r="A2985" t="inlineStr">
        <is>
          <t>cdc1bb54-aaba-45ab-b413-06f154052b92.jpg</t>
        </is>
      </c>
      <c r="B2985">
        <f>HYPERLINK("Объекты недвижимости, не соответствующие градостроительным нормам_00-022_Август/cdc1bb54-aaba-45ab-b413-06f154052b92.jpg","open")</f>
        <v/>
      </c>
      <c r="C2985" t="inlineStr">
        <is>
          <t>1c951e11-4940-43c6-a447-394097e5609a</t>
        </is>
      </c>
      <c r="D2985" t="n">
        <v>55.60984</v>
      </c>
      <c r="E2985" t="n">
        <v>37.51483</v>
      </c>
      <c r="F2985" t="inlineStr"/>
      <c r="G2985" t="inlineStr"/>
      <c r="H2985" t="inlineStr"/>
    </row>
    <row r="2986">
      <c r="A2986" t="inlineStr">
        <is>
          <t>eb2c970b-6a16-4108-9d84-2d242b20c63a.jpg</t>
        </is>
      </c>
      <c r="B2986">
        <f>HYPERLINK("Объекты недвижимости, не соответствующие градостроительным нормам_00-022_Август/eb2c970b-6a16-4108-9d84-2d242b20c63a.jpg","open")</f>
        <v/>
      </c>
      <c r="C2986" t="inlineStr">
        <is>
          <t>8cde1fd0-eca1-4510-86ab-3c743b65fdfc</t>
        </is>
      </c>
      <c r="D2986" t="n">
        <v>55.60947</v>
      </c>
      <c r="E2986" t="n">
        <v>37.51392</v>
      </c>
      <c r="F2986" t="inlineStr"/>
      <c r="G2986" t="inlineStr"/>
      <c r="H2986" t="inlineStr"/>
    </row>
    <row r="2987">
      <c r="A2987" t="inlineStr">
        <is>
          <t>6ad10b59-5948-4ecb-ac8d-6388b7316853.jpg</t>
        </is>
      </c>
      <c r="B2987">
        <f>HYPERLINK("Объекты недвижимости, не соответствующие градостроительным нормам_00-022_Август/6ad10b59-5948-4ecb-ac8d-6388b7316853.jpg","open")</f>
        <v/>
      </c>
      <c r="C2987" t="inlineStr">
        <is>
          <t>b6b3590f-f506-4399-8205-e7ac710132e7</t>
        </is>
      </c>
      <c r="D2987" t="n">
        <v>55.8106</v>
      </c>
      <c r="E2987" t="n">
        <v>37.51456</v>
      </c>
      <c r="F2987" t="inlineStr"/>
      <c r="G2987" t="inlineStr"/>
      <c r="H2987" t="inlineStr"/>
    </row>
    <row r="2988">
      <c r="A2988" t="inlineStr">
        <is>
          <t>c74e2a79-3754-415e-9d19-11516fe41fc2.jpg</t>
        </is>
      </c>
      <c r="B2988">
        <f>HYPERLINK("Объекты недвижимости, не соответствующие градостроительным нормам_00-022_Август/c74e2a79-3754-415e-9d19-11516fe41fc2.jpg","open")</f>
        <v/>
      </c>
      <c r="C2988" t="inlineStr">
        <is>
          <t>b0429a31-0c70-4b9f-8ea5-73929d82f89e</t>
        </is>
      </c>
      <c r="D2988" t="n">
        <v>55.58384</v>
      </c>
      <c r="E2988" t="n">
        <v>37.6002</v>
      </c>
      <c r="F2988" t="inlineStr"/>
      <c r="G2988" t="inlineStr"/>
      <c r="H2988" t="inlineStr"/>
    </row>
    <row r="2989">
      <c r="A2989" t="inlineStr">
        <is>
          <t>4487b2d9-916b-4116-9250-c3d4bb9398ad.jpg</t>
        </is>
      </c>
      <c r="B2989">
        <f>HYPERLINK("Объекты недвижимости, не соответствующие градостроительным нормам_00-022_Август/4487b2d9-916b-4116-9250-c3d4bb9398ad.jpg","open")</f>
        <v/>
      </c>
      <c r="C2989" t="inlineStr">
        <is>
          <t>ed2bf0f1-3a66-4913-896e-4420a9796c0b</t>
        </is>
      </c>
      <c r="D2989" t="n">
        <v>55.96475</v>
      </c>
      <c r="E2989" t="n">
        <v>37.41929</v>
      </c>
      <c r="F2989" t="inlineStr"/>
      <c r="G2989" t="inlineStr"/>
      <c r="H2989" t="inlineStr"/>
    </row>
    <row r="2990">
      <c r="A2990" t="inlineStr">
        <is>
          <t>81acaf8b-c913-46e2-ad7d-b45fa36f9371.jpg</t>
        </is>
      </c>
      <c r="B2990">
        <f>HYPERLINK("Объекты недвижимости, не соответствующие градостроительным нормам_00-022_Август/81acaf8b-c913-46e2-ad7d-b45fa36f9371.jpg","open")</f>
        <v/>
      </c>
      <c r="C2990" t="inlineStr">
        <is>
          <t>31a713a9-b910-424b-b847-e0eaa2f70c70</t>
        </is>
      </c>
      <c r="D2990" t="n">
        <v>55.68372</v>
      </c>
      <c r="E2990" t="n">
        <v>37.5391</v>
      </c>
      <c r="F2990" t="inlineStr"/>
      <c r="G2990" t="inlineStr"/>
      <c r="H2990" t="inlineStr"/>
    </row>
    <row r="2991">
      <c r="A2991" t="inlineStr">
        <is>
          <t>1179881c-d411-4ba4-8363-cc67293223f5.jpg</t>
        </is>
      </c>
      <c r="B2991">
        <f>HYPERLINK("Объекты недвижимости, не соответствующие градостроительным нормам_00-022_Август/1179881c-d411-4ba4-8363-cc67293223f5.jpg","open")</f>
        <v/>
      </c>
      <c r="C2991" t="inlineStr">
        <is>
          <t>036c664f-5408-4fd0-b479-342c00468eeb</t>
        </is>
      </c>
      <c r="D2991" t="n">
        <v>55.67731</v>
      </c>
      <c r="E2991" t="n">
        <v>37.45331</v>
      </c>
      <c r="F2991" t="inlineStr"/>
      <c r="G2991" t="inlineStr"/>
      <c r="H2991" t="inlineStr"/>
    </row>
    <row r="2992">
      <c r="A2992" t="inlineStr">
        <is>
          <t>fbb11c4f-afc2-4f0b-83e8-4f9338dcb4bc.jpg</t>
        </is>
      </c>
      <c r="B2992">
        <f>HYPERLINK("Объекты недвижимости, не соответствующие градостроительным нормам_00-022_Август/fbb11c4f-afc2-4f0b-83e8-4f9338dcb4bc.jpg","open")</f>
        <v/>
      </c>
      <c r="C2992" t="inlineStr">
        <is>
          <t>8cde1fd0-eca1-4510-86ab-3c743b65fdfc</t>
        </is>
      </c>
      <c r="D2992" t="n">
        <v>55.59746</v>
      </c>
      <c r="E2992" t="n">
        <v>37.53312</v>
      </c>
      <c r="F2992" t="inlineStr"/>
      <c r="G2992" t="inlineStr"/>
      <c r="H2992" t="inlineStr"/>
    </row>
    <row r="2993">
      <c r="A2993" t="inlineStr">
        <is>
          <t>fd317d58-74a9-4082-a7a7-14df5ab5e6d1.jpg</t>
        </is>
      </c>
      <c r="B2993">
        <f>HYPERLINK("Объекты недвижимости, не соответствующие градостроительным нормам_00-022_Август/fd317d58-74a9-4082-a7a7-14df5ab5e6d1.jpg","open")</f>
        <v/>
      </c>
      <c r="C2993" t="inlineStr">
        <is>
          <t>685d9054-b74f-49ab-857b-109fd2cec80d</t>
        </is>
      </c>
      <c r="D2993" t="n">
        <v>55.6479</v>
      </c>
      <c r="E2993" t="n">
        <v>37.60105</v>
      </c>
      <c r="F2993" t="inlineStr"/>
      <c r="G2993" t="inlineStr"/>
      <c r="H2993" t="inlineStr"/>
    </row>
    <row r="2994">
      <c r="A2994" t="inlineStr">
        <is>
          <t>55b8e129-2aaf-4944-81d1-fe0d7eccb902.jpg</t>
        </is>
      </c>
      <c r="B2994">
        <f>HYPERLINK("Объекты недвижимости, не соответствующие градостроительным нормам_00-022_Август/55b8e129-2aaf-4944-81d1-fe0d7eccb902.jpg","open")</f>
        <v/>
      </c>
      <c r="C2994" t="inlineStr">
        <is>
          <t>ab4e767f-65c0-455b-af20-a5527124fd21</t>
        </is>
      </c>
      <c r="D2994" t="n">
        <v>55.69463</v>
      </c>
      <c r="E2994" t="n">
        <v>37.64867</v>
      </c>
      <c r="F2994" t="inlineStr"/>
      <c r="G2994" t="inlineStr"/>
      <c r="H2994" t="inlineStr"/>
    </row>
    <row r="2995">
      <c r="A2995" t="inlineStr">
        <is>
          <t>78c482ce-7ab0-42ad-9afc-4ced3eee05e2.jpg</t>
        </is>
      </c>
      <c r="B2995">
        <f>HYPERLINK("Объекты недвижимости, не соответствующие градостроительным нормам_00-022_Август/78c482ce-7ab0-42ad-9afc-4ced3eee05e2.jpg","open")</f>
        <v/>
      </c>
      <c r="C2995" t="inlineStr">
        <is>
          <t>ab4e767f-65c0-455b-af20-a5527124fd21</t>
        </is>
      </c>
      <c r="D2995" t="n">
        <v>55.69463</v>
      </c>
      <c r="E2995" t="n">
        <v>37.64867</v>
      </c>
      <c r="F2995" t="inlineStr"/>
      <c r="G2995" t="inlineStr"/>
      <c r="H2995" t="inlineStr"/>
    </row>
    <row r="2996">
      <c r="A2996" t="inlineStr">
        <is>
          <t>d5170c6b-6108-4346-946d-2729a5ae75e5.jpg</t>
        </is>
      </c>
      <c r="B2996">
        <f>HYPERLINK("Объекты недвижимости, не соответствующие градостроительным нормам_00-022_Август/d5170c6b-6108-4346-946d-2729a5ae75e5.jpg","open")</f>
        <v/>
      </c>
      <c r="C2996" t="inlineStr">
        <is>
          <t>685d9054-b74f-49ab-857b-109fd2cec80d</t>
        </is>
      </c>
      <c r="D2996" t="n">
        <v>55.64856</v>
      </c>
      <c r="E2996" t="n">
        <v>37.60042</v>
      </c>
      <c r="F2996" t="inlineStr"/>
      <c r="G2996" t="inlineStr"/>
      <c r="H2996" t="inlineStr"/>
    </row>
    <row r="2997">
      <c r="A2997" t="inlineStr">
        <is>
          <t>3593c161-e916-4bcf-adbe-37f32237ae15.jpg</t>
        </is>
      </c>
      <c r="B2997">
        <f>HYPERLINK("Объекты недвижимости, не соответствующие градостроительным нормам_00-022_Август/3593c161-e916-4bcf-adbe-37f32237ae15.jpg","open")</f>
        <v/>
      </c>
      <c r="C2997" t="inlineStr">
        <is>
          <t>f9ad0a8f-1e33-4fca-bdfe-5b844d3ee381</t>
        </is>
      </c>
      <c r="D2997" t="n">
        <v>55.73506</v>
      </c>
      <c r="E2997" t="n">
        <v>37.66943</v>
      </c>
      <c r="F2997" t="inlineStr"/>
      <c r="G2997" t="inlineStr"/>
      <c r="H2997" t="inlineStr"/>
    </row>
    <row r="2998">
      <c r="A2998" t="inlineStr">
        <is>
          <t>2cbe164f-a2f6-406b-864d-fdc18a135e5e.jpg</t>
        </is>
      </c>
      <c r="B2998">
        <f>HYPERLINK("Объекты недвижимости, не соответствующие градостроительным нормам_00-022_Август/2cbe164f-a2f6-406b-864d-fdc18a135e5e.jpg","open")</f>
        <v/>
      </c>
      <c r="C2998" t="inlineStr">
        <is>
          <t>ad64e6b9-1ed5-44d7-a101-4945a1f9dec6</t>
        </is>
      </c>
      <c r="D2998" t="n">
        <v>55.68395</v>
      </c>
      <c r="E2998" t="n">
        <v>37.54096</v>
      </c>
      <c r="F2998" t="inlineStr"/>
      <c r="G2998" t="inlineStr"/>
      <c r="H2998" t="inlineStr"/>
    </row>
    <row r="2999">
      <c r="A2999" t="inlineStr">
        <is>
          <t>1b9487cd-5a46-4a03-9755-8e23f928fbf2.jpg</t>
        </is>
      </c>
      <c r="B2999">
        <f>HYPERLINK("Объекты недвижимости, не соответствующие градостроительным нормам_00-022_Август/1b9487cd-5a46-4a03-9755-8e23f928fbf2.jpg","open")</f>
        <v/>
      </c>
      <c r="C2999" t="inlineStr">
        <is>
          <t>8cde1fd0-eca1-4510-86ab-3c743b65fdfc</t>
        </is>
      </c>
      <c r="D2999" t="n">
        <v>55.61172</v>
      </c>
      <c r="E2999" t="n">
        <v>37.49254</v>
      </c>
      <c r="F2999" t="inlineStr"/>
      <c r="G2999" t="inlineStr"/>
      <c r="H2999" t="inlineStr"/>
    </row>
    <row r="3000">
      <c r="A3000" t="inlineStr">
        <is>
          <t>053246c2-a6e5-4a30-abfd-33d35b485807.jpg</t>
        </is>
      </c>
      <c r="B3000">
        <f>HYPERLINK("Объекты недвижимости, не соответствующие градостроительным нормам_00-022_Август/053246c2-a6e5-4a30-abfd-33d35b485807.jpg","open")</f>
        <v/>
      </c>
      <c r="C3000" t="inlineStr">
        <is>
          <t>31a713a9-b910-424b-b847-e0eaa2f70c70</t>
        </is>
      </c>
      <c r="D3000" t="n">
        <v>55.73348</v>
      </c>
      <c r="E3000" t="n">
        <v>37.62901</v>
      </c>
      <c r="F3000" t="inlineStr"/>
      <c r="G3000" t="inlineStr"/>
      <c r="H3000" t="inlineStr"/>
    </row>
    <row r="3001">
      <c r="A3001" t="inlineStr">
        <is>
          <t>41f95b11-d3e7-4a03-9e75-adc5551c9baa.jpg</t>
        </is>
      </c>
      <c r="B3001">
        <f>HYPERLINK("Объекты недвижимости, не соответствующие градостроительным нормам_00-022_Август/41f95b11-d3e7-4a03-9e75-adc5551c9baa.jpg","open")</f>
        <v/>
      </c>
      <c r="C3001" t="inlineStr">
        <is>
          <t>9fb3d110-951f-48da-9d90-cfd7e1b5800d</t>
        </is>
      </c>
      <c r="D3001" t="n">
        <v>55.76151</v>
      </c>
      <c r="E3001" t="n">
        <v>37.40582</v>
      </c>
      <c r="F3001" t="inlineStr"/>
      <c r="G3001" t="inlineStr"/>
      <c r="H3001" t="inlineStr"/>
    </row>
    <row r="3002">
      <c r="A3002" t="inlineStr">
        <is>
          <t>599398f5-e804-4c11-8cef-5e1298548357.jpg</t>
        </is>
      </c>
      <c r="B3002">
        <f>HYPERLINK("Объекты недвижимости, не соответствующие градостроительным нормам_00-022_Август/599398f5-e804-4c11-8cef-5e1298548357.jpg","open")</f>
        <v/>
      </c>
      <c r="C3002" t="inlineStr">
        <is>
          <t>61936922-4d4b-458e-80ea-6d4c450aa1d5</t>
        </is>
      </c>
      <c r="D3002" t="n">
        <v>55.76151</v>
      </c>
      <c r="E3002" t="n">
        <v>37.40586</v>
      </c>
      <c r="F3002" t="inlineStr"/>
      <c r="G3002" t="inlineStr"/>
      <c r="H3002" t="inlineStr"/>
    </row>
    <row r="3003">
      <c r="A3003" t="inlineStr">
        <is>
          <t>65dbbff9-1a55-4092-be71-9feae93c1447.jpg</t>
        </is>
      </c>
      <c r="B3003">
        <f>HYPERLINK("Объекты недвижимости, не соответствующие градостроительным нормам_00-022_Август/65dbbff9-1a55-4092-be71-9feae93c1447.jpg","open")</f>
        <v/>
      </c>
      <c r="C3003" t="inlineStr">
        <is>
          <t>8cde1fd0-eca1-4510-86ab-3c743b65fdfc</t>
        </is>
      </c>
      <c r="D3003" t="n">
        <v>55.6082</v>
      </c>
      <c r="E3003" t="n">
        <v>37.49479</v>
      </c>
      <c r="F3003" t="inlineStr"/>
      <c r="G3003" t="inlineStr"/>
      <c r="H3003" t="inlineStr"/>
    </row>
    <row r="3004">
      <c r="A3004" t="inlineStr">
        <is>
          <t>c4b883e3-6851-432b-9eb9-23eabdf6e666.jpg</t>
        </is>
      </c>
      <c r="B3004">
        <f>HYPERLINK("Объекты недвижимости, не соответствующие градостроительным нормам_00-022_Август/c4b883e3-6851-432b-9eb9-23eabdf6e666.jpg","open")</f>
        <v/>
      </c>
      <c r="C3004" t="inlineStr">
        <is>
          <t>685d9054-b74f-49ab-857b-109fd2cec80d</t>
        </is>
      </c>
      <c r="D3004" t="n">
        <v>55.64573</v>
      </c>
      <c r="E3004" t="n">
        <v>37.59625</v>
      </c>
      <c r="F3004" t="inlineStr"/>
      <c r="G3004" t="inlineStr"/>
      <c r="H3004" t="inlineStr"/>
    </row>
    <row r="3005">
      <c r="A3005" t="inlineStr">
        <is>
          <t>198559a6-b5b8-4e14-a614-079ff91fdb31.jpg</t>
        </is>
      </c>
      <c r="B3005">
        <f>HYPERLINK("Объекты недвижимости, не соответствующие градостроительным нормам_00-022_Август/198559a6-b5b8-4e14-a614-079ff91fdb31.jpg","open")</f>
        <v/>
      </c>
      <c r="C3005" t="inlineStr">
        <is>
          <t>036c664f-5408-4fd0-b479-342c00468eeb</t>
        </is>
      </c>
      <c r="D3005" t="n">
        <v>55.67654</v>
      </c>
      <c r="E3005" t="n">
        <v>37.45134</v>
      </c>
      <c r="F3005" t="inlineStr"/>
      <c r="G3005" t="inlineStr"/>
      <c r="H3005" t="inlineStr"/>
    </row>
    <row r="3006">
      <c r="A3006" t="inlineStr">
        <is>
          <t>adc8b11f-dafd-4c00-a0b3-6e126c3329e6.jpg</t>
        </is>
      </c>
      <c r="B3006">
        <f>HYPERLINK("Объекты недвижимости, не соответствующие градостроительным нормам_00-022_Август/adc8b11f-dafd-4c00-a0b3-6e126c3329e6.jpg","open")</f>
        <v/>
      </c>
      <c r="C3006" t="inlineStr">
        <is>
          <t>1231bbc5-e64c-4dc7-9acc-77710f47607a</t>
        </is>
      </c>
      <c r="D3006" t="n">
        <v>55.64517</v>
      </c>
      <c r="E3006" t="n">
        <v>37.59663</v>
      </c>
      <c r="F3006" t="inlineStr"/>
      <c r="G3006" t="inlineStr"/>
      <c r="H3006" t="inlineStr"/>
    </row>
    <row r="3007">
      <c r="A3007" t="inlineStr">
        <is>
          <t>051abc35-92e9-47de-ad71-9112b489fe9a.jpg</t>
        </is>
      </c>
      <c r="B3007">
        <f>HYPERLINK("Объекты недвижимости, не соответствующие градостроительным нормам_00-022_Август/051abc35-92e9-47de-ad71-9112b489fe9a.jpg","open")</f>
        <v/>
      </c>
      <c r="C3007" t="inlineStr">
        <is>
          <t>31a713a9-b910-424b-b847-e0eaa2f70c70</t>
        </is>
      </c>
      <c r="D3007" t="n">
        <v>55.73348</v>
      </c>
      <c r="E3007" t="n">
        <v>37.62901</v>
      </c>
      <c r="F3007" t="inlineStr"/>
      <c r="G3007" t="inlineStr"/>
      <c r="H3007" t="inlineStr"/>
    </row>
    <row r="3008">
      <c r="A3008" t="inlineStr">
        <is>
          <t>51c7dd27-4d14-42de-bc7e-4180b3023cf7.jpg</t>
        </is>
      </c>
      <c r="B3008">
        <f>HYPERLINK("Объекты недвижимости, не соответствующие градостроительным нормам_00-022_Август/51c7dd27-4d14-42de-bc7e-4180b3023cf7.jpg","open")</f>
        <v/>
      </c>
      <c r="C3008" t="inlineStr">
        <is>
          <t>31a713a9-b910-424b-b847-e0eaa2f70c70</t>
        </is>
      </c>
      <c r="D3008" t="n">
        <v>55.73348</v>
      </c>
      <c r="E3008" t="n">
        <v>37.62901</v>
      </c>
      <c r="F3008" t="inlineStr"/>
      <c r="G3008" t="inlineStr"/>
      <c r="H3008" t="inlineStr"/>
    </row>
    <row r="3009">
      <c r="A3009" t="inlineStr">
        <is>
          <t>9693d048-43b9-4700-90bd-82551a3067e7.jpg</t>
        </is>
      </c>
      <c r="B3009">
        <f>HYPERLINK("Объекты недвижимости, не соответствующие градостроительным нормам_00-022_Август/9693d048-43b9-4700-90bd-82551a3067e7.jpg","open")</f>
        <v/>
      </c>
      <c r="C3009" t="inlineStr">
        <is>
          <t>b6b3590f-f506-4399-8205-e7ac710132e7</t>
        </is>
      </c>
      <c r="D3009" t="n">
        <v>55.81001</v>
      </c>
      <c r="E3009" t="n">
        <v>37.53586</v>
      </c>
      <c r="F3009" t="inlineStr"/>
      <c r="G3009" t="inlineStr"/>
      <c r="H3009" t="inlineStr"/>
    </row>
    <row r="3010">
      <c r="A3010" t="inlineStr">
        <is>
          <t>abf7c966-dad5-4700-af3d-4b7b314182a2.jpg</t>
        </is>
      </c>
      <c r="B3010">
        <f>HYPERLINK("Объекты недвижимости, не соответствующие градостроительным нормам_00-022_Август/abf7c966-dad5-4700-af3d-4b7b314182a2.jpg","open")</f>
        <v/>
      </c>
      <c r="C3010" t="inlineStr">
        <is>
          <t>b0429a31-0c70-4b9f-8ea5-73929d82f89e</t>
        </is>
      </c>
      <c r="D3010" t="n">
        <v>55.59792</v>
      </c>
      <c r="E3010" t="n">
        <v>37.60507</v>
      </c>
      <c r="F3010" t="inlineStr"/>
      <c r="G3010" t="inlineStr"/>
      <c r="H3010" t="inlineStr"/>
    </row>
    <row r="3011">
      <c r="A3011" t="inlineStr">
        <is>
          <t>136977f1-be52-4a53-8c1d-d5fcb719d460.jpg</t>
        </is>
      </c>
      <c r="B3011">
        <f>HYPERLINK("Объекты недвижимости, не соответствующие градостроительным нормам_00-022_Август/136977f1-be52-4a53-8c1d-d5fcb719d460.jpg","open")</f>
        <v/>
      </c>
      <c r="C3011" t="inlineStr">
        <is>
          <t>ab4e767f-65c0-455b-af20-a5527124fd21</t>
        </is>
      </c>
      <c r="D3011" t="n">
        <v>55.73007</v>
      </c>
      <c r="E3011" t="n">
        <v>37.66085</v>
      </c>
      <c r="F3011" t="inlineStr"/>
      <c r="G3011" t="inlineStr"/>
      <c r="H3011" t="inlineStr"/>
    </row>
    <row r="3012">
      <c r="A3012" t="inlineStr">
        <is>
          <t>03554f3a-ef2b-4e56-bbe1-a5b0221ecb31.jpg</t>
        </is>
      </c>
      <c r="B3012">
        <f>HYPERLINK("Объекты недвижимости, не соответствующие градостроительным нормам_00-022_Август/03554f3a-ef2b-4e56-bbe1-a5b0221ecb31.jpg","open")</f>
        <v/>
      </c>
      <c r="C3012" t="inlineStr">
        <is>
          <t>99f3abba-c55b-49f0-9de5-9f88e9597cc0</t>
        </is>
      </c>
      <c r="D3012" t="n">
        <v>55.6011</v>
      </c>
      <c r="E3012" t="n">
        <v>37.61191</v>
      </c>
      <c r="F3012" t="inlineStr"/>
      <c r="G3012" t="inlineStr"/>
      <c r="H3012" t="inlineStr"/>
    </row>
    <row r="3013">
      <c r="A3013" t="inlineStr">
        <is>
          <t>86ed851a-a45e-44d1-9761-bcabe9c0f76a.jpg</t>
        </is>
      </c>
      <c r="B3013">
        <f>HYPERLINK("Объекты недвижимости, не соответствующие градостроительным нормам_00-022_Август/86ed851a-a45e-44d1-9761-bcabe9c0f76a.jpg","open")</f>
        <v/>
      </c>
      <c r="C3013" t="inlineStr">
        <is>
          <t>b0429a31-0c70-4b9f-8ea5-73929d82f89e</t>
        </is>
      </c>
      <c r="D3013" t="n">
        <v>55.6011</v>
      </c>
      <c r="E3013" t="n">
        <v>37.6119</v>
      </c>
      <c r="F3013" t="inlineStr"/>
      <c r="G3013" t="inlineStr"/>
      <c r="H3013" t="inlineStr"/>
    </row>
    <row r="3014">
      <c r="A3014" t="inlineStr">
        <is>
          <t>1a5a5068-9bf7-4060-853c-02c01d7e47f1.jpg</t>
        </is>
      </c>
      <c r="B3014">
        <f>HYPERLINK("Объекты недвижимости, не соответствующие градостроительным нормам_00-022_Август/1a5a5068-9bf7-4060-853c-02c01d7e47f1.jpg","open")</f>
        <v/>
      </c>
      <c r="C3014" t="inlineStr">
        <is>
          <t>8cde1fd0-eca1-4510-86ab-3c743b65fdfc</t>
        </is>
      </c>
      <c r="D3014" t="n">
        <v>55.59869</v>
      </c>
      <c r="E3014" t="n">
        <v>37.54846</v>
      </c>
      <c r="F3014" t="inlineStr"/>
      <c r="G3014" t="inlineStr"/>
      <c r="H3014" t="inlineStr"/>
    </row>
    <row r="3015">
      <c r="A3015" t="inlineStr">
        <is>
          <t>eb890b27-3bb9-4db0-8cb7-96fef19180bd.jpg</t>
        </is>
      </c>
      <c r="B3015">
        <f>HYPERLINK("Объекты недвижимости, не соответствующие градостроительным нормам_00-022_Август/eb890b27-3bb9-4db0-8cb7-96fef19180bd.jpg","open")</f>
        <v/>
      </c>
      <c r="C3015" t="inlineStr">
        <is>
          <t>8cde1fd0-eca1-4510-86ab-3c743b65fdfc</t>
        </is>
      </c>
      <c r="D3015" t="n">
        <v>55.59964</v>
      </c>
      <c r="E3015" t="n">
        <v>37.54849</v>
      </c>
      <c r="F3015" t="inlineStr"/>
      <c r="G3015" t="inlineStr"/>
      <c r="H3015" t="inlineStr"/>
    </row>
    <row r="3016">
      <c r="A3016" t="inlineStr">
        <is>
          <t>3bf20cae-55c5-415c-91e5-b8527974912d.jpg</t>
        </is>
      </c>
      <c r="B3016">
        <f>HYPERLINK("Объекты недвижимости, не соответствующие градостроительным нормам_00-022_Август/3bf20cae-55c5-415c-91e5-b8527974912d.jpg","open")</f>
        <v/>
      </c>
      <c r="C3016" t="inlineStr">
        <is>
          <t>1c951e11-4940-43c6-a447-394097e5609a</t>
        </is>
      </c>
      <c r="D3016" t="n">
        <v>55.59966</v>
      </c>
      <c r="E3016" t="n">
        <v>37.54847</v>
      </c>
      <c r="F3016" t="inlineStr"/>
      <c r="G3016" t="inlineStr"/>
      <c r="H3016" t="inlineStr"/>
    </row>
    <row r="3017">
      <c r="A3017" t="inlineStr">
        <is>
          <t>ce502ec0-8127-4da1-b01b-126d3381d573.jpg</t>
        </is>
      </c>
      <c r="B3017">
        <f>HYPERLINK("Объекты недвижимости, не соответствующие градостроительным нормам_00-022_Август/ce502ec0-8127-4da1-b01b-126d3381d573.jpg","open")</f>
        <v/>
      </c>
      <c r="C3017" t="inlineStr">
        <is>
          <t>8cde1fd0-eca1-4510-86ab-3c743b65fdfc</t>
        </is>
      </c>
      <c r="D3017" t="n">
        <v>55.59971</v>
      </c>
      <c r="E3017" t="n">
        <v>37.54841</v>
      </c>
      <c r="F3017" t="inlineStr"/>
      <c r="G3017" t="inlineStr"/>
      <c r="H3017" t="inlineStr"/>
    </row>
    <row r="3018">
      <c r="A3018" t="inlineStr">
        <is>
          <t>a5a5454c-d91a-4373-a3a6-a0c9d058ba35.jpg</t>
        </is>
      </c>
      <c r="B3018">
        <f>HYPERLINK("Объекты недвижимости, не соответствующие градостроительным нормам_00-022_Август/a5a5454c-d91a-4373-a3a6-a0c9d058ba35.jpg","open")</f>
        <v/>
      </c>
      <c r="C3018" t="inlineStr">
        <is>
          <t>8cde1fd0-eca1-4510-86ab-3c743b65fdfc</t>
        </is>
      </c>
      <c r="D3018" t="n">
        <v>55.59977</v>
      </c>
      <c r="E3018" t="n">
        <v>37.5483</v>
      </c>
      <c r="F3018" t="inlineStr"/>
      <c r="G3018" t="inlineStr"/>
      <c r="H3018" t="inlineStr"/>
    </row>
    <row r="3019">
      <c r="A3019" t="inlineStr">
        <is>
          <t>00ba524a-1558-4896-855e-767e1b6659b8.jpg</t>
        </is>
      </c>
      <c r="B3019">
        <f>HYPERLINK("Объекты недвижимости, не соответствующие градостроительным нормам_00-022_Август/00ba524a-1558-4896-855e-767e1b6659b8.jpg","open")</f>
        <v/>
      </c>
      <c r="C3019" t="inlineStr">
        <is>
          <t>1c951e11-4940-43c6-a447-394097e5609a</t>
        </is>
      </c>
      <c r="D3019" t="n">
        <v>55.59972</v>
      </c>
      <c r="E3019" t="n">
        <v>37.54839</v>
      </c>
      <c r="F3019" t="inlineStr"/>
      <c r="G3019" t="inlineStr"/>
      <c r="H3019" t="inlineStr"/>
    </row>
    <row r="3020">
      <c r="A3020" t="inlineStr">
        <is>
          <t>7b906ee6-a472-42d5-b2e9-5971534b440a.jpg</t>
        </is>
      </c>
      <c r="B3020">
        <f>HYPERLINK("Объекты недвижимости, не соответствующие градостроительным нормам_00-022_Август/7b906ee6-a472-42d5-b2e9-5971534b440a.jpg","open")</f>
        <v/>
      </c>
      <c r="C3020" t="inlineStr">
        <is>
          <t>8cde1fd0-eca1-4510-86ab-3c743b65fdfc</t>
        </is>
      </c>
      <c r="D3020" t="n">
        <v>55.59983</v>
      </c>
      <c r="E3020" t="n">
        <v>37.54818</v>
      </c>
      <c r="F3020" t="inlineStr"/>
      <c r="G3020" t="inlineStr"/>
      <c r="H3020" t="inlineStr"/>
    </row>
    <row r="3021">
      <c r="A3021" t="inlineStr">
        <is>
          <t>f27e7a1d-2717-47f6-9a1c-45856b085a08.jpg</t>
        </is>
      </c>
      <c r="B3021">
        <f>HYPERLINK("Объекты недвижимости, не соответствующие градостроительным нормам_00-022_Август/f27e7a1d-2717-47f6-9a1c-45856b085a08.jpg","open")</f>
        <v/>
      </c>
      <c r="C3021" t="inlineStr">
        <is>
          <t>b0429a31-0c70-4b9f-8ea5-73929d82f89e</t>
        </is>
      </c>
      <c r="D3021" t="n">
        <v>55.60086</v>
      </c>
      <c r="E3021" t="n">
        <v>37.61347</v>
      </c>
      <c r="F3021" t="inlineStr"/>
      <c r="G3021" t="inlineStr"/>
      <c r="H3021" t="inlineStr"/>
    </row>
    <row r="3022">
      <c r="A3022" t="inlineStr">
        <is>
          <t>979e755a-517d-423b-a79f-bbca1de9e004.jpg</t>
        </is>
      </c>
      <c r="B3022">
        <f>HYPERLINK("Объекты недвижимости, не соответствующие градостроительным нормам_00-022_Август/979e755a-517d-423b-a79f-bbca1de9e004.jpg","open")</f>
        <v/>
      </c>
      <c r="C3022" t="inlineStr">
        <is>
          <t>1c951e11-4940-43c6-a447-394097e5609a</t>
        </is>
      </c>
      <c r="D3022" t="n">
        <v>55.59985</v>
      </c>
      <c r="E3022" t="n">
        <v>37.54815</v>
      </c>
      <c r="F3022" t="inlineStr"/>
      <c r="G3022" t="inlineStr"/>
      <c r="H3022" t="inlineStr"/>
    </row>
    <row r="3023">
      <c r="A3023" t="inlineStr">
        <is>
          <t>0e688449-5fa4-464a-9e66-bf6d43af7dc8.jpg</t>
        </is>
      </c>
      <c r="B3023">
        <f>HYPERLINK("Объекты недвижимости, не соответствующие градостроительным нормам_00-022_Август/0e688449-5fa4-464a-9e66-bf6d43af7dc8.jpg","open")</f>
        <v/>
      </c>
      <c r="C3023" t="inlineStr">
        <is>
          <t>8cde1fd0-eca1-4510-86ab-3c743b65fdfc</t>
        </is>
      </c>
      <c r="D3023" t="n">
        <v>55.5999</v>
      </c>
      <c r="E3023" t="n">
        <v>37.54806</v>
      </c>
      <c r="F3023" t="inlineStr"/>
      <c r="G3023" t="inlineStr"/>
      <c r="H3023" t="inlineStr"/>
    </row>
    <row r="3024">
      <c r="A3024" t="inlineStr">
        <is>
          <t>0e9ff356-cf5e-4fe1-ac60-50608fef3099.jpg</t>
        </is>
      </c>
      <c r="B3024">
        <f>HYPERLINK("Объекты недвижимости, не соответствующие градостроительным нормам_00-022_Август/0e9ff356-cf5e-4fe1-ac60-50608fef3099.jpg","open")</f>
        <v/>
      </c>
      <c r="C3024" t="inlineStr">
        <is>
          <t>1231bbc5-e64c-4dc7-9acc-77710f47607a</t>
        </is>
      </c>
      <c r="D3024" t="n">
        <v>55.64442</v>
      </c>
      <c r="E3024" t="n">
        <v>37.59985</v>
      </c>
      <c r="F3024" t="inlineStr"/>
      <c r="G3024" t="inlineStr"/>
      <c r="H3024" t="inlineStr"/>
    </row>
    <row r="3025">
      <c r="A3025" t="inlineStr">
        <is>
          <t>3c204624-2cd9-4c5b-b3cc-37185ddd996b.jpg</t>
        </is>
      </c>
      <c r="B3025">
        <f>HYPERLINK("Объекты недвижимости, не соответствующие градостроительным нормам_00-022_Август/3c204624-2cd9-4c5b-b3cc-37185ddd996b.jpg","open")</f>
        <v/>
      </c>
      <c r="C3025" t="inlineStr">
        <is>
          <t>685d9054-b74f-49ab-857b-109fd2cec80d</t>
        </is>
      </c>
      <c r="D3025" t="n">
        <v>55.64481</v>
      </c>
      <c r="E3025" t="n">
        <v>37.60282</v>
      </c>
      <c r="F3025" t="inlineStr"/>
      <c r="G3025" t="inlineStr"/>
      <c r="H3025" t="inlineStr"/>
    </row>
    <row r="3026">
      <c r="A3026" t="inlineStr">
        <is>
          <t>25d39ef4-a768-4f62-888b-6078200d48c0.jpg</t>
        </is>
      </c>
      <c r="B3026">
        <f>HYPERLINK("Объекты недвижимости, не соответствующие градостроительным нормам_00-022_Август/25d39ef4-a768-4f62-888b-6078200d48c0.jpg","open")</f>
        <v/>
      </c>
      <c r="C3026" t="inlineStr">
        <is>
          <t>1231bbc5-e64c-4dc7-9acc-77710f47607a</t>
        </is>
      </c>
      <c r="D3026" t="n">
        <v>55.64481</v>
      </c>
      <c r="E3026" t="n">
        <v>37.60284</v>
      </c>
      <c r="F3026" t="inlineStr"/>
      <c r="G3026" t="inlineStr"/>
      <c r="H3026" t="inlineStr"/>
    </row>
    <row r="3027">
      <c r="A3027" t="inlineStr">
        <is>
          <t>07e8aeab-2bd7-4ab2-84e4-22581de3cac9.jpg</t>
        </is>
      </c>
      <c r="B3027">
        <f>HYPERLINK("Объекты недвижимости, не соответствующие градостроительным нормам_00-022_Август/07e8aeab-2bd7-4ab2-84e4-22581de3cac9.jpg","open")</f>
        <v/>
      </c>
      <c r="C3027" t="inlineStr">
        <is>
          <t>685d9054-b74f-49ab-857b-109fd2cec80d</t>
        </is>
      </c>
      <c r="D3027" t="n">
        <v>55.64422</v>
      </c>
      <c r="E3027" t="n">
        <v>37.60242</v>
      </c>
      <c r="F3027" t="inlineStr"/>
      <c r="G3027" t="inlineStr"/>
      <c r="H3027" t="inlineStr"/>
    </row>
    <row r="3028">
      <c r="A3028" t="inlineStr">
        <is>
          <t>f6da4cc9-ce0b-4255-967a-5fe668ed595d.jpg</t>
        </is>
      </c>
      <c r="B3028">
        <f>HYPERLINK("Объекты недвижимости, не соответствующие градостроительным нормам_00-022_Август/f6da4cc9-ce0b-4255-967a-5fe668ed595d.jpg","open")</f>
        <v/>
      </c>
      <c r="C3028" t="inlineStr">
        <is>
          <t>036c664f-5408-4fd0-b479-342c00468eeb</t>
        </is>
      </c>
      <c r="D3028" t="n">
        <v>55.67218</v>
      </c>
      <c r="E3028" t="n">
        <v>37.44973</v>
      </c>
      <c r="F3028" t="inlineStr"/>
      <c r="G3028" t="inlineStr"/>
      <c r="H3028" t="inlineStr"/>
    </row>
    <row r="3029">
      <c r="A3029" t="inlineStr">
        <is>
          <t>ce735d43-76c9-4894-b5b7-11e49294a8b6.jpg</t>
        </is>
      </c>
      <c r="B3029">
        <f>HYPERLINK("Объекты недвижимости, не соответствующие градостроительным нормам_00-022_Август/ce735d43-76c9-4894-b5b7-11e49294a8b6.jpg","open")</f>
        <v/>
      </c>
      <c r="C3029" t="inlineStr">
        <is>
          <t>57aae8a4-582b-4309-8045-c8127a9f86ae</t>
        </is>
      </c>
      <c r="D3029" t="n">
        <v>55.76641</v>
      </c>
      <c r="E3029" t="n">
        <v>37.83055</v>
      </c>
      <c r="F3029" t="inlineStr"/>
      <c r="G3029" t="inlineStr"/>
      <c r="H3029" t="inlineStr"/>
    </row>
    <row r="3030">
      <c r="A3030" t="inlineStr">
        <is>
          <t>ffa0a5a3-c7c4-46cc-a907-fc3ac3a68bae.jpg</t>
        </is>
      </c>
      <c r="B3030">
        <f>HYPERLINK("Объекты недвижимости, не соответствующие градостроительным нормам_00-022_Август/ffa0a5a3-c7c4-46cc-a907-fc3ac3a68bae.jpg","open")</f>
        <v/>
      </c>
      <c r="C3030" t="inlineStr">
        <is>
          <t>b6b3590f-f506-4399-8205-e7ac710132e7</t>
        </is>
      </c>
      <c r="D3030" t="n">
        <v>55.81001</v>
      </c>
      <c r="E3030" t="n">
        <v>37.53583</v>
      </c>
      <c r="F3030" t="inlineStr"/>
      <c r="G3030" t="inlineStr"/>
      <c r="H3030" t="inlineStr"/>
    </row>
    <row r="3031">
      <c r="A3031" t="inlineStr">
        <is>
          <t>bb8c3891-1745-45a3-961c-c6ef65fb5d01.jpg</t>
        </is>
      </c>
      <c r="B3031">
        <f>HYPERLINK("Объекты недвижимости, не соответствующие градостроительным нормам_00-022_Август/bb8c3891-1745-45a3-961c-c6ef65fb5d01.jpg","open")</f>
        <v/>
      </c>
      <c r="C3031" t="inlineStr">
        <is>
          <t>99f3abba-c55b-49f0-9de5-9f88e9597cc0</t>
        </is>
      </c>
      <c r="D3031" t="n">
        <v>55.59592</v>
      </c>
      <c r="E3031" t="n">
        <v>37.60661</v>
      </c>
      <c r="F3031" t="inlineStr"/>
      <c r="G3031" t="inlineStr"/>
      <c r="H3031" t="inlineStr"/>
    </row>
    <row r="3032">
      <c r="A3032" t="inlineStr">
        <is>
          <t>54222d7b-7bdd-4d7e-a318-42bc72cd520e.jpg</t>
        </is>
      </c>
      <c r="B3032">
        <f>HYPERLINK("Объекты недвижимости, не соответствующие градостроительным нормам_00-022_Август/54222d7b-7bdd-4d7e-a318-42bc72cd520e.jpg","open")</f>
        <v/>
      </c>
      <c r="C3032" t="inlineStr">
        <is>
          <t>f60286ac-55e7-4099-85bd-cc599a7a0c65</t>
        </is>
      </c>
      <c r="D3032" t="n">
        <v>55.79071</v>
      </c>
      <c r="E3032" t="n">
        <v>37.69553</v>
      </c>
      <c r="F3032" t="inlineStr"/>
      <c r="G3032" t="inlineStr"/>
      <c r="H3032" t="inlineStr"/>
    </row>
    <row r="3033">
      <c r="A3033" t="inlineStr">
        <is>
          <t>df3c64cf-247a-4409-a158-43780f716250.jpg</t>
        </is>
      </c>
      <c r="B3033">
        <f>HYPERLINK("Объекты недвижимости, не соответствующие градостроительным нормам_00-022_Август/df3c64cf-247a-4409-a158-43780f716250.jpg","open")</f>
        <v/>
      </c>
      <c r="C3033" t="inlineStr">
        <is>
          <t>ad64e6b9-1ed5-44d7-a101-4945a1f9dec6</t>
        </is>
      </c>
      <c r="D3033" t="n">
        <v>55.69155</v>
      </c>
      <c r="E3033" t="n">
        <v>37.54295</v>
      </c>
      <c r="F3033" t="inlineStr"/>
      <c r="G3033" t="inlineStr"/>
      <c r="H3033" t="inlineStr"/>
    </row>
    <row r="3034">
      <c r="A3034" t="inlineStr">
        <is>
          <t>7edd7e04-01c9-4df1-b349-ba804e0d51a4.jpg</t>
        </is>
      </c>
      <c r="B3034">
        <f>HYPERLINK("Объекты недвижимости, не соответствующие градостроительным нормам_00-022_Август/7edd7e04-01c9-4df1-b349-ba804e0d51a4.jpg","open")</f>
        <v/>
      </c>
      <c r="C3034" t="inlineStr">
        <is>
          <t>f60286ac-55e7-4099-85bd-cc599a7a0c65</t>
        </is>
      </c>
      <c r="D3034" t="n">
        <v>55.7911</v>
      </c>
      <c r="E3034" t="n">
        <v>37.69564</v>
      </c>
      <c r="F3034" t="inlineStr"/>
      <c r="G3034" t="inlineStr"/>
      <c r="H3034" t="inlineStr"/>
    </row>
    <row r="3035">
      <c r="A3035" t="inlineStr">
        <is>
          <t>692ad970-976c-4de3-b0a5-af481bb29d25.jpg</t>
        </is>
      </c>
      <c r="B3035">
        <f>HYPERLINK("Объекты недвижимости, не соответствующие градостроительным нормам_00-022_Август/692ad970-976c-4de3-b0a5-af481bb29d25.jpg","open")</f>
        <v/>
      </c>
      <c r="C3035" t="inlineStr">
        <is>
          <t>99f3abba-c55b-49f0-9de5-9f88e9597cc0</t>
        </is>
      </c>
      <c r="D3035" t="n">
        <v>55.59692</v>
      </c>
      <c r="E3035" t="n">
        <v>37.61031</v>
      </c>
      <c r="F3035" t="inlineStr"/>
      <c r="G3035" t="inlineStr"/>
      <c r="H3035" t="inlineStr"/>
    </row>
    <row r="3036">
      <c r="A3036" t="inlineStr">
        <is>
          <t>ef1e54fc-b20e-4536-9704-26804ab9f5c4.jpg</t>
        </is>
      </c>
      <c r="B3036">
        <f>HYPERLINK("Объекты недвижимости, не соответствующие градостроительным нормам_00-022_Август/ef1e54fc-b20e-4536-9704-26804ab9f5c4.jpg","open")</f>
        <v/>
      </c>
      <c r="C3036" t="inlineStr">
        <is>
          <t>b0429a31-0c70-4b9f-8ea5-73929d82f89e</t>
        </is>
      </c>
      <c r="D3036" t="n">
        <v>55.59693</v>
      </c>
      <c r="E3036" t="n">
        <v>37.61032</v>
      </c>
      <c r="F3036" t="inlineStr"/>
      <c r="G3036" t="inlineStr"/>
      <c r="H3036" t="inlineStr"/>
    </row>
    <row r="3037">
      <c r="A3037" t="inlineStr">
        <is>
          <t>2f03dbf2-f198-4874-83db-a56cc7d032ce.jpg</t>
        </is>
      </c>
      <c r="B3037">
        <f>HYPERLINK("Объекты недвижимости, не соответствующие градостроительным нормам_00-022_Август/2f03dbf2-f198-4874-83db-a56cc7d032ce.jpg","open")</f>
        <v/>
      </c>
      <c r="C3037" t="inlineStr">
        <is>
          <t>685d9054-b74f-49ab-857b-109fd2cec80d</t>
        </is>
      </c>
      <c r="D3037" t="n">
        <v>55.64341</v>
      </c>
      <c r="E3037" t="n">
        <v>37.60282</v>
      </c>
      <c r="F3037" t="inlineStr"/>
      <c r="G3037" t="inlineStr"/>
      <c r="H3037" t="inlineStr"/>
    </row>
    <row r="3038">
      <c r="A3038" t="inlineStr">
        <is>
          <t>d898a39a-c892-41d6-8888-b7df9ae2c615.jpg</t>
        </is>
      </c>
      <c r="B3038">
        <f>HYPERLINK("Объекты недвижимости, не соответствующие градостроительным нормам_00-022_Август/d898a39a-c892-41d6-8888-b7df9ae2c615.jpg","open")</f>
        <v/>
      </c>
      <c r="C3038" t="inlineStr">
        <is>
          <t>685d9054-b74f-49ab-857b-109fd2cec80d</t>
        </is>
      </c>
      <c r="D3038" t="n">
        <v>55.64349</v>
      </c>
      <c r="E3038" t="n">
        <v>37.60328</v>
      </c>
      <c r="F3038" t="inlineStr"/>
      <c r="G3038" t="inlineStr"/>
      <c r="H3038" t="inlineStr"/>
    </row>
    <row r="3039">
      <c r="A3039" t="inlineStr">
        <is>
          <t>98e0a9f5-741f-4a09-a009-7296f4861558.jpg</t>
        </is>
      </c>
      <c r="B3039">
        <f>HYPERLINK("Объекты недвижимости, не соответствующие градостроительным нормам_00-022_Август/98e0a9f5-741f-4a09-a009-7296f4861558.jpg","open")</f>
        <v/>
      </c>
      <c r="C3039" t="inlineStr">
        <is>
          <t>685d9054-b74f-49ab-857b-109fd2cec80d</t>
        </is>
      </c>
      <c r="D3039" t="n">
        <v>55.6433</v>
      </c>
      <c r="E3039" t="n">
        <v>37.60274</v>
      </c>
      <c r="F3039" t="inlineStr"/>
      <c r="G3039" t="inlineStr"/>
      <c r="H3039" t="inlineStr"/>
    </row>
    <row r="3040">
      <c r="A3040" t="inlineStr">
        <is>
          <t>9e7815f9-f2a1-42a9-ba24-41bcee6bf0a0.jpg</t>
        </is>
      </c>
      <c r="B3040">
        <f>HYPERLINK("Объекты недвижимости, не соответствующие градостроительным нормам_00-022_Август/9e7815f9-f2a1-42a9-ba24-41bcee6bf0a0.jpg","open")</f>
        <v/>
      </c>
      <c r="C3040" t="inlineStr">
        <is>
          <t>99ad831f-cb97-41d7-860c-2a48cf549c05</t>
        </is>
      </c>
      <c r="D3040" t="n">
        <v>55.80223</v>
      </c>
      <c r="E3040" t="n">
        <v>37.54527</v>
      </c>
      <c r="F3040" t="inlineStr"/>
      <c r="G3040" t="inlineStr"/>
      <c r="H3040" t="inlineStr"/>
    </row>
    <row r="3041">
      <c r="A3041" t="inlineStr">
        <is>
          <t>9ba63a57-da17-46f4-a80d-70c77f086bb8.jpg</t>
        </is>
      </c>
      <c r="B3041">
        <f>HYPERLINK("Объекты недвижимости, не соответствующие градостроительным нормам_00-022_Август/9ba63a57-da17-46f4-a80d-70c77f086bb8.jpg","open")</f>
        <v/>
      </c>
      <c r="C3041" t="inlineStr">
        <is>
          <t>ed2bf0f1-3a66-4913-896e-4420a9796c0b</t>
        </is>
      </c>
      <c r="D3041" t="n">
        <v>55.9645</v>
      </c>
      <c r="E3041" t="n">
        <v>37.41383</v>
      </c>
      <c r="F3041" t="inlineStr"/>
      <c r="G3041" t="inlineStr"/>
      <c r="H3041" t="inlineStr"/>
    </row>
    <row r="3042">
      <c r="A3042" t="inlineStr">
        <is>
          <t>f7b7b0c6-fe14-4f77-91cb-49fc401e9fb2.jpg</t>
        </is>
      </c>
      <c r="B3042">
        <f>HYPERLINK("Объекты недвижимости, не соответствующие градостроительным нормам_00-022_Август/f7b7b0c6-fe14-4f77-91cb-49fc401e9fb2.jpg","open")</f>
        <v/>
      </c>
      <c r="C3042" t="inlineStr">
        <is>
          <t>ed2bf0f1-3a66-4913-896e-4420a9796c0b</t>
        </is>
      </c>
      <c r="D3042" t="n">
        <v>55.9663</v>
      </c>
      <c r="E3042" t="n">
        <v>37.40545</v>
      </c>
      <c r="F3042" t="inlineStr"/>
      <c r="G3042" t="inlineStr"/>
      <c r="H3042" t="inlineStr"/>
    </row>
    <row r="3043">
      <c r="A3043" t="inlineStr">
        <is>
          <t>ebe4eb60-c282-4717-bee3-b6b79e1c874d.jpg</t>
        </is>
      </c>
      <c r="B3043">
        <f>HYPERLINK("Объекты недвижимости, не соответствующие градостроительным нормам_00-022_Август/ebe4eb60-c282-4717-bee3-b6b79e1c874d.jpg","open")</f>
        <v/>
      </c>
      <c r="C3043" t="inlineStr">
        <is>
          <t>b6b3590f-f506-4399-8205-e7ac710132e7</t>
        </is>
      </c>
      <c r="D3043" t="n">
        <v>55.80637</v>
      </c>
      <c r="E3043" t="n">
        <v>37.54674</v>
      </c>
      <c r="F3043" t="inlineStr"/>
      <c r="G3043" t="inlineStr"/>
      <c r="H3043" t="inlineStr"/>
    </row>
    <row r="3044">
      <c r="A3044" t="inlineStr">
        <is>
          <t>159600fc-6872-437d-ae21-52a25fec9285.jpg</t>
        </is>
      </c>
      <c r="B3044">
        <f>HYPERLINK("Объекты недвижимости, не соответствующие градостроительным нормам_00-022_Август/159600fc-6872-437d-ae21-52a25fec9285.jpg","open")</f>
        <v/>
      </c>
      <c r="C3044" t="inlineStr">
        <is>
          <t>685d9054-b74f-49ab-857b-109fd2cec80d</t>
        </is>
      </c>
      <c r="D3044" t="n">
        <v>55.64318</v>
      </c>
      <c r="E3044" t="n">
        <v>37.60011</v>
      </c>
      <c r="F3044" t="inlineStr"/>
      <c r="G3044" t="inlineStr"/>
      <c r="H3044" t="inlineStr"/>
    </row>
    <row r="3045">
      <c r="A3045" t="inlineStr">
        <is>
          <t>72d5ac09-00cc-4eec-b082-ce50eb00ce49.jpg</t>
        </is>
      </c>
      <c r="B3045">
        <f>HYPERLINK("Объекты недвижимости, не соответствующие градостроительным нормам_00-022_Август/72d5ac09-00cc-4eec-b082-ce50eb00ce49.jpg","open")</f>
        <v/>
      </c>
      <c r="C3045" t="inlineStr">
        <is>
          <t>61936922-4d4b-458e-80ea-6d4c450aa1d5</t>
        </is>
      </c>
      <c r="D3045" t="n">
        <v>55.75595</v>
      </c>
      <c r="E3045" t="n">
        <v>37.40269</v>
      </c>
      <c r="F3045" t="inlineStr"/>
      <c r="G3045" t="inlineStr"/>
      <c r="H3045" t="inlineStr"/>
    </row>
    <row r="3046">
      <c r="A3046" t="inlineStr">
        <is>
          <t>e833035b-1fc8-49cd-946f-a9aaeaed51e8.jpg</t>
        </is>
      </c>
      <c r="B3046">
        <f>HYPERLINK("Объекты недвижимости, не соответствующие градостроительным нормам_00-022_Август/e833035b-1fc8-49cd-946f-a9aaeaed51e8.jpg","open")</f>
        <v/>
      </c>
      <c r="C3046" t="inlineStr">
        <is>
          <t>b6b3590f-f506-4399-8205-e7ac710132e7</t>
        </is>
      </c>
      <c r="D3046" t="n">
        <v>55.80502</v>
      </c>
      <c r="E3046" t="n">
        <v>37.55044</v>
      </c>
      <c r="F3046" t="inlineStr"/>
      <c r="G3046" t="inlineStr"/>
      <c r="H3046" t="inlineStr"/>
    </row>
    <row r="3047">
      <c r="A3047" t="inlineStr">
        <is>
          <t>a7b48bdb-529e-438a-b61d-e2d0af841f1e.jpg</t>
        </is>
      </c>
      <c r="B3047">
        <f>HYPERLINK("Объекты недвижимости, не соответствующие градостроительным нормам_00-022_Август/a7b48bdb-529e-438a-b61d-e2d0af841f1e.jpg","open")</f>
        <v/>
      </c>
      <c r="C3047" t="inlineStr">
        <is>
          <t>8cde1fd0-eca1-4510-86ab-3c743b65fdfc</t>
        </is>
      </c>
      <c r="D3047" t="n">
        <v>55.64366</v>
      </c>
      <c r="E3047" t="n">
        <v>37.55819</v>
      </c>
      <c r="F3047" t="inlineStr"/>
      <c r="G3047" t="inlineStr"/>
      <c r="H3047" t="inlineStr"/>
    </row>
    <row r="3048">
      <c r="A3048" t="inlineStr">
        <is>
          <t>250cb6d0-6458-487b-85f7-4e3363e39ce4.jpg</t>
        </is>
      </c>
      <c r="B3048">
        <f>HYPERLINK("Объекты недвижимости, не соответствующие градостроительным нормам_00-022_Август/250cb6d0-6458-487b-85f7-4e3363e39ce4.jpg","open")</f>
        <v/>
      </c>
      <c r="C3048" t="inlineStr">
        <is>
          <t>1c951e11-4940-43c6-a447-394097e5609a</t>
        </is>
      </c>
      <c r="D3048" t="n">
        <v>55.64653</v>
      </c>
      <c r="E3048" t="n">
        <v>37.56179</v>
      </c>
      <c r="F3048" t="inlineStr"/>
      <c r="G3048" t="inlineStr"/>
      <c r="H3048" t="inlineStr"/>
    </row>
    <row r="3049">
      <c r="A3049" t="inlineStr">
        <is>
          <t>df57c513-9a55-4e46-acb7-95f45dba3aa7.jpg</t>
        </is>
      </c>
      <c r="B3049">
        <f>HYPERLINK("Объекты недвижимости, не соответствующие градостроительным нормам_00-022_Август/df57c513-9a55-4e46-acb7-95f45dba3aa7.jpg","open")</f>
        <v/>
      </c>
      <c r="C3049" t="inlineStr">
        <is>
          <t>8cde1fd0-eca1-4510-86ab-3c743b65fdfc</t>
        </is>
      </c>
      <c r="D3049" t="n">
        <v>55.64669</v>
      </c>
      <c r="E3049" t="n">
        <v>37.5619</v>
      </c>
      <c r="F3049" t="inlineStr"/>
      <c r="G3049" t="inlineStr"/>
      <c r="H3049" t="inlineStr"/>
    </row>
    <row r="3050">
      <c r="A3050" t="inlineStr">
        <is>
          <t>3047c9ec-457c-4e17-9ee4-ee43d826eb23.jpg</t>
        </is>
      </c>
      <c r="B3050">
        <f>HYPERLINK("Объекты недвижимости, не соответствующие градостроительным нормам_00-022_Август/3047c9ec-457c-4e17-9ee4-ee43d826eb23.jpg","open")</f>
        <v/>
      </c>
      <c r="C3050" t="inlineStr">
        <is>
          <t>ed2bf0f1-3a66-4913-896e-4420a9796c0b</t>
        </is>
      </c>
      <c r="D3050" t="n">
        <v>55.97156</v>
      </c>
      <c r="E3050" t="n">
        <v>37.39812</v>
      </c>
      <c r="F3050" t="inlineStr"/>
      <c r="G3050" t="inlineStr"/>
      <c r="H3050" t="inlineStr"/>
    </row>
    <row r="3051">
      <c r="A3051" t="inlineStr">
        <is>
          <t>2ffdfac6-9f1e-4646-a451-fa75eff6287e.jpg</t>
        </is>
      </c>
      <c r="B3051">
        <f>HYPERLINK("Объекты недвижимости, не соответствующие градостроительным нормам_00-022_Август/2ffdfac6-9f1e-4646-a451-fa75eff6287e.jpg","open")</f>
        <v/>
      </c>
      <c r="C3051" t="inlineStr">
        <is>
          <t>b0429a31-0c70-4b9f-8ea5-73929d82f89e</t>
        </is>
      </c>
      <c r="D3051" t="n">
        <v>55.59491</v>
      </c>
      <c r="E3051" t="n">
        <v>37.61044</v>
      </c>
      <c r="F3051" t="inlineStr"/>
      <c r="G3051" t="inlineStr"/>
      <c r="H3051" t="inlineStr"/>
    </row>
    <row r="3052">
      <c r="A3052" t="inlineStr">
        <is>
          <t>1e2dc8fc-d4ca-45f9-aa37-d3ba54d8f6f1.jpg</t>
        </is>
      </c>
      <c r="B3052">
        <f>HYPERLINK("Объекты недвижимости, не соответствующие градостроительным нормам_00-022_Август/1e2dc8fc-d4ca-45f9-aa37-d3ba54d8f6f1.jpg","open")</f>
        <v/>
      </c>
      <c r="C3052" t="inlineStr">
        <is>
          <t>ad64e6b9-1ed5-44d7-a101-4945a1f9dec6</t>
        </is>
      </c>
      <c r="D3052" t="n">
        <v>55.70031</v>
      </c>
      <c r="E3052" t="n">
        <v>37.55581</v>
      </c>
      <c r="F3052" t="inlineStr"/>
      <c r="G3052" t="inlineStr"/>
      <c r="H3052" t="inlineStr"/>
    </row>
    <row r="3053">
      <c r="A3053" t="inlineStr">
        <is>
          <t>7ce0050a-e472-4e52-938e-bfa5c5577d7d.jpg</t>
        </is>
      </c>
      <c r="B3053">
        <f>HYPERLINK("Объекты недвижимости, не соответствующие градостроительным нормам_00-022_Август/7ce0050a-e472-4e52-938e-bfa5c5577d7d.jpg","open")</f>
        <v/>
      </c>
      <c r="C3053" t="inlineStr">
        <is>
          <t>9c930d0e-e445-452d-a046-325646b21ab7</t>
        </is>
      </c>
      <c r="D3053" t="n">
        <v>55.56508</v>
      </c>
      <c r="E3053" t="n">
        <v>37.47928</v>
      </c>
      <c r="F3053" t="inlineStr"/>
      <c r="G3053" t="inlineStr"/>
      <c r="H3053" t="inlineStr"/>
    </row>
    <row r="3054">
      <c r="A3054" t="inlineStr">
        <is>
          <t>c44c4c1b-3671-4f82-94be-6bc674668540.jpg</t>
        </is>
      </c>
      <c r="B3054">
        <f>HYPERLINK("Объекты недвижимости, не соответствующие градостроительным нормам_00-022_Август/c44c4c1b-3671-4f82-94be-6bc674668540.jpg","open")</f>
        <v/>
      </c>
      <c r="C3054" t="inlineStr">
        <is>
          <t>9c930d0e-e445-452d-a046-325646b21ab7</t>
        </is>
      </c>
      <c r="D3054" t="n">
        <v>55.56507</v>
      </c>
      <c r="E3054" t="n">
        <v>37.47925</v>
      </c>
      <c r="F3054" t="inlineStr"/>
      <c r="G3054" t="inlineStr"/>
      <c r="H3054" t="inlineStr"/>
    </row>
    <row r="3055">
      <c r="A3055" t="inlineStr">
        <is>
          <t>25044c56-296b-4b95-b3ab-e0befec34017.jpg</t>
        </is>
      </c>
      <c r="B3055">
        <f>HYPERLINK("Объекты недвижимости, не соответствующие градостроительным нормам_00-022_Август/25044c56-296b-4b95-b3ab-e0befec34017.jpg","open")</f>
        <v/>
      </c>
      <c r="C3055" t="inlineStr">
        <is>
          <t>ed2bf0f1-3a66-4913-896e-4420a9796c0b</t>
        </is>
      </c>
      <c r="D3055" t="n">
        <v>55.96572</v>
      </c>
      <c r="E3055" t="n">
        <v>37.42359</v>
      </c>
      <c r="F3055" t="inlineStr"/>
      <c r="G3055" t="inlineStr"/>
      <c r="H3055" t="inlineStr"/>
    </row>
    <row r="3056">
      <c r="A3056" t="inlineStr">
        <is>
          <t>9c48356e-7b47-4ba0-92b3-439bde00f2dd.jpg</t>
        </is>
      </c>
      <c r="B3056">
        <f>HYPERLINK("Объекты недвижимости, не соответствующие градостроительным нормам_00-022_Август/9c48356e-7b47-4ba0-92b3-439bde00f2dd.jpg","open")</f>
        <v/>
      </c>
      <c r="C3056" t="inlineStr">
        <is>
          <t>9c930d0e-e445-452d-a046-325646b21ab7</t>
        </is>
      </c>
      <c r="D3056" t="n">
        <v>55.56508</v>
      </c>
      <c r="E3056" t="n">
        <v>37.47924</v>
      </c>
      <c r="F3056" t="inlineStr"/>
      <c r="G3056" t="inlineStr"/>
      <c r="H3056" t="inlineStr"/>
    </row>
    <row r="3057">
      <c r="A3057" t="inlineStr">
        <is>
          <t>54bd3c2a-e88c-4f42-be8c-d38d670e4a63.jpg</t>
        </is>
      </c>
      <c r="B3057">
        <f>HYPERLINK("Объекты недвижимости, не соответствующие градостроительным нормам_00-022_Август/54bd3c2a-e88c-4f42-be8c-d38d670e4a63.jpg","open")</f>
        <v/>
      </c>
      <c r="C3057" t="inlineStr">
        <is>
          <t>ffd931da-542f-43e9-979f-5552b17fe3dc</t>
        </is>
      </c>
      <c r="D3057" t="n">
        <v>55.78185</v>
      </c>
      <c r="E3057" t="n">
        <v>37.69894</v>
      </c>
      <c r="F3057" t="inlineStr"/>
      <c r="G3057" t="inlineStr"/>
      <c r="H3057" t="inlineStr"/>
    </row>
    <row r="3058">
      <c r="A3058" t="inlineStr">
        <is>
          <t>54ea6334-623a-4882-a83e-236581beb482.jpg</t>
        </is>
      </c>
      <c r="B3058">
        <f>HYPERLINK("Объекты недвижимости, не соответствующие градостроительным нормам_00-022_Август/54ea6334-623a-4882-a83e-236581beb482.jpg","open")</f>
        <v/>
      </c>
      <c r="C3058" t="inlineStr">
        <is>
          <t>ed2bf0f1-3a66-4913-896e-4420a9796c0b</t>
        </is>
      </c>
      <c r="D3058" t="n">
        <v>55.96949</v>
      </c>
      <c r="E3058" t="n">
        <v>37.40104</v>
      </c>
      <c r="F3058" t="inlineStr"/>
      <c r="G3058" t="inlineStr"/>
      <c r="H3058" t="inlineStr"/>
    </row>
    <row r="3059">
      <c r="A3059" t="inlineStr">
        <is>
          <t>bab91ce8-462b-4da3-8bf5-55173a60ee43.jpg</t>
        </is>
      </c>
      <c r="B3059">
        <f>HYPERLINK("Объекты недвижимости, не соответствующие градостроительным нормам_00-022_Август/bab91ce8-462b-4da3-8bf5-55173a60ee43.jpg","open")</f>
        <v/>
      </c>
      <c r="C3059" t="inlineStr">
        <is>
          <t>ffd931da-542f-43e9-979f-5552b17fe3dc</t>
        </is>
      </c>
      <c r="D3059" t="n">
        <v>55.75917</v>
      </c>
      <c r="E3059" t="n">
        <v>37.69316</v>
      </c>
      <c r="F3059" t="inlineStr"/>
      <c r="G3059" t="inlineStr"/>
      <c r="H3059" t="inlineStr"/>
    </row>
    <row r="3060">
      <c r="A3060" t="inlineStr">
        <is>
          <t>db2e5bf3-38cf-4297-8102-6052ed161a50.jpg</t>
        </is>
      </c>
      <c r="B3060">
        <f>HYPERLINK("Объекты недвижимости, не соответствующие градостроительным нормам_00-022_Август/db2e5bf3-38cf-4297-8102-6052ed161a50.jpg","open")</f>
        <v/>
      </c>
      <c r="C3060" t="inlineStr">
        <is>
          <t>8cde1fd0-eca1-4510-86ab-3c743b65fdfc</t>
        </is>
      </c>
      <c r="D3060" t="n">
        <v>55.69226</v>
      </c>
      <c r="E3060" t="n">
        <v>37.60786</v>
      </c>
      <c r="F3060" t="inlineStr"/>
      <c r="G3060" t="inlineStr"/>
      <c r="H3060" t="inlineStr"/>
    </row>
    <row r="3061">
      <c r="A3061" t="inlineStr">
        <is>
          <t>c48771b0-11c5-4868-b993-6a9c848e5a35.jpg</t>
        </is>
      </c>
      <c r="B3061">
        <f>HYPERLINK("Объекты недвижимости, не соответствующие градостроительным нормам_00-022_Август/c48771b0-11c5-4868-b993-6a9c848e5a35.jpg","open")</f>
        <v/>
      </c>
      <c r="C3061" t="inlineStr">
        <is>
          <t>f60286ac-55e7-4099-85bd-cc599a7a0c65</t>
        </is>
      </c>
      <c r="D3061" t="n">
        <v>55.75599</v>
      </c>
      <c r="E3061" t="n">
        <v>37.70351</v>
      </c>
      <c r="F3061" t="inlineStr"/>
      <c r="G3061" t="inlineStr"/>
      <c r="H3061" t="inlineStr"/>
    </row>
    <row r="3062">
      <c r="A3062" t="inlineStr">
        <is>
          <t>72783ae9-b240-4079-ac71-c67eb2de6896.jpg</t>
        </is>
      </c>
      <c r="B3062">
        <f>HYPERLINK("Объекты недвижимости, не соответствующие градостроительным нормам_00-022_Август/72783ae9-b240-4079-ac71-c67eb2de6896.jpg","open")</f>
        <v/>
      </c>
      <c r="C3062" t="inlineStr">
        <is>
          <t>1231bbc5-e64c-4dc7-9acc-77710f47607a</t>
        </is>
      </c>
      <c r="D3062" t="n">
        <v>55.66201</v>
      </c>
      <c r="E3062" t="n">
        <v>37.60506</v>
      </c>
      <c r="F3062" t="inlineStr"/>
      <c r="G3062" t="inlineStr"/>
      <c r="H3062" t="inlineStr"/>
    </row>
    <row r="3063">
      <c r="A3063" t="inlineStr">
        <is>
          <t>4a923d14-7c4f-42e4-86e8-76675865c427.jpg</t>
        </is>
      </c>
      <c r="B3063">
        <f>HYPERLINK("Объекты недвижимости, не соответствующие градостроительным нормам_00-022_Август/4a923d14-7c4f-42e4-86e8-76675865c427.jpg","open")</f>
        <v/>
      </c>
      <c r="C3063" t="inlineStr">
        <is>
          <t>036c664f-5408-4fd0-b479-342c00468eeb</t>
        </is>
      </c>
      <c r="D3063" t="n">
        <v>55.73314</v>
      </c>
      <c r="E3063" t="n">
        <v>37.54302</v>
      </c>
      <c r="F3063" t="inlineStr"/>
      <c r="G3063" t="inlineStr"/>
      <c r="H3063" t="inlineStr"/>
    </row>
    <row r="3064">
      <c r="A3064" t="inlineStr">
        <is>
          <t>6f60b534-9cf8-4af2-b22e-493e05bcd6e4.jpg</t>
        </is>
      </c>
      <c r="B3064">
        <f>HYPERLINK("Объекты недвижимости, не соответствующие градостроительным нормам_00-022_Август/6f60b534-9cf8-4af2-b22e-493e05bcd6e4.jpg","open")</f>
        <v/>
      </c>
      <c r="C3064" t="inlineStr">
        <is>
          <t>685d9054-b74f-49ab-857b-109fd2cec80d</t>
        </is>
      </c>
      <c r="D3064" t="n">
        <v>55.66298</v>
      </c>
      <c r="E3064" t="n">
        <v>37.62366</v>
      </c>
      <c r="F3064" t="inlineStr"/>
      <c r="G3064" t="inlineStr"/>
      <c r="H3064" t="inlineStr"/>
    </row>
    <row r="3065">
      <c r="A3065" t="inlineStr">
        <is>
          <t>df845cea-ef1d-4355-a7f5-11aba48407d9.jpg</t>
        </is>
      </c>
      <c r="B3065">
        <f>HYPERLINK("Объекты недвижимости, не соответствующие градостроительным нормам_00-022_Август/df845cea-ef1d-4355-a7f5-11aba48407d9.jpg","open")</f>
        <v/>
      </c>
      <c r="C3065" t="inlineStr">
        <is>
          <t>8cde1fd0-eca1-4510-86ab-3c743b65fdfc</t>
        </is>
      </c>
      <c r="D3065" t="n">
        <v>55.70937</v>
      </c>
      <c r="E3065" t="n">
        <v>37.6693</v>
      </c>
      <c r="F3065" t="inlineStr"/>
      <c r="G3065" t="inlineStr"/>
      <c r="H3065" t="inlineStr"/>
    </row>
    <row r="3066">
      <c r="A3066" t="inlineStr">
        <is>
          <t>5dea2f53-1b8a-48c9-ac7c-7fc94ba22a4f.jpg</t>
        </is>
      </c>
      <c r="B3066">
        <f>HYPERLINK("Объекты недвижимости, не соответствующие градостроительным нормам_00-022_Август/5dea2f53-1b8a-48c9-ac7c-7fc94ba22a4f.jpg","open")</f>
        <v/>
      </c>
      <c r="C3066" t="inlineStr">
        <is>
          <t>ed2bf0f1-3a66-4913-896e-4420a9796c0b</t>
        </is>
      </c>
      <c r="D3066" t="n">
        <v>55.96461</v>
      </c>
      <c r="E3066" t="n">
        <v>37.41267</v>
      </c>
      <c r="F3066" t="inlineStr"/>
      <c r="G3066" t="inlineStr"/>
      <c r="H3066" t="inlineStr"/>
    </row>
    <row r="3067">
      <c r="A3067" t="inlineStr">
        <is>
          <t>637be2ad-acbe-4dc0-9398-19445306d1ae.jpg</t>
        </is>
      </c>
      <c r="B3067">
        <f>HYPERLINK("Объекты недвижимости, не соответствующие градостроительным нормам_00-022_Август/637be2ad-acbe-4dc0-9398-19445306d1ae.jpg","open")</f>
        <v/>
      </c>
      <c r="C3067" t="inlineStr">
        <is>
          <t>8cde1fd0-eca1-4510-86ab-3c743b65fdfc</t>
        </is>
      </c>
      <c r="D3067" t="n">
        <v>55.74133</v>
      </c>
      <c r="E3067" t="n">
        <v>37.69765</v>
      </c>
      <c r="F3067" t="inlineStr"/>
      <c r="G3067" t="inlineStr"/>
      <c r="H3067" t="inlineStr"/>
    </row>
    <row r="3068">
      <c r="A3068" t="inlineStr">
        <is>
          <t>13d12c1a-fb64-4bf8-ac38-65820248bb07.jpg</t>
        </is>
      </c>
      <c r="B3068">
        <f>HYPERLINK("Объекты недвижимости, не соответствующие градостроительным нормам_00-022_Август/13d12c1a-fb64-4bf8-ac38-65820248bb07.jpg","open")</f>
        <v/>
      </c>
      <c r="C3068" t="inlineStr">
        <is>
          <t>8cde1fd0-eca1-4510-86ab-3c743b65fdfc</t>
        </is>
      </c>
      <c r="D3068" t="n">
        <v>55.74133</v>
      </c>
      <c r="E3068" t="n">
        <v>37.69765</v>
      </c>
      <c r="F3068" t="inlineStr"/>
      <c r="G3068" t="inlineStr"/>
      <c r="H3068" t="inlineStr"/>
    </row>
    <row r="3069">
      <c r="A3069" t="inlineStr">
        <is>
          <t>c8bda9b9-8199-4f95-ba99-002369949974.jpg</t>
        </is>
      </c>
      <c r="B3069">
        <f>HYPERLINK("Объекты недвижимости, не соответствующие градостроительным нормам_00-022_Август/c8bda9b9-8199-4f95-ba99-002369949974.jpg","open")</f>
        <v/>
      </c>
      <c r="C3069" t="inlineStr">
        <is>
          <t>8cde1fd0-eca1-4510-86ab-3c743b65fdfc</t>
        </is>
      </c>
      <c r="D3069" t="n">
        <v>55.74304</v>
      </c>
      <c r="E3069" t="n">
        <v>37.6983</v>
      </c>
      <c r="F3069" t="inlineStr"/>
      <c r="G3069" t="inlineStr"/>
      <c r="H3069" t="inlineStr"/>
    </row>
    <row r="3070">
      <c r="A3070" t="inlineStr">
        <is>
          <t>772bb8b7-4c1f-485a-af06-a8e01417f52f.jpg</t>
        </is>
      </c>
      <c r="B3070">
        <f>HYPERLINK("Объекты недвижимости, не соответствующие градостроительным нормам_00-022_Август/772bb8b7-4c1f-485a-af06-a8e01417f52f.jpg","open")</f>
        <v/>
      </c>
      <c r="C3070" t="inlineStr">
        <is>
          <t>b0b7ea82-53be-40d0-b992-e2fd18611d5c</t>
        </is>
      </c>
      <c r="D3070" t="n">
        <v>55.65061</v>
      </c>
      <c r="E3070" t="n">
        <v>37.74966</v>
      </c>
      <c r="F3070" t="inlineStr"/>
      <c r="G3070" t="inlineStr"/>
      <c r="H3070" t="inlineStr"/>
    </row>
    <row r="3071">
      <c r="A3071" t="inlineStr">
        <is>
          <t>d7a944d6-3fdf-41da-acfe-81da8291c6ed.jpg</t>
        </is>
      </c>
      <c r="B3071">
        <f>HYPERLINK("Объекты недвижимости, не соответствующие градостроительным нормам_00-022_Август/d7a944d6-3fdf-41da-acfe-81da8291c6ed.jpg","open")</f>
        <v/>
      </c>
      <c r="C3071" t="inlineStr">
        <is>
          <t>f20fbc2b-b369-4734-bb66-92af02fbb0d1</t>
        </is>
      </c>
      <c r="D3071" t="n">
        <v>55.65068</v>
      </c>
      <c r="E3071" t="n">
        <v>37.74964</v>
      </c>
      <c r="F3071" t="inlineStr"/>
      <c r="G3071" t="inlineStr"/>
      <c r="H3071" t="inlineStr"/>
    </row>
    <row r="3072">
      <c r="A3072" t="inlineStr">
        <is>
          <t>df6472ea-6aa7-4c13-a6b5-d0581da05c26.jpg</t>
        </is>
      </c>
      <c r="B3072">
        <f>HYPERLINK("Объекты недвижимости, не соответствующие градостроительным нормам_00-022_Август/df6472ea-6aa7-4c13-a6b5-d0581da05c26.jpg","open")</f>
        <v/>
      </c>
      <c r="C3072" t="inlineStr">
        <is>
          <t>b0429a31-0c70-4b9f-8ea5-73929d82f89e</t>
        </is>
      </c>
      <c r="D3072" t="n">
        <v>55.60673</v>
      </c>
      <c r="E3072" t="n">
        <v>37.61065</v>
      </c>
      <c r="F3072" t="inlineStr"/>
      <c r="G3072" t="inlineStr"/>
      <c r="H3072" t="inlineStr"/>
    </row>
    <row r="3073">
      <c r="A3073" t="inlineStr">
        <is>
          <t>aba11e14-f3a9-44b1-b090-9550f8df6991.jpg</t>
        </is>
      </c>
      <c r="B3073">
        <f>HYPERLINK("Объекты недвижимости, не соответствующие градостроительным нормам_00-022_Август/aba11e14-f3a9-44b1-b090-9550f8df6991.jpg","open")</f>
        <v/>
      </c>
      <c r="C3073" t="inlineStr">
        <is>
          <t>b0429a31-0c70-4b9f-8ea5-73929d82f89e</t>
        </is>
      </c>
      <c r="D3073" t="n">
        <v>55.60677</v>
      </c>
      <c r="E3073" t="n">
        <v>37.61053</v>
      </c>
      <c r="F3073" t="inlineStr"/>
      <c r="G3073" t="inlineStr"/>
      <c r="H3073" t="inlineStr"/>
    </row>
    <row r="3074">
      <c r="A3074" t="inlineStr">
        <is>
          <t>3115c811-e23a-455b-bdd1-acaafc072c18.jpg</t>
        </is>
      </c>
      <c r="B3074">
        <f>HYPERLINK("Объекты недвижимости, не соответствующие градостроительным нормам_00-022_Август/3115c811-e23a-455b-bdd1-acaafc072c18.jpg","open")</f>
        <v/>
      </c>
      <c r="C3074" t="inlineStr">
        <is>
          <t>b0429a31-0c70-4b9f-8ea5-73929d82f89e</t>
        </is>
      </c>
      <c r="D3074" t="n">
        <v>55.6068</v>
      </c>
      <c r="E3074" t="n">
        <v>37.61045</v>
      </c>
      <c r="F3074" t="inlineStr"/>
      <c r="G3074" t="inlineStr"/>
      <c r="H3074" t="inlineStr"/>
    </row>
    <row r="3075">
      <c r="A3075" t="inlineStr">
        <is>
          <t>2723abae-c6ae-4990-942c-5d9852d659e0.jpg</t>
        </is>
      </c>
      <c r="B3075">
        <f>HYPERLINK("Объекты недвижимости, не соответствующие градостроительным нормам_00-022_Август/2723abae-c6ae-4990-942c-5d9852d659e0.jpg","open")</f>
        <v/>
      </c>
      <c r="C3075" t="inlineStr">
        <is>
          <t>b0429a31-0c70-4b9f-8ea5-73929d82f89e</t>
        </is>
      </c>
      <c r="D3075" t="n">
        <v>55.60684</v>
      </c>
      <c r="E3075" t="n">
        <v>37.61032</v>
      </c>
      <c r="F3075" t="inlineStr"/>
      <c r="G3075" t="inlineStr"/>
      <c r="H3075" t="inlineStr"/>
    </row>
    <row r="3076">
      <c r="A3076" t="inlineStr">
        <is>
          <t>19348ec7-d2c2-424f-afb4-a11b05a12ba1.jpg</t>
        </is>
      </c>
      <c r="B3076">
        <f>HYPERLINK("Объекты недвижимости, не соответствующие градостроительным нормам_00-022_Август/19348ec7-d2c2-424f-afb4-a11b05a12ba1.jpg","open")</f>
        <v/>
      </c>
      <c r="C3076" t="inlineStr">
        <is>
          <t>b0b7ea82-53be-40d0-b992-e2fd18611d5c</t>
        </is>
      </c>
      <c r="D3076" t="n">
        <v>55.65065</v>
      </c>
      <c r="E3076" t="n">
        <v>37.74944</v>
      </c>
      <c r="F3076" t="inlineStr"/>
      <c r="G3076" t="inlineStr"/>
      <c r="H3076" t="inlineStr"/>
    </row>
    <row r="3077">
      <c r="A3077" t="inlineStr">
        <is>
          <t>7f7a7649-fc59-4321-9028-4fd3ac32386d.jpg</t>
        </is>
      </c>
      <c r="B3077">
        <f>HYPERLINK("Объекты недвижимости, не соответствующие градостроительным нормам_00-022_Август/7f7a7649-fc59-4321-9028-4fd3ac32386d.jpg","open")</f>
        <v/>
      </c>
      <c r="C3077" t="inlineStr">
        <is>
          <t>b0b7ea82-53be-40d0-b992-e2fd18611d5c</t>
        </is>
      </c>
      <c r="D3077" t="n">
        <v>55.65068</v>
      </c>
      <c r="E3077" t="n">
        <v>37.74947</v>
      </c>
      <c r="F3077" t="inlineStr"/>
      <c r="G3077" t="inlineStr"/>
      <c r="H3077" t="inlineStr"/>
    </row>
    <row r="3078">
      <c r="A3078" t="inlineStr">
        <is>
          <t>277295cc-b6e6-4789-9c41-30c1586bf3fd.jpg</t>
        </is>
      </c>
      <c r="B3078">
        <f>HYPERLINK("Объекты недвижимости, не соответствующие градостроительным нормам_00-022_Август/277295cc-b6e6-4789-9c41-30c1586bf3fd.jpg","open")</f>
        <v/>
      </c>
      <c r="C3078" t="inlineStr">
        <is>
          <t>b0429a31-0c70-4b9f-8ea5-73929d82f89e</t>
        </is>
      </c>
      <c r="D3078" t="n">
        <v>55.60682</v>
      </c>
      <c r="E3078" t="n">
        <v>37.61033</v>
      </c>
      <c r="F3078" t="inlineStr"/>
      <c r="G3078" t="inlineStr"/>
      <c r="H3078" t="inlineStr"/>
    </row>
    <row r="3079">
      <c r="A3079" t="inlineStr">
        <is>
          <t>d602c44b-fc95-4cf9-8862-8cd82350ef9c.jpg</t>
        </is>
      </c>
      <c r="B3079">
        <f>HYPERLINK("Объекты недвижимости, не соответствующие градостроительным нормам_00-022_Август/d602c44b-fc95-4cf9-8862-8cd82350ef9c.jpg","open")</f>
        <v/>
      </c>
      <c r="C3079" t="inlineStr">
        <is>
          <t>8cde1fd0-eca1-4510-86ab-3c743b65fdfc</t>
        </is>
      </c>
      <c r="D3079" t="n">
        <v>55.74446</v>
      </c>
      <c r="E3079" t="n">
        <v>37.69924</v>
      </c>
      <c r="F3079" t="inlineStr"/>
      <c r="G3079" t="inlineStr"/>
      <c r="H3079" t="inlineStr"/>
    </row>
    <row r="3080">
      <c r="A3080" t="inlineStr">
        <is>
          <t>73a5f060-fd4f-4652-a8b2-ca3a44234510.jpg</t>
        </is>
      </c>
      <c r="B3080">
        <f>HYPERLINK("Объекты недвижимости, не соответствующие градостроительным нормам_00-022_Август/73a5f060-fd4f-4652-a8b2-ca3a44234510.jpg","open")</f>
        <v/>
      </c>
      <c r="C3080" t="inlineStr">
        <is>
          <t>685d9054-b74f-49ab-857b-109fd2cec80d</t>
        </is>
      </c>
      <c r="D3080" t="n">
        <v>55.70921</v>
      </c>
      <c r="E3080" t="n">
        <v>37.6692</v>
      </c>
      <c r="F3080" t="inlineStr"/>
      <c r="G3080" t="inlineStr"/>
      <c r="H3080" t="inlineStr"/>
    </row>
    <row r="3081">
      <c r="A3081" t="inlineStr">
        <is>
          <t>b95d9d3e-6822-4571-83c2-5f1809aa5495.jpg</t>
        </is>
      </c>
      <c r="B3081">
        <f>HYPERLINK("Объекты недвижимости, не соответствующие градостроительным нормам_00-022_Август/b95d9d3e-6822-4571-83c2-5f1809aa5495.jpg","open")</f>
        <v/>
      </c>
      <c r="C3081" t="inlineStr">
        <is>
          <t>685d9054-b74f-49ab-857b-109fd2cec80d</t>
        </is>
      </c>
      <c r="D3081" t="n">
        <v>55.74324</v>
      </c>
      <c r="E3081" t="n">
        <v>37.69829</v>
      </c>
      <c r="F3081" t="inlineStr"/>
      <c r="G3081" t="inlineStr"/>
      <c r="H3081" t="inlineStr"/>
    </row>
    <row r="3082">
      <c r="A3082" t="inlineStr">
        <is>
          <t>71ee9411-6842-4712-a16d-f614eb773aaf.jpg</t>
        </is>
      </c>
      <c r="B3082">
        <f>HYPERLINK("Объекты недвижимости, не соответствующие градостроительным нормам_00-022_Август/71ee9411-6842-4712-a16d-f614eb773aaf.jpg","open")</f>
        <v/>
      </c>
      <c r="C3082" t="inlineStr">
        <is>
          <t>1c951e11-4940-43c6-a447-394097e5609a</t>
        </is>
      </c>
      <c r="D3082" t="n">
        <v>55.75025</v>
      </c>
      <c r="E3082" t="n">
        <v>37.686</v>
      </c>
      <c r="F3082" t="inlineStr"/>
      <c r="G3082" t="inlineStr"/>
      <c r="H3082" t="inlineStr"/>
    </row>
    <row r="3083">
      <c r="A3083" t="inlineStr">
        <is>
          <t>69ea59e3-4720-4da5-a3ee-68ed0cf0f7c2.jpg</t>
        </is>
      </c>
      <c r="B3083">
        <f>HYPERLINK("Объекты недвижимости, не соответствующие градостроительным нормам_00-022_Август/69ea59e3-4720-4da5-a3ee-68ed0cf0f7c2.jpg","open")</f>
        <v/>
      </c>
      <c r="C3083" t="inlineStr">
        <is>
          <t>1c951e11-4940-43c6-a447-394097e5609a</t>
        </is>
      </c>
      <c r="D3083" t="n">
        <v>55.75025</v>
      </c>
      <c r="E3083" t="n">
        <v>37.686</v>
      </c>
      <c r="F3083" t="inlineStr"/>
      <c r="G3083" t="inlineStr"/>
      <c r="H3083" t="inlineStr"/>
    </row>
    <row r="3084">
      <c r="A3084" t="inlineStr">
        <is>
          <t>735bff6a-e8ac-4d32-a8ee-57f521c2bf06.jpg</t>
        </is>
      </c>
      <c r="B3084">
        <f>HYPERLINK("Объекты недвижимости, не соответствующие градостроительным нормам_00-022_Август/735bff6a-e8ac-4d32-a8ee-57f521c2bf06.jpg","open")</f>
        <v/>
      </c>
      <c r="C3084" t="inlineStr">
        <is>
          <t>1c951e11-4940-43c6-a447-394097e5609a</t>
        </is>
      </c>
      <c r="D3084" t="n">
        <v>55.75773</v>
      </c>
      <c r="E3084" t="n">
        <v>37.68476</v>
      </c>
      <c r="F3084" t="inlineStr"/>
      <c r="G3084" t="inlineStr"/>
      <c r="H3084" t="inlineStr"/>
    </row>
    <row r="3085">
      <c r="A3085" t="inlineStr">
        <is>
          <t>fc3e8bfd-af28-4bf0-8418-baf2ad827a57.jpg</t>
        </is>
      </c>
      <c r="B3085">
        <f>HYPERLINK("Объекты недвижимости, не соответствующие градостроительным нормам_00-022_Август/fc3e8bfd-af28-4bf0-8418-baf2ad827a57.jpg","open")</f>
        <v/>
      </c>
      <c r="C3085" t="inlineStr">
        <is>
          <t>685d9054-b74f-49ab-857b-109fd2cec80d</t>
        </is>
      </c>
      <c r="D3085" t="n">
        <v>55.74962</v>
      </c>
      <c r="E3085" t="n">
        <v>37.6987</v>
      </c>
      <c r="F3085" t="inlineStr"/>
      <c r="G3085" t="inlineStr"/>
      <c r="H3085" t="inlineStr"/>
    </row>
    <row r="3086">
      <c r="A3086" t="inlineStr">
        <is>
          <t>8839a2af-8439-4189-9b9a-b6aeabee3cfd.jpg</t>
        </is>
      </c>
      <c r="B3086">
        <f>HYPERLINK("Объекты недвижимости, не соответствующие градостроительным нормам_00-022_Август/8839a2af-8439-4189-9b9a-b6aeabee3cfd.jpg","open")</f>
        <v/>
      </c>
      <c r="C3086" t="inlineStr">
        <is>
          <t>1a55986c-2c3f-40c0-b3d1-014dce77832e</t>
        </is>
      </c>
      <c r="D3086" t="n">
        <v>55.38813</v>
      </c>
      <c r="E3086" t="n">
        <v>37.22724</v>
      </c>
      <c r="F3086" t="inlineStr"/>
      <c r="G3086" t="inlineStr"/>
      <c r="H3086" t="inlineStr"/>
    </row>
    <row r="3087">
      <c r="A3087" t="inlineStr">
        <is>
          <t>4f564402-db09-4713-bb80-870448e21b87.jpg</t>
        </is>
      </c>
      <c r="B3087">
        <f>HYPERLINK("Объекты недвижимости, не соответствующие градостроительным нормам_00-022_Август/4f564402-db09-4713-bb80-870448e21b87.jpg","open")</f>
        <v/>
      </c>
      <c r="C3087" t="inlineStr">
        <is>
          <t>ed2bf0f1-3a66-4913-896e-4420a9796c0b</t>
        </is>
      </c>
      <c r="D3087" t="n">
        <v>55.76087</v>
      </c>
      <c r="E3087" t="n">
        <v>37.57909</v>
      </c>
      <c r="F3087" t="inlineStr"/>
      <c r="G3087" t="inlineStr"/>
      <c r="H3087" t="inlineStr"/>
    </row>
    <row r="3088">
      <c r="A3088" t="inlineStr">
        <is>
          <t>099a696f-3483-4382-a273-b7872b5bbcc5.jpg</t>
        </is>
      </c>
      <c r="B3088">
        <f>HYPERLINK("Объекты недвижимости, не соответствующие градостроительным нормам_00-022_Август/099a696f-3483-4382-a273-b7872b5bbcc5.jpg","open")</f>
        <v/>
      </c>
      <c r="C3088" t="inlineStr">
        <is>
          <t>b0429a31-0c70-4b9f-8ea5-73929d82f89e</t>
        </is>
      </c>
      <c r="D3088" t="n">
        <v>55.74178</v>
      </c>
      <c r="E3088" t="n">
        <v>37.6977</v>
      </c>
      <c r="F3088" t="inlineStr"/>
      <c r="G3088" t="inlineStr"/>
      <c r="H3088" t="inlineStr"/>
    </row>
    <row r="3089">
      <c r="A3089" t="inlineStr">
        <is>
          <t>d8cff476-03d8-4c41-bcd1-955f95e9431f.jpg</t>
        </is>
      </c>
      <c r="B3089">
        <f>HYPERLINK("Объекты недвижимости, не соответствующие градостроительным нормам_00-022_Август/d8cff476-03d8-4c41-bcd1-955f95e9431f.jpg","open")</f>
        <v/>
      </c>
      <c r="C3089" t="inlineStr">
        <is>
          <t>b0b7ea82-53be-40d0-b992-e2fd18611d5c</t>
        </is>
      </c>
      <c r="D3089" t="n">
        <v>55.66356</v>
      </c>
      <c r="E3089" t="n">
        <v>37.71901</v>
      </c>
      <c r="F3089" t="inlineStr"/>
      <c r="G3089" t="inlineStr"/>
      <c r="H3089" t="inlineStr"/>
    </row>
    <row r="3090">
      <c r="A3090" t="inlineStr">
        <is>
          <t>e7a8d491-0c1b-47b0-8849-82156dc71615.jpg</t>
        </is>
      </c>
      <c r="B3090">
        <f>HYPERLINK("Объекты недвижимости, не соответствующие градостроительным нормам_00-022_Август/e7a8d491-0c1b-47b0-8849-82156dc71615.jpg","open")</f>
        <v/>
      </c>
      <c r="C3090" t="inlineStr">
        <is>
          <t>b0b7ea82-53be-40d0-b992-e2fd18611d5c</t>
        </is>
      </c>
      <c r="D3090" t="n">
        <v>55.69749</v>
      </c>
      <c r="E3090" t="n">
        <v>37.73001</v>
      </c>
      <c r="F3090" t="inlineStr"/>
      <c r="G3090" t="inlineStr"/>
      <c r="H3090" t="inlineStr"/>
    </row>
    <row r="3091">
      <c r="A3091" t="inlineStr">
        <is>
          <t>ac34eff1-8b82-4a1b-b2d1-89d515268828.jpg</t>
        </is>
      </c>
      <c r="B3091">
        <f>HYPERLINK("Объекты недвижимости, не соответствующие градостроительным нормам_00-022_Август/ac34eff1-8b82-4a1b-b2d1-89d515268828.jpg","open")</f>
        <v/>
      </c>
      <c r="C3091" t="inlineStr">
        <is>
          <t>61936922-4d4b-458e-80ea-6d4c450aa1d5</t>
        </is>
      </c>
      <c r="D3091" t="n">
        <v>55.77479</v>
      </c>
      <c r="E3091" t="n">
        <v>37.68322</v>
      </c>
      <c r="F3091" t="inlineStr"/>
      <c r="G3091" t="inlineStr"/>
      <c r="H3091" t="inlineStr"/>
    </row>
    <row r="3092">
      <c r="A3092" t="inlineStr">
        <is>
          <t>38203779-1b44-4380-a415-7302b4901f17.jpg</t>
        </is>
      </c>
      <c r="B3092">
        <f>HYPERLINK("Объекты недвижимости, не соответствующие градостроительным нормам_00-022_Август/38203779-1b44-4380-a415-7302b4901f17.jpg","open")</f>
        <v/>
      </c>
      <c r="C3092" t="inlineStr">
        <is>
          <t>e90a3ac0-5b70-4ede-abeb-382371713306</t>
        </is>
      </c>
      <c r="D3092" t="n">
        <v>55.6793</v>
      </c>
      <c r="E3092" t="n">
        <v>37.84898</v>
      </c>
      <c r="F3092" t="inlineStr"/>
      <c r="G3092" t="inlineStr"/>
      <c r="H3092" t="inlineStr"/>
    </row>
    <row r="3093">
      <c r="A3093" t="inlineStr">
        <is>
          <t>7631a3d3-12b8-4c85-bfc2-ea3ed73667d7.jpg</t>
        </is>
      </c>
      <c r="B3093">
        <f>HYPERLINK("Объекты недвижимости, не соответствующие градостроительным нормам_00-022_Август/7631a3d3-12b8-4c85-bfc2-ea3ed73667d7.jpg","open")</f>
        <v/>
      </c>
      <c r="C3093" t="inlineStr">
        <is>
          <t>57812597-37e6-414c-8b11-8c661dbfeb70</t>
        </is>
      </c>
      <c r="D3093" t="n">
        <v>59.004</v>
      </c>
      <c r="E3093" t="n">
        <v>33.18596</v>
      </c>
      <c r="F3093" t="inlineStr"/>
      <c r="G3093" t="inlineStr"/>
      <c r="H3093" t="inlineStr"/>
    </row>
    <row r="3094">
      <c r="A3094" t="inlineStr">
        <is>
          <t>cfc64ef3-b23c-4eac-8fc3-55033d2dc1b2.jpg</t>
        </is>
      </c>
      <c r="B3094">
        <f>HYPERLINK("Объекты недвижимости, не соответствующие градостроительным нормам_00-022_Август/cfc64ef3-b23c-4eac-8fc3-55033d2dc1b2.jpg","open")</f>
        <v/>
      </c>
      <c r="C3094" t="inlineStr">
        <is>
          <t>57812597-37e6-414c-8b11-8c661dbfeb70</t>
        </is>
      </c>
      <c r="D3094" t="n">
        <v>55.7056</v>
      </c>
      <c r="E3094" t="n">
        <v>37.55362</v>
      </c>
      <c r="F3094" t="inlineStr"/>
      <c r="G3094" t="inlineStr"/>
      <c r="H3094" t="inlineStr"/>
    </row>
    <row r="3095">
      <c r="A3095" t="inlineStr">
        <is>
          <t>af36b257-a1a0-4e44-b198-b7aacea47a30.jpg</t>
        </is>
      </c>
      <c r="B3095">
        <f>HYPERLINK("Объекты недвижимости, не соответствующие градостроительным нормам_00-022_Август/af36b257-a1a0-4e44-b198-b7aacea47a30.jpg","open")</f>
        <v/>
      </c>
      <c r="C3095" t="inlineStr">
        <is>
          <t>57812597-37e6-414c-8b11-8c661dbfeb70</t>
        </is>
      </c>
      <c r="D3095" t="n">
        <v>55.7056</v>
      </c>
      <c r="E3095" t="n">
        <v>37.55362</v>
      </c>
      <c r="F3095" t="inlineStr"/>
      <c r="G3095" t="inlineStr"/>
      <c r="H3095" t="inlineStr"/>
    </row>
    <row r="3096">
      <c r="A3096" t="inlineStr">
        <is>
          <t>0a87930e-9e6e-40bf-9f45-3b7793c07d9d.jpg</t>
        </is>
      </c>
      <c r="B3096">
        <f>HYPERLINK("Объекты недвижимости, не соответствующие градостроительным нормам_00-022_Август/0a87930e-9e6e-40bf-9f45-3b7793c07d9d.jpg","open")</f>
        <v/>
      </c>
      <c r="C3096" t="inlineStr">
        <is>
          <t>fce890a6-27da-4062-a046-08262a160ee6</t>
        </is>
      </c>
      <c r="D3096" t="n">
        <v>55.75155</v>
      </c>
      <c r="E3096" t="n">
        <v>37.67079</v>
      </c>
      <c r="F3096" t="inlineStr"/>
      <c r="G3096" t="inlineStr"/>
      <c r="H3096" t="inlineStr"/>
    </row>
    <row r="3097">
      <c r="A3097" t="inlineStr">
        <is>
          <t>1d52b7cf-7fdb-4a02-9a33-77660d049ff1.jpg</t>
        </is>
      </c>
      <c r="B3097">
        <f>HYPERLINK("Объекты недвижимости, не соответствующие градостроительным нормам_00-022_Август/1d52b7cf-7fdb-4a02-9a33-77660d049ff1.jpg","open")</f>
        <v/>
      </c>
      <c r="C3097" t="inlineStr">
        <is>
          <t>9f88688f-4c81-42a8-b76a-3c3e7edf869e</t>
        </is>
      </c>
      <c r="D3097" t="n">
        <v>55.75155</v>
      </c>
      <c r="E3097" t="n">
        <v>37.67079</v>
      </c>
      <c r="F3097" t="inlineStr"/>
      <c r="G3097" t="inlineStr"/>
      <c r="H3097" t="inlineStr"/>
    </row>
    <row r="3098">
      <c r="A3098" t="inlineStr">
        <is>
          <t>054abf51-777d-473d-a6b9-0c09d7aa41ce.jpg</t>
        </is>
      </c>
      <c r="B3098">
        <f>HYPERLINK("Объекты недвижимости, не соответствующие градостроительным нормам_00-022_Август/054abf51-777d-473d-a6b9-0c09d7aa41ce.jpg","open")</f>
        <v/>
      </c>
      <c r="C3098" t="inlineStr">
        <is>
          <t>9f88688f-4c81-42a8-b76a-3c3e7edf869e</t>
        </is>
      </c>
      <c r="D3098" t="n">
        <v>55.75155</v>
      </c>
      <c r="E3098" t="n">
        <v>37.67079</v>
      </c>
      <c r="F3098" t="inlineStr"/>
      <c r="G3098" t="inlineStr"/>
      <c r="H3098" t="inlineStr"/>
    </row>
    <row r="3099">
      <c r="A3099" t="inlineStr">
        <is>
          <t>4dbf212b-a82c-448c-b90f-82136f7d6574.jpg</t>
        </is>
      </c>
      <c r="B3099">
        <f>HYPERLINK("Объекты недвижимости, не соответствующие градостроительным нормам_00-022_Август/4dbf212b-a82c-448c-b90f-82136f7d6574.jpg","open")</f>
        <v/>
      </c>
      <c r="C3099" t="inlineStr">
        <is>
          <t>036c664f-5408-4fd0-b479-342c00468eeb</t>
        </is>
      </c>
      <c r="D3099" t="n">
        <v>55.75452</v>
      </c>
      <c r="E3099" t="n">
        <v>37.68922</v>
      </c>
      <c r="F3099" t="inlineStr"/>
      <c r="G3099" t="inlineStr"/>
      <c r="H3099" t="inlineStr"/>
    </row>
    <row r="3100">
      <c r="A3100" t="inlineStr">
        <is>
          <t>66a995fa-547b-475b-b057-bc5342383c7a.jpg</t>
        </is>
      </c>
      <c r="B3100">
        <f>HYPERLINK("Объекты недвижимости, не соответствующие градостроительным нормам_00-022_Август/66a995fa-547b-475b-b057-bc5342383c7a.jpg","open")</f>
        <v/>
      </c>
      <c r="C3100" t="inlineStr">
        <is>
          <t>9c930d0e-e445-452d-a046-325646b21ab7</t>
        </is>
      </c>
      <c r="D3100" t="n">
        <v>55.85835</v>
      </c>
      <c r="E3100" t="n">
        <v>37.59797</v>
      </c>
      <c r="F3100" t="inlineStr"/>
      <c r="G3100" t="inlineStr"/>
      <c r="H3100" t="inlineStr"/>
    </row>
    <row r="3101">
      <c r="A3101" t="inlineStr">
        <is>
          <t>62a80fd0-0562-4677-9099-917d411fd4c3.jpg</t>
        </is>
      </c>
      <c r="B3101">
        <f>HYPERLINK("Объекты недвижимости, не соответствующие градостроительным нормам_00-022_Август/62a80fd0-0562-4677-9099-917d411fd4c3.jpg","open")</f>
        <v/>
      </c>
      <c r="C3101" t="inlineStr">
        <is>
          <t>61936922-4d4b-458e-80ea-6d4c450aa1d5</t>
        </is>
      </c>
      <c r="D3101" t="n">
        <v>55.76321</v>
      </c>
      <c r="E3101" t="n">
        <v>37.66042</v>
      </c>
      <c r="F3101" t="inlineStr"/>
      <c r="G3101" t="inlineStr"/>
      <c r="H3101" t="inlineStr"/>
    </row>
    <row r="3102">
      <c r="A3102" t="inlineStr">
        <is>
          <t>e4cb2537-66c8-429f-8ddc-e060ebb36919.jpg</t>
        </is>
      </c>
      <c r="B3102">
        <f>HYPERLINK("Объекты недвижимости, не соответствующие градостроительным нормам_00-022_Август/e4cb2537-66c8-429f-8ddc-e060ebb36919.jpg","open")</f>
        <v/>
      </c>
      <c r="C3102" t="inlineStr">
        <is>
          <t>9fb3d110-951f-48da-9d90-cfd7e1b5800d</t>
        </is>
      </c>
      <c r="D3102" t="n">
        <v>55.76321</v>
      </c>
      <c r="E3102" t="n">
        <v>37.66042</v>
      </c>
      <c r="F3102" t="inlineStr"/>
      <c r="G3102" t="inlineStr"/>
      <c r="H3102" t="inlineStr"/>
    </row>
    <row r="3103">
      <c r="A3103" t="inlineStr">
        <is>
          <t>dc10d0d4-8138-4748-89b0-1187d2981e3c.jpg</t>
        </is>
      </c>
      <c r="B3103">
        <f>HYPERLINK("Объекты недвижимости, не соответствующие градостроительным нормам_00-022_Август/dc10d0d4-8138-4748-89b0-1187d2981e3c.jpg","open")</f>
        <v/>
      </c>
      <c r="C3103" t="inlineStr">
        <is>
          <t>936502dd-24a4-4256-9fdf-0d8fb72af3ed</t>
        </is>
      </c>
      <c r="D3103" t="n">
        <v>55.75515</v>
      </c>
      <c r="E3103" t="n">
        <v>37.68993</v>
      </c>
      <c r="F3103" t="inlineStr"/>
      <c r="G3103" t="inlineStr"/>
      <c r="H3103" t="inlineStr"/>
    </row>
    <row r="3104">
      <c r="A3104" t="inlineStr">
        <is>
          <t>c5161b1c-80c7-41d2-949e-5181ca380808.jpg</t>
        </is>
      </c>
      <c r="B3104">
        <f>HYPERLINK("Объекты недвижимости, не соответствующие градостроительным нормам_00-022_Август/c5161b1c-80c7-41d2-949e-5181ca380808.jpg","open")</f>
        <v/>
      </c>
      <c r="C3104" t="inlineStr">
        <is>
          <t>5e5b9944-4f9e-4223-bf96-0bc0c8a93dfa</t>
        </is>
      </c>
      <c r="D3104" t="n">
        <v>55.71003</v>
      </c>
      <c r="E3104" t="n">
        <v>37.66503</v>
      </c>
      <c r="F3104" t="inlineStr"/>
      <c r="G3104" t="inlineStr"/>
      <c r="H3104" t="inlineStr"/>
    </row>
    <row r="3105">
      <c r="A3105" t="inlineStr">
        <is>
          <t>4e1246ed-f65d-44d5-bb38-7e3646b667ee.jpg</t>
        </is>
      </c>
      <c r="B3105">
        <f>HYPERLINK("Объекты недвижимости, не соответствующие градостроительным нормам_00-022_Август/4e1246ed-f65d-44d5-bb38-7e3646b667ee.jpg","open")</f>
        <v/>
      </c>
      <c r="C3105" t="inlineStr">
        <is>
          <t>a1a9db89-3f74-42ef-8fad-ad69705102cd</t>
        </is>
      </c>
      <c r="D3105" t="n">
        <v>55.73446</v>
      </c>
      <c r="E3105" t="n">
        <v>37.59542</v>
      </c>
      <c r="F3105" t="inlineStr"/>
      <c r="G3105" t="inlineStr"/>
      <c r="H3105" t="inlineStr"/>
    </row>
    <row r="3106">
      <c r="A3106" t="inlineStr">
        <is>
          <t>58d5139f-cffc-48a5-892e-28dac325695f.jpg</t>
        </is>
      </c>
      <c r="B3106">
        <f>HYPERLINK("Объекты недвижимости, не соответствующие градостроительным нормам_00-022_Август/58d5139f-cffc-48a5-892e-28dac325695f.jpg","open")</f>
        <v/>
      </c>
      <c r="C3106" t="inlineStr">
        <is>
          <t>cbf95b01-f708-45a3-9ec0-3603469b538e</t>
        </is>
      </c>
      <c r="D3106" t="n">
        <v>55.73446</v>
      </c>
      <c r="E3106" t="n">
        <v>37.59542</v>
      </c>
      <c r="F3106" t="inlineStr"/>
      <c r="G3106" t="inlineStr"/>
      <c r="H3106" t="inlineStr"/>
    </row>
    <row r="3107">
      <c r="A3107" t="inlineStr">
        <is>
          <t>8898048c-e2ff-4968-8176-232d6d3ad3bd.jpg</t>
        </is>
      </c>
      <c r="B3107">
        <f>HYPERLINK("Объекты недвижимости, не соответствующие градостроительным нормам_00-022_Август/8898048c-e2ff-4968-8176-232d6d3ad3bd.jpg","open")</f>
        <v/>
      </c>
      <c r="C3107" t="inlineStr">
        <is>
          <t>29ad9edb-d533-4272-a986-be24eb004851</t>
        </is>
      </c>
      <c r="D3107" t="n">
        <v>55.76954</v>
      </c>
      <c r="E3107" t="n">
        <v>37.68563</v>
      </c>
      <c r="F3107" t="inlineStr"/>
      <c r="G3107" t="inlineStr"/>
      <c r="H3107" t="inlineStr"/>
    </row>
    <row r="3108">
      <c r="A3108" t="inlineStr">
        <is>
          <t>898bdea6-dab3-4f9d-94e5-a1c42bd80996.jpg</t>
        </is>
      </c>
      <c r="B3108">
        <f>HYPERLINK("Объекты недвижимости, не соответствующие градостроительным нормам_00-022_Август/898bdea6-dab3-4f9d-94e5-a1c42bd80996.jpg","open")</f>
        <v/>
      </c>
      <c r="C3108" t="inlineStr">
        <is>
          <t>cbf95b01-f708-45a3-9ec0-3603469b538e</t>
        </is>
      </c>
      <c r="D3108" t="n">
        <v>55.73446</v>
      </c>
      <c r="E3108" t="n">
        <v>37.59542</v>
      </c>
      <c r="F3108" t="inlineStr"/>
      <c r="G3108" t="inlineStr"/>
      <c r="H3108" t="inlineStr"/>
    </row>
    <row r="3109">
      <c r="A3109" t="inlineStr">
        <is>
          <t>6f2c1f07-bd0d-41c2-b527-7452a17aa634.jpg</t>
        </is>
      </c>
      <c r="B3109">
        <f>HYPERLINK("Объекты недвижимости, не соответствующие градостроительным нормам_00-022_Август/6f2c1f07-bd0d-41c2-b527-7452a17aa634.jpg","open")</f>
        <v/>
      </c>
      <c r="C3109" t="inlineStr">
        <is>
          <t>18a5c468-d9e6-4814-8477-1caf4a2e1fe9</t>
        </is>
      </c>
      <c r="D3109" t="n">
        <v>55.98158</v>
      </c>
      <c r="E3109" t="n">
        <v>37.40747</v>
      </c>
      <c r="F3109" t="inlineStr"/>
      <c r="G3109" t="inlineStr"/>
      <c r="H3109" t="inlineStr"/>
    </row>
    <row r="3110">
      <c r="A3110" t="inlineStr">
        <is>
          <t>c42a7d27-23f4-48bb-a8aa-fb8f12fcfa76.jpg</t>
        </is>
      </c>
      <c r="B3110">
        <f>HYPERLINK("Объекты недвижимости, не соответствующие градостроительным нормам_00-022_Август/c42a7d27-23f4-48bb-a8aa-fb8f12fcfa76.jpg","open")</f>
        <v/>
      </c>
      <c r="C3110" t="inlineStr">
        <is>
          <t>cbf95b01-f708-45a3-9ec0-3603469b538e</t>
        </is>
      </c>
      <c r="D3110" t="n">
        <v>55.73446</v>
      </c>
      <c r="E3110" t="n">
        <v>37.59542</v>
      </c>
      <c r="F3110" t="inlineStr"/>
      <c r="G3110" t="inlineStr"/>
      <c r="H3110" t="inlineStr"/>
    </row>
    <row r="3111">
      <c r="A3111" t="inlineStr">
        <is>
          <t>038d9c77-4fb3-4f32-9ef5-c988cf4f8536.jpg</t>
        </is>
      </c>
      <c r="B3111">
        <f>HYPERLINK("Объекты недвижимости, не соответствующие градостроительным нормам_00-022_Август/038d9c77-4fb3-4f32-9ef5-c988cf4f8536.jpg","open")</f>
        <v/>
      </c>
      <c r="C3111" t="inlineStr">
        <is>
          <t>cbf95b01-f708-45a3-9ec0-3603469b538e</t>
        </is>
      </c>
      <c r="D3111" t="n">
        <v>55.73446</v>
      </c>
      <c r="E3111" t="n">
        <v>37.59542</v>
      </c>
      <c r="F3111" t="inlineStr"/>
      <c r="G3111" t="inlineStr"/>
      <c r="H3111" t="inlineStr"/>
    </row>
    <row r="3112">
      <c r="A3112" t="inlineStr">
        <is>
          <t>688efa77-e5b6-465a-b76d-0e6952b30e6d.jpg</t>
        </is>
      </c>
      <c r="B3112">
        <f>HYPERLINK("Объекты недвижимости, не соответствующие градостроительным нормам_00-022_Август/688efa77-e5b6-465a-b76d-0e6952b30e6d.jpg","open")</f>
        <v/>
      </c>
      <c r="C3112" t="inlineStr">
        <is>
          <t>d2c4eccd-3e4b-406c-a903-0f5e43d0be35</t>
        </is>
      </c>
      <c r="D3112" t="n">
        <v>55.98158</v>
      </c>
      <c r="E3112" t="n">
        <v>37.40747</v>
      </c>
      <c r="F3112" t="inlineStr"/>
      <c r="G3112" t="inlineStr"/>
      <c r="H3112" t="inlineStr"/>
    </row>
    <row r="3113">
      <c r="A3113" t="inlineStr">
        <is>
          <t>08c6a785-f2c5-45fa-b8ff-8f6172555941.jpg</t>
        </is>
      </c>
      <c r="B3113">
        <f>HYPERLINK("Объекты недвижимости, не соответствующие градостроительным нормам_00-022_Август/08c6a785-f2c5-45fa-b8ff-8f6172555941.jpg","open")</f>
        <v/>
      </c>
      <c r="C3113" t="inlineStr">
        <is>
          <t>18a5c468-d9e6-4814-8477-1caf4a2e1fe9</t>
        </is>
      </c>
      <c r="D3113" t="n">
        <v>55.98158</v>
      </c>
      <c r="E3113" t="n">
        <v>37.40747</v>
      </c>
      <c r="F3113" t="inlineStr"/>
      <c r="G3113" t="inlineStr"/>
      <c r="H3113" t="inlineStr"/>
    </row>
    <row r="3114">
      <c r="A3114" t="inlineStr">
        <is>
          <t>a84dbe7f-5bc7-47e1-8f9b-f905ef47c3e8.jpg</t>
        </is>
      </c>
      <c r="B3114">
        <f>HYPERLINK("Объекты недвижимости, не соответствующие градостроительным нормам_00-022_Август/a84dbe7f-5bc7-47e1-8f9b-f905ef47c3e8.jpg","open")</f>
        <v/>
      </c>
      <c r="C3114" t="inlineStr">
        <is>
          <t>cbf95b01-f708-45a3-9ec0-3603469b538e</t>
        </is>
      </c>
      <c r="D3114" t="n">
        <v>55.73446</v>
      </c>
      <c r="E3114" t="n">
        <v>37.59542</v>
      </c>
      <c r="F3114" t="inlineStr"/>
      <c r="G3114" t="inlineStr"/>
      <c r="H3114" t="inlineStr"/>
    </row>
    <row r="3115">
      <c r="A3115" t="inlineStr">
        <is>
          <t>4792fc02-b705-4857-ab8a-232d0669d957.jpg</t>
        </is>
      </c>
      <c r="B3115">
        <f>HYPERLINK("Объекты недвижимости, не соответствующие градостроительным нормам_00-022_Август/4792fc02-b705-4857-ab8a-232d0669d957.jpg","open")</f>
        <v/>
      </c>
      <c r="C3115" t="inlineStr">
        <is>
          <t>cbf95b01-f708-45a3-9ec0-3603469b538e</t>
        </is>
      </c>
      <c r="D3115" t="n">
        <v>55.73446</v>
      </c>
      <c r="E3115" t="n">
        <v>37.59542</v>
      </c>
      <c r="F3115" t="inlineStr"/>
      <c r="G3115" t="inlineStr"/>
      <c r="H3115" t="inlineStr"/>
    </row>
    <row r="3116">
      <c r="A3116" t="inlineStr">
        <is>
          <t>027bce15-cc5b-473c-be6e-3ee3aa65c9a3.jpg</t>
        </is>
      </c>
      <c r="B3116">
        <f>HYPERLINK("Объекты недвижимости, не соответствующие градостроительным нормам_00-022_Август/027bce15-cc5b-473c-be6e-3ee3aa65c9a3.jpg","open")</f>
        <v/>
      </c>
      <c r="C3116" t="inlineStr">
        <is>
          <t>cbf95b01-f708-45a3-9ec0-3603469b538e</t>
        </is>
      </c>
      <c r="D3116" t="n">
        <v>55.73446</v>
      </c>
      <c r="E3116" t="n">
        <v>37.59542</v>
      </c>
      <c r="F3116" t="inlineStr"/>
      <c r="G3116" t="inlineStr"/>
      <c r="H3116" t="inlineStr"/>
    </row>
    <row r="3117">
      <c r="A3117" t="inlineStr">
        <is>
          <t>ac81bb29-b8bd-4e65-9016-e85ef21288b9.jpg</t>
        </is>
      </c>
      <c r="B3117">
        <f>HYPERLINK("Объекты недвижимости, не соответствующие градостроительным нормам_00-022_Август/ac81bb29-b8bd-4e65-9016-e85ef21288b9.jpg","open")</f>
        <v/>
      </c>
      <c r="C3117" t="inlineStr">
        <is>
          <t>cbf95b01-f708-45a3-9ec0-3603469b538e</t>
        </is>
      </c>
      <c r="D3117" t="n">
        <v>55.73446</v>
      </c>
      <c r="E3117" t="n">
        <v>37.59542</v>
      </c>
      <c r="F3117" t="inlineStr"/>
      <c r="G3117" t="inlineStr"/>
      <c r="H3117" t="inlineStr"/>
    </row>
    <row r="3118">
      <c r="A3118" t="inlineStr">
        <is>
          <t>0bc807df-13a8-4149-aa62-0d3a505fa899.jpg</t>
        </is>
      </c>
      <c r="B3118">
        <f>HYPERLINK("Объекты недвижимости, не соответствующие градостроительным нормам_00-022_Август/0bc807df-13a8-4149-aa62-0d3a505fa899.jpg","open")</f>
        <v/>
      </c>
      <c r="C3118" t="inlineStr">
        <is>
          <t>cbf95b01-f708-45a3-9ec0-3603469b538e</t>
        </is>
      </c>
      <c r="D3118" t="n">
        <v>55.73446</v>
      </c>
      <c r="E3118" t="n">
        <v>37.59542</v>
      </c>
      <c r="F3118" t="inlineStr"/>
      <c r="G3118" t="inlineStr"/>
      <c r="H3118" t="inlineStr"/>
    </row>
    <row r="3119">
      <c r="A3119" t="inlineStr">
        <is>
          <t>ad25852c-7c80-43a2-85ae-c57c7902919b.jpg</t>
        </is>
      </c>
      <c r="B3119">
        <f>HYPERLINK("Объекты недвижимости, не соответствующие градостроительным нормам_00-022_Август/ad25852c-7c80-43a2-85ae-c57c7902919b.jpg","open")</f>
        <v/>
      </c>
      <c r="C3119" t="inlineStr">
        <is>
          <t>a1a9db89-3f74-42ef-8fad-ad69705102cd</t>
        </is>
      </c>
      <c r="D3119" t="n">
        <v>55.73446</v>
      </c>
      <c r="E3119" t="n">
        <v>37.59542</v>
      </c>
      <c r="F3119" t="inlineStr"/>
      <c r="G3119" t="inlineStr"/>
      <c r="H3119" t="inlineStr"/>
    </row>
    <row r="3120">
      <c r="A3120" t="inlineStr">
        <is>
          <t>adb3be11-6bd7-4fe4-9980-8b7f1586c49b.jpg</t>
        </is>
      </c>
      <c r="B3120">
        <f>HYPERLINK("Объекты недвижимости, не соответствующие градостроительным нормам_00-022_Август/adb3be11-6bd7-4fe4-9980-8b7f1586c49b.jpg","open")</f>
        <v/>
      </c>
      <c r="C3120" t="inlineStr">
        <is>
          <t>d2c4eccd-3e4b-406c-a903-0f5e43d0be35</t>
        </is>
      </c>
      <c r="D3120" t="n">
        <v>55.98158</v>
      </c>
      <c r="E3120" t="n">
        <v>37.40747</v>
      </c>
      <c r="F3120" t="inlineStr"/>
      <c r="G3120" t="inlineStr"/>
      <c r="H3120" t="inlineStr"/>
    </row>
    <row r="3121">
      <c r="A3121" t="inlineStr">
        <is>
          <t>bdbf12ea-c57c-4063-a939-e01414df00b4.jpg</t>
        </is>
      </c>
      <c r="B3121">
        <f>HYPERLINK("Объекты недвижимости, не соответствующие градостроительным нормам_00-022_Август/bdbf12ea-c57c-4063-a939-e01414df00b4.jpg","open")</f>
        <v/>
      </c>
      <c r="C3121" t="inlineStr">
        <is>
          <t>cbf95b01-f708-45a3-9ec0-3603469b538e</t>
        </is>
      </c>
      <c r="D3121" t="n">
        <v>55.73446</v>
      </c>
      <c r="E3121" t="n">
        <v>37.59542</v>
      </c>
      <c r="F3121" t="inlineStr"/>
      <c r="G3121" t="inlineStr"/>
      <c r="H3121" t="inlineStr"/>
    </row>
    <row r="3122">
      <c r="A3122" t="inlineStr">
        <is>
          <t>729ae22e-7529-4eae-8712-fbfbb001dc8b.jpg</t>
        </is>
      </c>
      <c r="B3122">
        <f>HYPERLINK("Объекты недвижимости, не соответствующие градостроительным нормам_00-022_Август/729ae22e-7529-4eae-8712-fbfbb001dc8b.jpg","open")</f>
        <v/>
      </c>
      <c r="C3122" t="inlineStr">
        <is>
          <t>a1a9db89-3f74-42ef-8fad-ad69705102cd</t>
        </is>
      </c>
      <c r="D3122" t="n">
        <v>55.73446</v>
      </c>
      <c r="E3122" t="n">
        <v>37.59542</v>
      </c>
      <c r="F3122" t="inlineStr"/>
      <c r="G3122" t="inlineStr"/>
      <c r="H3122" t="inlineStr"/>
    </row>
    <row r="3123">
      <c r="A3123" t="inlineStr">
        <is>
          <t>39710356-c00d-4e63-84c7-95f936aebbaa.jpg</t>
        </is>
      </c>
      <c r="B3123">
        <f>HYPERLINK("Объекты недвижимости, не соответствующие градостроительным нормам_00-022_Август/39710356-c00d-4e63-84c7-95f936aebbaa.jpg","open")</f>
        <v/>
      </c>
      <c r="C3123" t="inlineStr">
        <is>
          <t>936502dd-24a4-4256-9fdf-0d8fb72af3ed</t>
        </is>
      </c>
      <c r="D3123" t="n">
        <v>55.62424</v>
      </c>
      <c r="E3123" t="n">
        <v>37.70829</v>
      </c>
      <c r="F3123" t="inlineStr"/>
      <c r="G3123" t="inlineStr"/>
      <c r="H3123" t="inlineStr"/>
    </row>
    <row r="3124">
      <c r="A3124" t="inlineStr">
        <is>
          <t>2383ece0-78f4-4df2-bae6-b54952319d7f.jpg</t>
        </is>
      </c>
      <c r="B3124">
        <f>HYPERLINK("Объекты недвижимости, не соответствующие градостроительным нормам_00-022_Август/2383ece0-78f4-4df2-bae6-b54952319d7f.jpg","open")</f>
        <v/>
      </c>
      <c r="C3124" t="inlineStr">
        <is>
          <t>cbf95b01-f708-45a3-9ec0-3603469b538e</t>
        </is>
      </c>
      <c r="D3124" t="n">
        <v>55.73446</v>
      </c>
      <c r="E3124" t="n">
        <v>37.59542</v>
      </c>
      <c r="F3124" t="inlineStr"/>
      <c r="G3124" t="inlineStr"/>
      <c r="H3124" t="inlineStr"/>
    </row>
    <row r="3125">
      <c r="A3125" t="inlineStr">
        <is>
          <t>7cfb3cdb-274f-4720-a94a-86295f2ad900.jpg</t>
        </is>
      </c>
      <c r="B3125">
        <f>HYPERLINK("Объекты недвижимости, не соответствующие градостроительным нормам_00-022_Август/7cfb3cdb-274f-4720-a94a-86295f2ad900.jpg","open")</f>
        <v/>
      </c>
      <c r="C3125" t="inlineStr">
        <is>
          <t>cbf95b01-f708-45a3-9ec0-3603469b538e</t>
        </is>
      </c>
      <c r="D3125" t="n">
        <v>55.73446</v>
      </c>
      <c r="E3125" t="n">
        <v>37.59542</v>
      </c>
      <c r="F3125" t="inlineStr"/>
      <c r="G3125" t="inlineStr"/>
      <c r="H3125" t="inlineStr"/>
    </row>
    <row r="3126">
      <c r="A3126" t="inlineStr">
        <is>
          <t>163ee908-1bdd-446c-a09f-fd03db31ccbf.jpg</t>
        </is>
      </c>
      <c r="B3126">
        <f>HYPERLINK("Объекты недвижимости, не соответствующие градостроительным нормам_00-022_Август/163ee908-1bdd-446c-a09f-fd03db31ccbf.jpg","open")</f>
        <v/>
      </c>
      <c r="C3126" t="inlineStr">
        <is>
          <t>61936922-4d4b-458e-80ea-6d4c450aa1d5</t>
        </is>
      </c>
      <c r="D3126" t="n">
        <v>55.76508</v>
      </c>
      <c r="E3126" t="n">
        <v>37.6555</v>
      </c>
      <c r="F3126" t="inlineStr"/>
      <c r="G3126" t="inlineStr"/>
      <c r="H3126" t="inlineStr"/>
    </row>
    <row r="3127">
      <c r="A3127" t="inlineStr">
        <is>
          <t>c22d8526-96d1-494c-8cd6-95ec4a62e643.jpg</t>
        </is>
      </c>
      <c r="B3127">
        <f>HYPERLINK("Объекты недвижимости, не соответствующие градостроительным нормам_00-022_Август/c22d8526-96d1-494c-8cd6-95ec4a62e643.jpg","open")</f>
        <v/>
      </c>
      <c r="C3127" t="inlineStr">
        <is>
          <t>9fb3d110-951f-48da-9d90-cfd7e1b5800d</t>
        </is>
      </c>
      <c r="D3127" t="n">
        <v>55.76508</v>
      </c>
      <c r="E3127" t="n">
        <v>37.6555</v>
      </c>
      <c r="F3127" t="inlineStr"/>
      <c r="G3127" t="inlineStr"/>
      <c r="H3127" t="inlineStr"/>
    </row>
    <row r="3128">
      <c r="A3128" t="inlineStr">
        <is>
          <t>0750b03f-5096-4c95-bd73-f9c5bdb2d841.jpg</t>
        </is>
      </c>
      <c r="B3128">
        <f>HYPERLINK("Объекты недвижимости, не соответствующие градостроительным нормам_00-022_Август/0750b03f-5096-4c95-bd73-f9c5bdb2d841.jpg","open")</f>
        <v/>
      </c>
      <c r="C3128" t="inlineStr">
        <is>
          <t>a1a9db89-3f74-42ef-8fad-ad69705102cd</t>
        </is>
      </c>
      <c r="D3128" t="n">
        <v>55.73446</v>
      </c>
      <c r="E3128" t="n">
        <v>37.59542</v>
      </c>
      <c r="F3128" t="inlineStr"/>
      <c r="G3128" t="inlineStr"/>
      <c r="H3128" t="inlineStr"/>
    </row>
    <row r="3129">
      <c r="A3129" t="inlineStr">
        <is>
          <t>30eba903-7ccd-439f-8b01-c8c8d18cd192.jpg</t>
        </is>
      </c>
      <c r="B3129">
        <f>HYPERLINK("Объекты недвижимости, не соответствующие градостроительным нормам_00-022_Август/30eba903-7ccd-439f-8b01-c8c8d18cd192.jpg","open")</f>
        <v/>
      </c>
      <c r="C3129" t="inlineStr">
        <is>
          <t>cbf95b01-f708-45a3-9ec0-3603469b538e</t>
        </is>
      </c>
      <c r="D3129" t="n">
        <v>55.73446</v>
      </c>
      <c r="E3129" t="n">
        <v>37.59542</v>
      </c>
      <c r="F3129" t="inlineStr"/>
      <c r="G3129" t="inlineStr"/>
      <c r="H3129" t="inlineStr"/>
    </row>
    <row r="3130">
      <c r="A3130" t="inlineStr">
        <is>
          <t>dba5b94a-d2b7-4a0e-a28c-558f96d9db93.jpg</t>
        </is>
      </c>
      <c r="B3130">
        <f>HYPERLINK("Объекты недвижимости, не соответствующие градостроительным нормам_00-022_Август/dba5b94a-d2b7-4a0e-a28c-558f96d9db93.jpg","open")</f>
        <v/>
      </c>
      <c r="C3130" t="inlineStr">
        <is>
          <t>cbf95b01-f708-45a3-9ec0-3603469b538e</t>
        </is>
      </c>
      <c r="D3130" t="n">
        <v>55.73446</v>
      </c>
      <c r="E3130" t="n">
        <v>37.59542</v>
      </c>
      <c r="F3130" t="inlineStr"/>
      <c r="G3130" t="inlineStr"/>
      <c r="H3130" t="inlineStr"/>
    </row>
    <row r="3131">
      <c r="A3131" t="inlineStr">
        <is>
          <t>293db6ec-4a55-4423-acaf-b4a4490c5a63.jpg</t>
        </is>
      </c>
      <c r="B3131">
        <f>HYPERLINK("Объекты недвижимости, не соответствующие градостроительным нормам_00-022_Август/293db6ec-4a55-4423-acaf-b4a4490c5a63.jpg","open")</f>
        <v/>
      </c>
      <c r="C3131" t="inlineStr">
        <is>
          <t>a1a9db89-3f74-42ef-8fad-ad69705102cd</t>
        </is>
      </c>
      <c r="D3131" t="n">
        <v>55.73446</v>
      </c>
      <c r="E3131" t="n">
        <v>37.59542</v>
      </c>
      <c r="F3131" t="inlineStr"/>
      <c r="G3131" t="inlineStr"/>
      <c r="H3131" t="inlineStr"/>
    </row>
    <row r="3132">
      <c r="A3132" t="inlineStr">
        <is>
          <t>c2ded82c-74a2-4917-8e8e-6dcbfe3cc15d.jpg</t>
        </is>
      </c>
      <c r="B3132">
        <f>HYPERLINK("Объекты недвижимости, не соответствующие градостроительным нормам_00-022_Август/c2ded82c-74a2-4917-8e8e-6dcbfe3cc15d.jpg","open")</f>
        <v/>
      </c>
      <c r="C3132" t="inlineStr">
        <is>
          <t>a1a9db89-3f74-42ef-8fad-ad69705102cd</t>
        </is>
      </c>
      <c r="D3132" t="n">
        <v>55.73446</v>
      </c>
      <c r="E3132" t="n">
        <v>37.59542</v>
      </c>
      <c r="F3132" t="inlineStr"/>
      <c r="G3132" t="inlineStr"/>
      <c r="H3132" t="inlineStr"/>
    </row>
    <row r="3133">
      <c r="A3133" t="inlineStr">
        <is>
          <t>23fcca7c-024a-41ea-9693-070bc45982eb.jpg</t>
        </is>
      </c>
      <c r="B3133">
        <f>HYPERLINK("Объекты недвижимости, не соответствующие градостроительным нормам_00-022_Август/23fcca7c-024a-41ea-9693-070bc45982eb.jpg","open")</f>
        <v/>
      </c>
      <c r="C3133" t="inlineStr">
        <is>
          <t>cbf95b01-f708-45a3-9ec0-3603469b538e</t>
        </is>
      </c>
      <c r="D3133" t="n">
        <v>55.73446</v>
      </c>
      <c r="E3133" t="n">
        <v>37.59542</v>
      </c>
      <c r="F3133" t="inlineStr"/>
      <c r="G3133" t="inlineStr"/>
      <c r="H3133" t="inlineStr"/>
    </row>
    <row r="3134">
      <c r="A3134" t="inlineStr">
        <is>
          <t>e5938f66-0267-4125-bcb3-470aad9edb37.jpg</t>
        </is>
      </c>
      <c r="B3134">
        <f>HYPERLINK("Объекты недвижимости, не соответствующие градостроительным нормам_00-022_Август/e5938f66-0267-4125-bcb3-470aad9edb37.jpg","open")</f>
        <v/>
      </c>
      <c r="C3134" t="inlineStr">
        <is>
          <t>7b951050-981e-4ccd-816e-e002f271ab6a</t>
        </is>
      </c>
      <c r="D3134" t="n">
        <v>55.78759</v>
      </c>
      <c r="E3134" t="n">
        <v>37.71751</v>
      </c>
      <c r="F3134" t="inlineStr"/>
      <c r="G3134" t="inlineStr"/>
      <c r="H3134" t="inlineStr"/>
    </row>
    <row r="3135">
      <c r="A3135" t="inlineStr">
        <is>
          <t>d024b74b-55e3-4141-b3df-51f9ec095a76.jpg</t>
        </is>
      </c>
      <c r="B3135">
        <f>HYPERLINK("Объекты недвижимости, не соответствующие градостроительным нормам_00-022_Август/d024b74b-55e3-4141-b3df-51f9ec095a76.jpg","open")</f>
        <v/>
      </c>
      <c r="C3135" t="inlineStr">
        <is>
          <t>685d9054-b74f-49ab-857b-109fd2cec80d</t>
        </is>
      </c>
      <c r="D3135" t="n">
        <v>56.07032</v>
      </c>
      <c r="E3135" t="n">
        <v>39.69498</v>
      </c>
      <c r="F3135" t="inlineStr"/>
      <c r="G3135" t="inlineStr"/>
      <c r="H3135" t="inlineStr"/>
    </row>
    <row r="3136">
      <c r="A3136" t="inlineStr">
        <is>
          <t>3e44236e-e2fa-43fa-9b99-7268b28a7103.jpg</t>
        </is>
      </c>
      <c r="B3136">
        <f>HYPERLINK("Объекты недвижимости, не соответствующие градостроительным нормам_00-022_Август/3e44236e-e2fa-43fa-9b99-7268b28a7103.jpg","open")</f>
        <v/>
      </c>
      <c r="C3136" t="inlineStr">
        <is>
          <t>9fb3d110-951f-48da-9d90-cfd7e1b5800d</t>
        </is>
      </c>
      <c r="D3136" t="n">
        <v>55.73274</v>
      </c>
      <c r="E3136" t="n">
        <v>37.53875</v>
      </c>
      <c r="F3136" t="inlineStr"/>
      <c r="G3136" t="inlineStr"/>
      <c r="H3136" t="inlineStr"/>
    </row>
    <row r="3137">
      <c r="A3137" t="inlineStr">
        <is>
          <t>9d2e8a44-3926-4235-ab6d-cdc48003d342.jpg</t>
        </is>
      </c>
      <c r="B3137">
        <f>HYPERLINK("Объекты недвижимости, не соответствующие градостроительным нормам_00-022_Август/9d2e8a44-3926-4235-ab6d-cdc48003d342.jpg","open")</f>
        <v/>
      </c>
      <c r="C3137" t="inlineStr">
        <is>
          <t>9fb3d110-951f-48da-9d90-cfd7e1b5800d</t>
        </is>
      </c>
      <c r="D3137" t="n">
        <v>55.73288</v>
      </c>
      <c r="E3137" t="n">
        <v>37.53846</v>
      </c>
      <c r="F3137" t="inlineStr"/>
      <c r="G3137" t="inlineStr"/>
      <c r="H3137" t="inlineStr"/>
    </row>
    <row r="3138">
      <c r="A3138" t="inlineStr">
        <is>
          <t>3e9098ad-f44f-42d9-a21a-0a58523ff69d.jpg</t>
        </is>
      </c>
      <c r="B3138">
        <f>HYPERLINK("Объекты недвижимости, не соответствующие градостроительным нормам_00-022_Август/3e9098ad-f44f-42d9-a21a-0a58523ff69d.jpg","open")</f>
        <v/>
      </c>
      <c r="C3138" t="inlineStr">
        <is>
          <t>31a713a9-b910-424b-b847-e0eaa2f70c70</t>
        </is>
      </c>
      <c r="D3138" t="n">
        <v>55.93781</v>
      </c>
      <c r="E3138" t="n">
        <v>37.54998</v>
      </c>
      <c r="F3138" t="inlineStr"/>
      <c r="G3138" t="inlineStr"/>
      <c r="H3138" t="inlineStr"/>
    </row>
    <row r="3139">
      <c r="A3139" t="inlineStr">
        <is>
          <t>77ec26c2-53ef-4dcd-bbd3-990ffbea2480.jpg</t>
        </is>
      </c>
      <c r="B3139">
        <f>HYPERLINK("Объекты недвижимости, не соответствующие градостроительным нормам_00-022_Август/77ec26c2-53ef-4dcd-bbd3-990ffbea2480.jpg","open")</f>
        <v/>
      </c>
      <c r="C3139" t="inlineStr">
        <is>
          <t>f60286ac-55e7-4099-85bd-cc599a7a0c65</t>
        </is>
      </c>
      <c r="D3139" t="n">
        <v>55.73964</v>
      </c>
      <c r="E3139" t="n">
        <v>37.78026</v>
      </c>
      <c r="F3139" t="inlineStr"/>
      <c r="G3139" t="inlineStr"/>
      <c r="H3139" t="inlineStr"/>
    </row>
    <row r="3140">
      <c r="A3140" t="inlineStr">
        <is>
          <t>601a6cee-b16c-45e7-94e5-d9f249880060.jpg</t>
        </is>
      </c>
      <c r="B3140">
        <f>HYPERLINK("Объекты недвижимости, не соответствующие градостроительным нормам_00-022_Август/601a6cee-b16c-45e7-94e5-d9f249880060.jpg","open")</f>
        <v/>
      </c>
      <c r="C3140" t="inlineStr">
        <is>
          <t>fce890a6-27da-4062-a046-08262a160ee6</t>
        </is>
      </c>
      <c r="D3140" t="n">
        <v>55.77391</v>
      </c>
      <c r="E3140" t="n">
        <v>37.62019</v>
      </c>
      <c r="F3140" t="inlineStr"/>
      <c r="G3140" t="inlineStr"/>
      <c r="H3140" t="inlineStr"/>
    </row>
    <row r="3141">
      <c r="A3141" t="inlineStr">
        <is>
          <t>14d0df38-261b-4690-b911-45e53835a8e5.jpg</t>
        </is>
      </c>
      <c r="B3141">
        <f>HYPERLINK("Объекты недвижимости, не соответствующие градостроительным нормам_00-022_Август/14d0df38-261b-4690-b911-45e53835a8e5.jpg","open")</f>
        <v/>
      </c>
      <c r="C3141" t="inlineStr">
        <is>
          <t>cbf95b01-f708-45a3-9ec0-3603469b538e</t>
        </is>
      </c>
      <c r="D3141" t="n">
        <v>55.73446</v>
      </c>
      <c r="E3141" t="n">
        <v>37.59542</v>
      </c>
      <c r="F3141" t="inlineStr"/>
      <c r="G3141" t="inlineStr"/>
      <c r="H3141" t="inlineStr"/>
    </row>
    <row r="3142">
      <c r="A3142" t="inlineStr">
        <is>
          <t>d4cac8ea-909c-455a-98b0-0510278acdb1.jpg</t>
        </is>
      </c>
      <c r="B3142">
        <f>HYPERLINK("Объекты недвижимости, не соответствующие градостроительным нормам_00-022_Август/d4cac8ea-909c-455a-98b0-0510278acdb1.jpg","open")</f>
        <v/>
      </c>
      <c r="C3142" t="inlineStr">
        <is>
          <t>b6b3590f-f506-4399-8205-e7ac710132e7</t>
        </is>
      </c>
      <c r="D3142" t="n">
        <v>55.81001</v>
      </c>
      <c r="E3142" t="n">
        <v>37.53592</v>
      </c>
      <c r="F3142" t="inlineStr"/>
      <c r="G3142" t="inlineStr"/>
      <c r="H3142" t="inlineStr"/>
    </row>
    <row r="3143">
      <c r="A3143" t="inlineStr">
        <is>
          <t>4b724e0c-f205-46fc-a597-5d3c39419f63.jpg</t>
        </is>
      </c>
      <c r="B3143">
        <f>HYPERLINK("Объекты недвижимости, не соответствующие градостроительным нормам_00-022_Август/4b724e0c-f205-46fc-a597-5d3c39419f63.jpg","open")</f>
        <v/>
      </c>
      <c r="C3143" t="inlineStr">
        <is>
          <t>7b951050-981e-4ccd-816e-e002f271ab6a</t>
        </is>
      </c>
      <c r="D3143" t="n">
        <v>55.78759</v>
      </c>
      <c r="E3143" t="n">
        <v>37.71751</v>
      </c>
      <c r="F3143" t="inlineStr"/>
      <c r="G3143" t="inlineStr"/>
      <c r="H3143" t="inlineStr"/>
    </row>
    <row r="3144">
      <c r="A3144" t="inlineStr">
        <is>
          <t>14eef8e8-950e-40a8-9b3c-963d2db1f2a2.jpg</t>
        </is>
      </c>
      <c r="B3144">
        <f>HYPERLINK("Объекты недвижимости, не соответствующие градостроительным нормам_00-022_Август/14eef8e8-950e-40a8-9b3c-963d2db1f2a2.jpg","open")</f>
        <v/>
      </c>
      <c r="C3144" t="inlineStr">
        <is>
          <t>91248771-2c4d-44f3-b3cf-d536bd4ae73c</t>
        </is>
      </c>
      <c r="D3144" t="n">
        <v>55.78759</v>
      </c>
      <c r="E3144" t="n">
        <v>37.71751</v>
      </c>
      <c r="F3144" t="inlineStr"/>
      <c r="G3144" t="inlineStr"/>
      <c r="H3144" t="inlineStr"/>
    </row>
    <row r="3145">
      <c r="A3145" t="inlineStr">
        <is>
          <t>8c5c9635-1b4a-4e44-a5f9-12c8a724a0c3.jpg</t>
        </is>
      </c>
      <c r="B3145">
        <f>HYPERLINK("Объекты недвижимости, не соответствующие градостроительным нормам_00-022_Август/8c5c9635-1b4a-4e44-a5f9-12c8a724a0c3.jpg","open")</f>
        <v/>
      </c>
      <c r="C3145" t="inlineStr">
        <is>
          <t>9fb3d110-951f-48da-9d90-cfd7e1b5800d</t>
        </is>
      </c>
      <c r="D3145" t="n">
        <v>55.73254</v>
      </c>
      <c r="E3145" t="n">
        <v>37.53138</v>
      </c>
      <c r="F3145" t="inlineStr"/>
      <c r="G3145" t="inlineStr"/>
      <c r="H3145" t="inlineStr"/>
    </row>
    <row r="3146">
      <c r="A3146" t="inlineStr">
        <is>
          <t>24c7699d-bd87-41c2-b330-022a6f66a816.jpg</t>
        </is>
      </c>
      <c r="B3146">
        <f>HYPERLINK("Объекты недвижимости, не соответствующие градостроительным нормам_00-022_Август/24c7699d-bd87-41c2-b330-022a6f66a816.jpg","open")</f>
        <v/>
      </c>
      <c r="C3146" t="inlineStr">
        <is>
          <t>8cde1fd0-eca1-4510-86ab-3c743b65fdfc</t>
        </is>
      </c>
      <c r="D3146" t="n">
        <v>55.74355</v>
      </c>
      <c r="E3146" t="n">
        <v>37.85854</v>
      </c>
      <c r="F3146" t="inlineStr"/>
      <c r="G3146" t="inlineStr"/>
      <c r="H3146" t="inlineStr"/>
    </row>
    <row r="3147">
      <c r="A3147" t="inlineStr">
        <is>
          <t>b1f4d6c9-ae44-4161-bffa-372aef1896ee.jpg</t>
        </is>
      </c>
      <c r="B3147">
        <f>HYPERLINK("Объекты недвижимости, не соответствующие градостроительным нормам_00-022_Август/b1f4d6c9-ae44-4161-bffa-372aef1896ee.jpg","open")</f>
        <v/>
      </c>
      <c r="C3147" t="inlineStr">
        <is>
          <t>12e795ad-2aa7-49de-b2da-2c6aa35a4559</t>
        </is>
      </c>
      <c r="D3147" t="n">
        <v>55.68785</v>
      </c>
      <c r="E3147" t="n">
        <v>37.57292</v>
      </c>
      <c r="F3147" t="inlineStr"/>
      <c r="G3147" t="inlineStr"/>
      <c r="H3147" t="inlineStr"/>
    </row>
    <row r="3148">
      <c r="A3148" t="inlineStr">
        <is>
          <t>873262b1-7fac-499a-80be-ae2d88a8359f.jpg</t>
        </is>
      </c>
      <c r="B3148">
        <f>HYPERLINK("Объекты недвижимости, не соответствующие градостроительным нормам_00-022_Август/873262b1-7fac-499a-80be-ae2d88a8359f.jpg","open")</f>
        <v/>
      </c>
      <c r="C3148" t="inlineStr">
        <is>
          <t>fce890a6-27da-4062-a046-08262a160ee6</t>
        </is>
      </c>
      <c r="D3148" t="n">
        <v>55.77391</v>
      </c>
      <c r="E3148" t="n">
        <v>37.62019</v>
      </c>
      <c r="F3148" t="inlineStr"/>
      <c r="G3148" t="inlineStr"/>
      <c r="H3148" t="inlineStr"/>
    </row>
    <row r="3149">
      <c r="A3149" t="inlineStr">
        <is>
          <t>916be3fa-7512-499a-a642-1299c882e7a2.jpg</t>
        </is>
      </c>
      <c r="B3149">
        <f>HYPERLINK("Объекты недвижимости, не соответствующие градостроительным нормам_00-022_Август/916be3fa-7512-499a-a642-1299c882e7a2.jpg","open")</f>
        <v/>
      </c>
      <c r="C3149" t="inlineStr">
        <is>
          <t>b6b3590f-f506-4399-8205-e7ac710132e7</t>
        </is>
      </c>
      <c r="D3149" t="n">
        <v>55.80998</v>
      </c>
      <c r="E3149" t="n">
        <v>37.5358</v>
      </c>
      <c r="F3149" t="inlineStr"/>
      <c r="G3149" t="inlineStr"/>
      <c r="H3149" t="inlineStr"/>
    </row>
    <row r="3150">
      <c r="A3150" t="inlineStr">
        <is>
          <t>3dcd184f-cb49-45fd-b554-b98d3af72129.jpg</t>
        </is>
      </c>
      <c r="B3150">
        <f>HYPERLINK("Объекты недвижимости, не соответствующие градостроительным нормам_00-022_Август/3dcd184f-cb49-45fd-b554-b98d3af72129.jpg","open")</f>
        <v/>
      </c>
      <c r="C3150" t="inlineStr">
        <is>
          <t>8cde1fd0-eca1-4510-86ab-3c743b65fdfc</t>
        </is>
      </c>
      <c r="D3150" t="n">
        <v>55.73275</v>
      </c>
      <c r="E3150" t="n">
        <v>37.84137</v>
      </c>
      <c r="F3150" t="inlineStr"/>
      <c r="G3150" t="inlineStr"/>
      <c r="H3150" t="inlineStr"/>
    </row>
    <row r="3151">
      <c r="A3151" t="inlineStr">
        <is>
          <t>764de666-732e-4759-8c13-2a78a118ec10.jpg</t>
        </is>
      </c>
      <c r="B3151">
        <f>HYPERLINK("Объекты недвижимости, не соответствующие градостроительным нормам_00-022_Август/764de666-732e-4759-8c13-2a78a118ec10.jpg","open")</f>
        <v/>
      </c>
      <c r="C3151" t="inlineStr">
        <is>
          <t>936502dd-24a4-4256-9fdf-0d8fb72af3ed</t>
        </is>
      </c>
      <c r="D3151" t="n">
        <v>55.61787</v>
      </c>
      <c r="E3151" t="n">
        <v>37.69774</v>
      </c>
      <c r="F3151" t="inlineStr"/>
      <c r="G3151" t="inlineStr"/>
      <c r="H3151" t="inlineStr"/>
    </row>
    <row r="3152">
      <c r="A3152" t="inlineStr">
        <is>
          <t>cecaa92f-4a8e-4c44-9879-e2d014af9804.jpg</t>
        </is>
      </c>
      <c r="B3152">
        <f>HYPERLINK("Объекты недвижимости, не соответствующие градостроительным нормам_00-022_Август/cecaa92f-4a8e-4c44-9879-e2d014af9804.jpg","open")</f>
        <v/>
      </c>
      <c r="C3152" t="inlineStr">
        <is>
          <t>9f88688f-4c81-42a8-b76a-3c3e7edf869e</t>
        </is>
      </c>
      <c r="D3152" t="n">
        <v>55.96365</v>
      </c>
      <c r="E3152" t="n">
        <v>37.40636</v>
      </c>
      <c r="F3152" t="inlineStr"/>
      <c r="G3152" t="inlineStr"/>
      <c r="H3152" t="inlineStr"/>
    </row>
    <row r="3153">
      <c r="A3153" t="inlineStr">
        <is>
          <t>23ed5302-86e6-4742-bd0e-acecb073b4c2.jpg</t>
        </is>
      </c>
      <c r="B3153">
        <f>HYPERLINK("Объекты недвижимости, не соответствующие градостроительным нормам_00-022_Август/23ed5302-86e6-4742-bd0e-acecb073b4c2.jpg","open")</f>
        <v/>
      </c>
      <c r="C3153" t="inlineStr">
        <is>
          <t>a1a9db89-3f74-42ef-8fad-ad69705102cd</t>
        </is>
      </c>
      <c r="D3153" t="n">
        <v>55.7592</v>
      </c>
      <c r="E3153" t="n">
        <v>37.57889</v>
      </c>
      <c r="F3153" t="inlineStr"/>
      <c r="G3153" t="inlineStr"/>
      <c r="H3153" t="inlineStr"/>
    </row>
    <row r="3154">
      <c r="A3154" t="inlineStr">
        <is>
          <t>a2eeb99e-57e6-4e48-a61e-9b1671dbf013.jpg</t>
        </is>
      </c>
      <c r="B3154">
        <f>HYPERLINK("Объекты недвижимости, не соответствующие градостроительным нормам_00-022_Август/a2eeb99e-57e6-4e48-a61e-9b1671dbf013.jpg","open")</f>
        <v/>
      </c>
      <c r="C3154" t="inlineStr">
        <is>
          <t>cbf95b01-f708-45a3-9ec0-3603469b538e</t>
        </is>
      </c>
      <c r="D3154" t="n">
        <v>55.7592</v>
      </c>
      <c r="E3154" t="n">
        <v>37.57889</v>
      </c>
      <c r="F3154" t="inlineStr"/>
      <c r="G3154" t="inlineStr"/>
      <c r="H3154" t="inlineStr"/>
    </row>
    <row r="3155">
      <c r="A3155" t="inlineStr">
        <is>
          <t>991a210d-9a39-4fe2-8f13-e48e5aba65d5.jpg</t>
        </is>
      </c>
      <c r="B3155">
        <f>HYPERLINK("Объекты недвижимости, не соответствующие градостроительным нормам_00-022_Август/991a210d-9a39-4fe2-8f13-e48e5aba65d5.jpg","open")</f>
        <v/>
      </c>
      <c r="C3155" t="inlineStr">
        <is>
          <t>8cde1fd0-eca1-4510-86ab-3c743b65fdfc</t>
        </is>
      </c>
      <c r="D3155" t="n">
        <v>55.74298</v>
      </c>
      <c r="E3155" t="n">
        <v>37.8828</v>
      </c>
      <c r="F3155" t="inlineStr"/>
      <c r="G3155" t="inlineStr"/>
      <c r="H3155" t="inlineStr"/>
    </row>
    <row r="3156">
      <c r="A3156" t="inlineStr">
        <is>
          <t>91f1bdd2-22b6-4b69-a28a-84409e3247f6.jpg</t>
        </is>
      </c>
      <c r="B3156">
        <f>HYPERLINK("Объекты недвижимости, не соответствующие градостроительным нормам_00-022_Август/91f1bdd2-22b6-4b69-a28a-84409e3247f6.jpg","open")</f>
        <v/>
      </c>
      <c r="C3156" t="inlineStr">
        <is>
          <t>8cde1fd0-eca1-4510-86ab-3c743b65fdfc</t>
        </is>
      </c>
      <c r="D3156" t="n">
        <v>55.74268</v>
      </c>
      <c r="E3156" t="n">
        <v>37.88637</v>
      </c>
      <c r="F3156" t="inlineStr"/>
      <c r="G3156" t="inlineStr"/>
      <c r="H3156" t="inlineStr"/>
    </row>
    <row r="3157">
      <c r="A3157" t="inlineStr">
        <is>
          <t>0d275f10-f694-48f1-812f-1f590f9cb984.jpg</t>
        </is>
      </c>
      <c r="B3157">
        <f>HYPERLINK("Объекты недвижимости, не соответствующие градостроительным нормам_00-022_Август/0d275f10-f694-48f1-812f-1f590f9cb984.jpg","open")</f>
        <v/>
      </c>
      <c r="C3157" t="inlineStr">
        <is>
          <t>cbf95b01-f708-45a3-9ec0-3603469b538e</t>
        </is>
      </c>
      <c r="D3157" t="n">
        <v>55.75983</v>
      </c>
      <c r="E3157" t="n">
        <v>37.5791</v>
      </c>
      <c r="F3157" t="inlineStr"/>
      <c r="G3157" t="inlineStr"/>
      <c r="H3157" t="inlineStr"/>
    </row>
    <row r="3158">
      <c r="A3158" t="inlineStr">
        <is>
          <t>b8bb517f-eeee-4581-a16f-52ed7c2cdd7e.jpg</t>
        </is>
      </c>
      <c r="B3158">
        <f>HYPERLINK("Объекты недвижимости, не соответствующие градостроительным нормам_00-022_Август/b8bb517f-eeee-4581-a16f-52ed7c2cdd7e.jpg","open")</f>
        <v/>
      </c>
      <c r="C3158" t="inlineStr">
        <is>
          <t>cbf95b01-f708-45a3-9ec0-3603469b538e</t>
        </is>
      </c>
      <c r="D3158" t="n">
        <v>55.75971</v>
      </c>
      <c r="E3158" t="n">
        <v>37.57907</v>
      </c>
      <c r="F3158" t="inlineStr"/>
      <c r="G3158" t="inlineStr"/>
      <c r="H3158" t="inlineStr"/>
    </row>
    <row r="3159">
      <c r="A3159" t="inlineStr">
        <is>
          <t>67196640-615f-484e-b2a7-8d7f95313b3c.jpg</t>
        </is>
      </c>
      <c r="B3159">
        <f>HYPERLINK("Объекты недвижимости, не соответствующие градостроительным нормам_00-022_Август/67196640-615f-484e-b2a7-8d7f95313b3c.jpg","open")</f>
        <v/>
      </c>
      <c r="C3159" t="inlineStr">
        <is>
          <t>cbf95b01-f708-45a3-9ec0-3603469b538e</t>
        </is>
      </c>
      <c r="D3159" t="n">
        <v>55.75983</v>
      </c>
      <c r="E3159" t="n">
        <v>37.57889</v>
      </c>
      <c r="F3159" t="inlineStr"/>
      <c r="G3159" t="inlineStr"/>
      <c r="H3159" t="inlineStr"/>
    </row>
    <row r="3160">
      <c r="A3160" t="inlineStr">
        <is>
          <t>33f4bc12-8818-4457-9b73-29a655423f75.jpg</t>
        </is>
      </c>
      <c r="B3160">
        <f>HYPERLINK("Объекты недвижимости, не соответствующие градостроительным нормам_00-022_Август/33f4bc12-8818-4457-9b73-29a655423f75.jpg","open")</f>
        <v/>
      </c>
      <c r="C3160" t="inlineStr">
        <is>
          <t>cbf95b01-f708-45a3-9ec0-3603469b538e</t>
        </is>
      </c>
      <c r="D3160" t="n">
        <v>55.75983</v>
      </c>
      <c r="E3160" t="n">
        <v>37.57889</v>
      </c>
      <c r="F3160" t="inlineStr"/>
      <c r="G3160" t="inlineStr"/>
      <c r="H3160" t="inlineStr"/>
    </row>
    <row r="3161">
      <c r="A3161" t="inlineStr">
        <is>
          <t>abe4b764-3fff-4f7a-998b-c12c3252a666.jpg</t>
        </is>
      </c>
      <c r="B3161">
        <f>HYPERLINK("Объекты недвижимости, не соответствующие градостроительным нормам_00-022_Август/abe4b764-3fff-4f7a-998b-c12c3252a666.jpg","open")</f>
        <v/>
      </c>
      <c r="C3161" t="inlineStr">
        <is>
          <t>cbf95b01-f708-45a3-9ec0-3603469b538e</t>
        </is>
      </c>
      <c r="D3161" t="n">
        <v>55.76311</v>
      </c>
      <c r="E3161" t="n">
        <v>37.58025</v>
      </c>
      <c r="F3161" t="inlineStr"/>
      <c r="G3161" t="inlineStr"/>
      <c r="H3161" t="inlineStr"/>
    </row>
    <row r="3162">
      <c r="A3162" t="inlineStr">
        <is>
          <t>0746b2f6-40a1-4fc5-bdca-4704b5312c54.jpg</t>
        </is>
      </c>
      <c r="B3162">
        <f>HYPERLINK("Объекты недвижимости, не соответствующие градостроительным нормам_00-022_Август/0746b2f6-40a1-4fc5-bdca-4704b5312c54.jpg","open")</f>
        <v/>
      </c>
      <c r="C3162" t="inlineStr">
        <is>
          <t>a1a9db89-3f74-42ef-8fad-ad69705102cd</t>
        </is>
      </c>
      <c r="D3162" t="n">
        <v>55.76729</v>
      </c>
      <c r="E3162" t="n">
        <v>37.57926</v>
      </c>
      <c r="F3162" t="inlineStr"/>
      <c r="G3162" t="inlineStr"/>
      <c r="H3162" t="inlineStr"/>
    </row>
    <row r="3163">
      <c r="A3163" t="inlineStr">
        <is>
          <t>7b8067b9-18b1-4a1f-9cef-7cd542b96992.jpg</t>
        </is>
      </c>
      <c r="B3163">
        <f>HYPERLINK("Объекты недвижимости, не соответствующие градостроительным нормам_00-022_Август/7b8067b9-18b1-4a1f-9cef-7cd542b96992.jpg","open")</f>
        <v/>
      </c>
      <c r="C3163" t="inlineStr">
        <is>
          <t>a1a9db89-3f74-42ef-8fad-ad69705102cd</t>
        </is>
      </c>
      <c r="D3163" t="n">
        <v>55.76744</v>
      </c>
      <c r="E3163" t="n">
        <v>37.57935</v>
      </c>
      <c r="F3163" t="inlineStr"/>
      <c r="G3163" t="inlineStr"/>
      <c r="H3163" t="inlineStr"/>
    </row>
    <row r="3164">
      <c r="A3164" t="inlineStr">
        <is>
          <t>834a04a6-9496-47ec-ae6f-b6ef3cbe0710.jpg</t>
        </is>
      </c>
      <c r="B3164">
        <f>HYPERLINK("Объекты недвижимости, не соответствующие градостроительным нормам_00-022_Август/834a04a6-9496-47ec-ae6f-b6ef3cbe0710.jpg","open")</f>
        <v/>
      </c>
      <c r="C3164" t="inlineStr">
        <is>
          <t>cbf95b01-f708-45a3-9ec0-3603469b538e</t>
        </is>
      </c>
      <c r="D3164" t="n">
        <v>55.76765</v>
      </c>
      <c r="E3164" t="n">
        <v>37.57948</v>
      </c>
      <c r="F3164" t="inlineStr"/>
      <c r="G3164" t="inlineStr"/>
      <c r="H3164" t="inlineStr"/>
    </row>
    <row r="3165">
      <c r="A3165" t="inlineStr">
        <is>
          <t>ffe472d0-d71d-4cde-8f1f-359371ee7587.jpg</t>
        </is>
      </c>
      <c r="B3165">
        <f>HYPERLINK("Объекты недвижимости, не соответствующие градостроительным нормам_00-022_Август/ffe472d0-d71d-4cde-8f1f-359371ee7587.jpg","open")</f>
        <v/>
      </c>
      <c r="C3165" t="inlineStr">
        <is>
          <t>a1a9db89-3f74-42ef-8fad-ad69705102cd</t>
        </is>
      </c>
      <c r="D3165" t="n">
        <v>55.76908</v>
      </c>
      <c r="E3165" t="n">
        <v>37.58096</v>
      </c>
      <c r="F3165" t="inlineStr"/>
      <c r="G3165" t="inlineStr"/>
      <c r="H3165" t="inlineStr"/>
    </row>
    <row r="3166">
      <c r="A3166" t="inlineStr">
        <is>
          <t>7872d063-3036-4a28-bc0f-c035185a41fe.jpg</t>
        </is>
      </c>
      <c r="B3166">
        <f>HYPERLINK("Объекты недвижимости, не соответствующие градостроительным нормам_00-022_Август/7872d063-3036-4a28-bc0f-c035185a41fe.jpg","open")</f>
        <v/>
      </c>
      <c r="C3166" t="inlineStr">
        <is>
          <t>685d9054-b74f-49ab-857b-109fd2cec80d</t>
        </is>
      </c>
      <c r="D3166" t="n">
        <v>55.65226</v>
      </c>
      <c r="E3166" t="n">
        <v>37.60424</v>
      </c>
      <c r="F3166" t="inlineStr"/>
      <c r="G3166" t="inlineStr"/>
      <c r="H3166" t="inlineStr"/>
    </row>
    <row r="3167">
      <c r="A3167" t="inlineStr">
        <is>
          <t>ed64a841-adbf-4bd5-bd1c-88e50c9d7558.jpg</t>
        </is>
      </c>
      <c r="B3167">
        <f>HYPERLINK("Объекты недвижимости, не соответствующие градостроительным нормам_00-022_Август/ed64a841-adbf-4bd5-bd1c-88e50c9d7558.jpg","open")</f>
        <v/>
      </c>
      <c r="C3167" t="inlineStr">
        <is>
          <t>1231bbc5-e64c-4dc7-9acc-77710f47607a</t>
        </is>
      </c>
      <c r="D3167" t="n">
        <v>55.65229</v>
      </c>
      <c r="E3167" t="n">
        <v>37.60425</v>
      </c>
      <c r="F3167" t="inlineStr"/>
      <c r="G3167" t="inlineStr"/>
      <c r="H3167" t="inlineStr"/>
    </row>
    <row r="3168">
      <c r="A3168" t="inlineStr">
        <is>
          <t>4c08783e-e7cd-4fbc-85a8-8fd722ee51da.jpg</t>
        </is>
      </c>
      <c r="B3168">
        <f>HYPERLINK("Объекты недвижимости, не соответствующие градостроительным нормам_00-022_Август/4c08783e-e7cd-4fbc-85a8-8fd722ee51da.jpg","open")</f>
        <v/>
      </c>
      <c r="C3168" t="inlineStr">
        <is>
          <t>cbf95b01-f708-45a3-9ec0-3603469b538e</t>
        </is>
      </c>
      <c r="D3168" t="n">
        <v>55.77146</v>
      </c>
      <c r="E3168" t="n">
        <v>37.58397</v>
      </c>
      <c r="F3168" t="inlineStr"/>
      <c r="G3168" t="inlineStr"/>
      <c r="H3168" t="inlineStr"/>
    </row>
    <row r="3169">
      <c r="A3169" t="inlineStr">
        <is>
          <t>8641d61e-58f8-4340-84aa-626e6d21f5e5.jpg</t>
        </is>
      </c>
      <c r="B3169">
        <f>HYPERLINK("Объекты недвижимости, не соответствующие градостроительным нормам_00-022_Август/8641d61e-58f8-4340-84aa-626e6d21f5e5.jpg","open")</f>
        <v/>
      </c>
      <c r="C3169" t="inlineStr">
        <is>
          <t>685d9054-b74f-49ab-857b-109fd2cec80d</t>
        </is>
      </c>
      <c r="D3169" t="n">
        <v>55.64831</v>
      </c>
      <c r="E3169" t="n">
        <v>37.60339</v>
      </c>
      <c r="F3169" t="inlineStr"/>
      <c r="G3169" t="inlineStr"/>
      <c r="H3169" t="inlineStr"/>
    </row>
    <row r="3170">
      <c r="A3170" t="inlineStr">
        <is>
          <t>546b4114-b1e4-4b6a-b502-bfb982f7d090.jpg</t>
        </is>
      </c>
      <c r="B3170">
        <f>HYPERLINK("Объекты недвижимости, не соответствующие градостроительным нормам_00-022_Август/546b4114-b1e4-4b6a-b502-bfb982f7d090.jpg","open")</f>
        <v/>
      </c>
      <c r="C3170" t="inlineStr">
        <is>
          <t>685d9054-b74f-49ab-857b-109fd2cec80d</t>
        </is>
      </c>
      <c r="D3170" t="n">
        <v>55.64822</v>
      </c>
      <c r="E3170" t="n">
        <v>37.60414</v>
      </c>
      <c r="F3170" t="inlineStr"/>
      <c r="G3170" t="inlineStr"/>
      <c r="H3170" t="inlineStr"/>
    </row>
    <row r="3171">
      <c r="A3171" t="inlineStr">
        <is>
          <t>cfde019f-5e2f-453c-991a-d818c951c8cc.jpg</t>
        </is>
      </c>
      <c r="B3171">
        <f>HYPERLINK("Объекты недвижимости, не соответствующие градостроительным нормам_00-022_Август/cfde019f-5e2f-453c-991a-d818c951c8cc.jpg","open")</f>
        <v/>
      </c>
      <c r="C3171" t="inlineStr">
        <is>
          <t>685d9054-b74f-49ab-857b-109fd2cec80d</t>
        </is>
      </c>
      <c r="D3171" t="n">
        <v>55.64814</v>
      </c>
      <c r="E3171" t="n">
        <v>37.60418</v>
      </c>
      <c r="F3171" t="inlineStr"/>
      <c r="G3171" t="inlineStr"/>
      <c r="H3171" t="inlineStr"/>
    </row>
    <row r="3172">
      <c r="A3172" t="inlineStr">
        <is>
          <t>a1205c27-3145-4a89-aa7e-b9ca058d3ebb.jpg</t>
        </is>
      </c>
      <c r="B3172">
        <f>HYPERLINK("Объекты недвижимости, не соответствующие градостроительным нормам_00-022_Август/a1205c27-3145-4a89-aa7e-b9ca058d3ebb.jpg","open")</f>
        <v/>
      </c>
      <c r="C3172" t="inlineStr">
        <is>
          <t>ad64e6b9-1ed5-44d7-a101-4945a1f9dec6</t>
        </is>
      </c>
      <c r="D3172" t="n">
        <v>55.6535</v>
      </c>
      <c r="E3172" t="n">
        <v>37.52122</v>
      </c>
      <c r="F3172" t="inlineStr"/>
      <c r="G3172" t="inlineStr"/>
      <c r="H3172" t="inlineStr"/>
    </row>
    <row r="3173">
      <c r="A3173" t="inlineStr">
        <is>
          <t>24936942-701c-42bf-8e04-9436caef8e1a.jpg</t>
        </is>
      </c>
      <c r="B3173">
        <f>HYPERLINK("Объекты недвижимости, не соответствующие градостроительным нормам_00-022_Август/24936942-701c-42bf-8e04-9436caef8e1a.jpg","open")</f>
        <v/>
      </c>
      <c r="C3173" t="inlineStr">
        <is>
          <t>685d9054-b74f-49ab-857b-109fd2cec80d</t>
        </is>
      </c>
      <c r="D3173" t="n">
        <v>55.64766</v>
      </c>
      <c r="E3173" t="n">
        <v>37.60423</v>
      </c>
      <c r="F3173" t="inlineStr"/>
      <c r="G3173" t="inlineStr"/>
      <c r="H3173" t="inlineStr"/>
    </row>
    <row r="3174">
      <c r="A3174" t="inlineStr">
        <is>
          <t>22b5b4da-04e8-44ad-b4e0-12debfe82074.jpg</t>
        </is>
      </c>
      <c r="B3174">
        <f>HYPERLINK("Объекты недвижимости, не соответствующие градостроительным нормам_00-022_Август/22b5b4da-04e8-44ad-b4e0-12debfe82074.jpg","open")</f>
        <v/>
      </c>
      <c r="C3174" t="inlineStr">
        <is>
          <t>685d9054-b74f-49ab-857b-109fd2cec80d</t>
        </is>
      </c>
      <c r="D3174" t="n">
        <v>55.64813</v>
      </c>
      <c r="E3174" t="n">
        <v>37.60413</v>
      </c>
      <c r="F3174" t="inlineStr"/>
      <c r="G3174" t="inlineStr"/>
      <c r="H3174" t="inlineStr"/>
    </row>
    <row r="3175">
      <c r="A3175" t="inlineStr">
        <is>
          <t>5b0cc349-2113-42bf-aca5-760aebb0f37b.jpg</t>
        </is>
      </c>
      <c r="B3175">
        <f>HYPERLINK("Объекты недвижимости, не соответствующие градостроительным нормам_00-022_Август/5b0cc349-2113-42bf-aca5-760aebb0f37b.jpg","open")</f>
        <v/>
      </c>
      <c r="C3175" t="inlineStr">
        <is>
          <t>1231bbc5-e64c-4dc7-9acc-77710f47607a</t>
        </is>
      </c>
      <c r="D3175" t="n">
        <v>55.64819</v>
      </c>
      <c r="E3175" t="n">
        <v>37.60409</v>
      </c>
      <c r="F3175" t="inlineStr"/>
      <c r="G3175" t="inlineStr"/>
      <c r="H3175" t="inlineStr"/>
    </row>
    <row r="3176">
      <c r="A3176" t="inlineStr">
        <is>
          <t>a64df836-e2d6-4d47-a7e1-9d1b935548dd.jpg</t>
        </is>
      </c>
      <c r="B3176">
        <f>HYPERLINK("Объекты недвижимости, не соответствующие градостроительным нормам_00-022_Август/a64df836-e2d6-4d47-a7e1-9d1b935548dd.jpg","open")</f>
        <v/>
      </c>
      <c r="C3176" t="inlineStr">
        <is>
          <t>1231bbc5-e64c-4dc7-9acc-77710f47607a</t>
        </is>
      </c>
      <c r="D3176" t="n">
        <v>55.64832</v>
      </c>
      <c r="E3176" t="n">
        <v>37.6036</v>
      </c>
      <c r="F3176" t="inlineStr"/>
      <c r="G3176" t="inlineStr"/>
      <c r="H3176" t="inlineStr"/>
    </row>
    <row r="3177">
      <c r="A3177" t="inlineStr">
        <is>
          <t>d8fb7758-c647-46eb-b2ae-a9fad857672d.jpg</t>
        </is>
      </c>
      <c r="B3177">
        <f>HYPERLINK("Объекты недвижимости, не соответствующие градостроительным нормам_00-022_Август/d8fb7758-c647-46eb-b2ae-a9fad857672d.jpg","open")</f>
        <v/>
      </c>
      <c r="C3177" t="inlineStr">
        <is>
          <t>685d9054-b74f-49ab-857b-109fd2cec80d</t>
        </is>
      </c>
      <c r="D3177" t="n">
        <v>55.64845</v>
      </c>
      <c r="E3177" t="n">
        <v>37.60528</v>
      </c>
      <c r="F3177" t="inlineStr"/>
      <c r="G3177" t="inlineStr"/>
      <c r="H3177" t="inlineStr"/>
    </row>
    <row r="3178">
      <c r="A3178" t="inlineStr">
        <is>
          <t>5bd1e290-17d5-4e26-9331-06af56a06462.jpg</t>
        </is>
      </c>
      <c r="B3178">
        <f>HYPERLINK("Объекты недвижимости, не соответствующие градостроительным нормам_00-022_Август/5bd1e290-17d5-4e26-9331-06af56a06462.jpg","open")</f>
        <v/>
      </c>
      <c r="C3178" t="inlineStr">
        <is>
          <t>b6b3590f-f506-4399-8205-e7ac710132e7</t>
        </is>
      </c>
      <c r="D3178" t="n">
        <v>55.80962</v>
      </c>
      <c r="E3178" t="n">
        <v>37.52601</v>
      </c>
      <c r="F3178" t="inlineStr"/>
      <c r="G3178" t="inlineStr"/>
      <c r="H3178" t="inlineStr"/>
    </row>
    <row r="3179">
      <c r="A3179" t="inlineStr">
        <is>
          <t>1acf732b-be45-405c-b7d3-3776e7c5bf61.jpg</t>
        </is>
      </c>
      <c r="B3179">
        <f>HYPERLINK("Объекты недвижимости, не соответствующие градостроительным нормам_00-022_Август/1acf732b-be45-405c-b7d3-3776e7c5bf61.jpg","open")</f>
        <v/>
      </c>
      <c r="C3179" t="inlineStr">
        <is>
          <t>685d9054-b74f-49ab-857b-109fd2cec80d</t>
        </is>
      </c>
      <c r="D3179" t="n">
        <v>55.64676</v>
      </c>
      <c r="E3179" t="n">
        <v>37.60424</v>
      </c>
      <c r="F3179" t="inlineStr"/>
      <c r="G3179" t="inlineStr"/>
      <c r="H3179" t="inlineStr"/>
    </row>
    <row r="3180">
      <c r="A3180" t="inlineStr">
        <is>
          <t>1e8ff8c0-391e-4542-a83a-6838d302e43a.jpg</t>
        </is>
      </c>
      <c r="B3180">
        <f>HYPERLINK("Объекты недвижимости, не соответствующие градостроительным нормам_00-022_Август/1e8ff8c0-391e-4542-a83a-6838d302e43a.jpg","open")</f>
        <v/>
      </c>
      <c r="C3180" t="inlineStr">
        <is>
          <t>685d9054-b74f-49ab-857b-109fd2cec80d</t>
        </is>
      </c>
      <c r="D3180" t="n">
        <v>55.64724</v>
      </c>
      <c r="E3180" t="n">
        <v>37.60344</v>
      </c>
      <c r="F3180" t="inlineStr"/>
      <c r="G3180" t="inlineStr"/>
      <c r="H3180" t="inlineStr"/>
    </row>
    <row r="3181">
      <c r="A3181" t="inlineStr">
        <is>
          <t>9273e6e3-304d-4880-aebf-eb168306db54.jpg</t>
        </is>
      </c>
      <c r="B3181">
        <f>HYPERLINK("Объекты недвижимости, не соответствующие градостроительным нормам_00-022_Август/9273e6e3-304d-4880-aebf-eb168306db54.jpg","open")</f>
        <v/>
      </c>
      <c r="C3181" t="inlineStr">
        <is>
          <t>1231bbc5-e64c-4dc7-9acc-77710f47607a</t>
        </is>
      </c>
      <c r="D3181" t="n">
        <v>55.64644</v>
      </c>
      <c r="E3181" t="n">
        <v>37.6029</v>
      </c>
      <c r="F3181" t="inlineStr"/>
      <c r="G3181" t="inlineStr"/>
      <c r="H3181" t="inlineStr"/>
    </row>
    <row r="3182">
      <c r="A3182" t="inlineStr">
        <is>
          <t>911acc96-bd82-4dc2-970d-0d213309254c.jpg</t>
        </is>
      </c>
      <c r="B3182">
        <f>HYPERLINK("Объекты недвижимости, не соответствующие градостроительным нормам_00-022_Август/911acc96-bd82-4dc2-970d-0d213309254c.jpg","open")</f>
        <v/>
      </c>
      <c r="C3182" t="inlineStr">
        <is>
          <t>685d9054-b74f-49ab-857b-109fd2cec80d</t>
        </is>
      </c>
      <c r="D3182" t="n">
        <v>55.64644</v>
      </c>
      <c r="E3182" t="n">
        <v>37.60287</v>
      </c>
      <c r="F3182" t="inlineStr"/>
      <c r="G3182" t="inlineStr"/>
      <c r="H3182" t="inlineStr"/>
    </row>
    <row r="3183">
      <c r="A3183" t="inlineStr">
        <is>
          <t>8e33eec6-d1b3-4622-acce-cfd9b9d55a12.jpg</t>
        </is>
      </c>
      <c r="B3183">
        <f>HYPERLINK("Объекты недвижимости, не соответствующие градостроительным нормам_00-022_Август/8e33eec6-d1b3-4622-acce-cfd9b9d55a12.jpg","open")</f>
        <v/>
      </c>
      <c r="C3183" t="inlineStr">
        <is>
          <t>685d9054-b74f-49ab-857b-109fd2cec80d</t>
        </is>
      </c>
      <c r="D3183" t="n">
        <v>55.6459</v>
      </c>
      <c r="E3183" t="n">
        <v>37.60273</v>
      </c>
      <c r="F3183" t="inlineStr"/>
      <c r="G3183" t="inlineStr"/>
      <c r="H3183" t="inlineStr"/>
    </row>
    <row r="3184">
      <c r="A3184" t="inlineStr">
        <is>
          <t>2c3bde62-b2e0-483f-8c1b-839759ddb885.jpg</t>
        </is>
      </c>
      <c r="B3184">
        <f>HYPERLINK("Объекты недвижимости, не соответствующие градостроительным нормам_00-022_Август/2c3bde62-b2e0-483f-8c1b-839759ddb885.jpg","open")</f>
        <v/>
      </c>
      <c r="C3184" t="inlineStr">
        <is>
          <t>8cde1fd0-eca1-4510-86ab-3c743b65fdfc</t>
        </is>
      </c>
      <c r="D3184" t="n">
        <v>55.74417</v>
      </c>
      <c r="E3184" t="n">
        <v>37.84417</v>
      </c>
      <c r="F3184" t="inlineStr"/>
      <c r="G3184" t="inlineStr"/>
      <c r="H3184" t="inlineStr"/>
    </row>
    <row r="3185">
      <c r="A3185" t="inlineStr">
        <is>
          <t>139fa84e-a7e0-4a48-94ee-f737d4d2bb8a.jpg</t>
        </is>
      </c>
      <c r="B3185">
        <f>HYPERLINK("Объекты недвижимости, не соответствующие градостроительным нормам_00-022_Август/139fa84e-a7e0-4a48-94ee-f737d4d2bb8a.jpg","open")</f>
        <v/>
      </c>
      <c r="C3185" t="inlineStr">
        <is>
          <t>685d9054-b74f-49ab-857b-109fd2cec80d</t>
        </is>
      </c>
      <c r="D3185" t="n">
        <v>55.64639</v>
      </c>
      <c r="E3185" t="n">
        <v>37.60469</v>
      </c>
      <c r="F3185" t="inlineStr"/>
      <c r="G3185" t="inlineStr"/>
      <c r="H3185" t="inlineStr"/>
    </row>
    <row r="3186">
      <c r="A3186" t="inlineStr">
        <is>
          <t>43650754-3f67-4e45-a5ce-8d43b5cf583d.jpg</t>
        </is>
      </c>
      <c r="B3186">
        <f>HYPERLINK("Объекты недвижимости, не соответствующие градостроительным нормам_00-022_Август/43650754-3f67-4e45-a5ce-8d43b5cf583d.jpg","open")</f>
        <v/>
      </c>
      <c r="C3186" t="inlineStr">
        <is>
          <t>a28f597e-d1cd-4d3b-b572-c86d033412e9</t>
        </is>
      </c>
      <c r="D3186" t="n">
        <v>55.76471</v>
      </c>
      <c r="E3186" t="n">
        <v>37.47935</v>
      </c>
      <c r="F3186" t="inlineStr"/>
      <c r="G3186" t="inlineStr"/>
      <c r="H3186" t="inlineStr"/>
    </row>
    <row r="3187">
      <c r="A3187" t="inlineStr">
        <is>
          <t>95a1b6ea-622e-4425-89ba-b09e5b6cb370.jpg</t>
        </is>
      </c>
      <c r="B3187">
        <f>HYPERLINK("Объекты недвижимости, не соответствующие градостроительным нормам_00-022_Август/95a1b6ea-622e-4425-89ba-b09e5b6cb370.jpg","open")</f>
        <v/>
      </c>
      <c r="C3187" t="inlineStr">
        <is>
          <t>1231bbc5-e64c-4dc7-9acc-77710f47607a</t>
        </is>
      </c>
      <c r="D3187" t="n">
        <v>55.64643</v>
      </c>
      <c r="E3187" t="n">
        <v>37.60492</v>
      </c>
      <c r="F3187" t="inlineStr"/>
      <c r="G3187" t="inlineStr"/>
      <c r="H3187" t="inlineStr"/>
    </row>
    <row r="3188">
      <c r="A3188" t="inlineStr">
        <is>
          <t>3fc26449-3f97-4033-baa6-db9c84cd32f6.jpg</t>
        </is>
      </c>
      <c r="B3188">
        <f>HYPERLINK("Объекты недвижимости, не соответствующие градостроительным нормам_00-022_Август/3fc26449-3f97-4033-baa6-db9c84cd32f6.jpg","open")</f>
        <v/>
      </c>
      <c r="C3188" t="inlineStr">
        <is>
          <t>685d9054-b74f-49ab-857b-109fd2cec80d</t>
        </is>
      </c>
      <c r="D3188" t="n">
        <v>55.64644</v>
      </c>
      <c r="E3188" t="n">
        <v>37.60492</v>
      </c>
      <c r="F3188" t="inlineStr"/>
      <c r="G3188" t="inlineStr"/>
      <c r="H3188" t="inlineStr"/>
    </row>
    <row r="3189">
      <c r="A3189" t="inlineStr">
        <is>
          <t>71e63e6f-670a-4e27-8910-68140ea104bc.jpg</t>
        </is>
      </c>
      <c r="B3189">
        <f>HYPERLINK("Объекты недвижимости, не соответствующие градостроительным нормам_00-022_Август/71e63e6f-670a-4e27-8910-68140ea104bc.jpg","open")</f>
        <v/>
      </c>
      <c r="C3189" t="inlineStr">
        <is>
          <t>685d9054-b74f-49ab-857b-109fd2cec80d</t>
        </is>
      </c>
      <c r="D3189" t="n">
        <v>55.64636</v>
      </c>
      <c r="E3189" t="n">
        <v>37.60496</v>
      </c>
      <c r="F3189" t="inlineStr"/>
      <c r="G3189" t="inlineStr"/>
      <c r="H3189" t="inlineStr"/>
    </row>
    <row r="3190">
      <c r="A3190" t="inlineStr">
        <is>
          <t>8c59b93a-cf73-40c6-baa0-9946a0dd10ef.jpg</t>
        </is>
      </c>
      <c r="B3190">
        <f>HYPERLINK("Объекты недвижимости, не соответствующие градостроительным нормам_00-022_Август/8c59b93a-cf73-40c6-baa0-9946a0dd10ef.jpg","open")</f>
        <v/>
      </c>
      <c r="C3190" t="inlineStr">
        <is>
          <t>8b2675e2-7f40-47a9-a462-7c9feecd299c</t>
        </is>
      </c>
      <c r="D3190" t="n">
        <v>55.7129</v>
      </c>
      <c r="E3190" t="n">
        <v>37.67645</v>
      </c>
      <c r="F3190" t="inlineStr"/>
      <c r="G3190" t="inlineStr"/>
      <c r="H3190" t="inlineStr"/>
    </row>
    <row r="3191">
      <c r="A3191" t="inlineStr">
        <is>
          <t>a6612999-df2b-4075-b028-b80e82e5ada8.jpg</t>
        </is>
      </c>
      <c r="B3191">
        <f>HYPERLINK("Объекты недвижимости, не соответствующие градостроительным нормам_00-022_Август/a6612999-df2b-4075-b028-b80e82e5ada8.jpg","open")</f>
        <v/>
      </c>
      <c r="C3191" t="inlineStr">
        <is>
          <t>685d9054-b74f-49ab-857b-109fd2cec80d</t>
        </is>
      </c>
      <c r="D3191" t="n">
        <v>55.6456</v>
      </c>
      <c r="E3191" t="n">
        <v>37.60189</v>
      </c>
      <c r="F3191" t="inlineStr"/>
      <c r="G3191" t="inlineStr"/>
      <c r="H3191" t="inlineStr"/>
    </row>
    <row r="3192">
      <c r="A3192" t="inlineStr">
        <is>
          <t>da576d93-1d32-49bb-a54a-2b81ceb915ee.jpg</t>
        </is>
      </c>
      <c r="B3192">
        <f>HYPERLINK("Объекты недвижимости, не соответствующие градостроительным нормам_00-022_Август/da576d93-1d32-49bb-a54a-2b81ceb915ee.jpg","open")</f>
        <v/>
      </c>
      <c r="C3192" t="inlineStr">
        <is>
          <t>1231bbc5-e64c-4dc7-9acc-77710f47607a</t>
        </is>
      </c>
      <c r="D3192" t="n">
        <v>55.64562</v>
      </c>
      <c r="E3192" t="n">
        <v>37.60187</v>
      </c>
      <c r="F3192" t="inlineStr"/>
      <c r="G3192" t="inlineStr"/>
      <c r="H3192" t="inlineStr"/>
    </row>
    <row r="3193">
      <c r="A3193" t="inlineStr">
        <is>
          <t>54995970-7a83-4af6-862a-47faa1fd4e1f.jpg</t>
        </is>
      </c>
      <c r="B3193">
        <f>HYPERLINK("Объекты недвижимости, не соответствующие градостроительным нормам_00-022_Август/54995970-7a83-4af6-862a-47faa1fd4e1f.jpg","open")</f>
        <v/>
      </c>
      <c r="C3193" t="inlineStr">
        <is>
          <t>685d9054-b74f-49ab-857b-109fd2cec80d</t>
        </is>
      </c>
      <c r="D3193" t="n">
        <v>55.64575</v>
      </c>
      <c r="E3193" t="n">
        <v>37.6019</v>
      </c>
      <c r="F3193" t="inlineStr"/>
      <c r="G3193" t="inlineStr"/>
      <c r="H3193" t="inlineStr"/>
    </row>
    <row r="3194">
      <c r="A3194" t="inlineStr">
        <is>
          <t>99e00857-bbdb-42ea-9232-a5672cf9198a.jpg</t>
        </is>
      </c>
      <c r="B3194">
        <f>HYPERLINK("Объекты недвижимости, не соответствующие градостроительным нормам_00-022_Август/99e00857-bbdb-42ea-9232-a5672cf9198a.jpg","open")</f>
        <v/>
      </c>
      <c r="C3194" t="inlineStr">
        <is>
          <t>8cde1fd0-eca1-4510-86ab-3c743b65fdfc</t>
        </is>
      </c>
      <c r="D3194" t="n">
        <v>55.74306</v>
      </c>
      <c r="E3194" t="n">
        <v>37.87983</v>
      </c>
      <c r="F3194" t="inlineStr"/>
      <c r="G3194" t="inlineStr"/>
      <c r="H3194" t="inlineStr"/>
    </row>
    <row r="3195">
      <c r="A3195" t="inlineStr">
        <is>
          <t>de07a13e-fae9-4141-9b13-71e7c9106e7f.jpg</t>
        </is>
      </c>
      <c r="B3195">
        <f>HYPERLINK("Объекты недвижимости, не соответствующие градостроительным нормам_00-022_Август/de07a13e-fae9-4141-9b13-71e7c9106e7f.jpg","open")</f>
        <v/>
      </c>
      <c r="C3195" t="inlineStr">
        <is>
          <t>12e795ad-2aa7-49de-b2da-2c6aa35a4559</t>
        </is>
      </c>
      <c r="D3195" t="n">
        <v>55.64911</v>
      </c>
      <c r="E3195" t="n">
        <v>37.52636</v>
      </c>
      <c r="F3195" t="inlineStr"/>
      <c r="G3195" t="inlineStr"/>
      <c r="H3195" t="inlineStr"/>
    </row>
    <row r="3196">
      <c r="A3196" t="inlineStr">
        <is>
          <t>9b12706a-e244-4164-b907-a30e778f18c9.jpg</t>
        </is>
      </c>
      <c r="B3196">
        <f>HYPERLINK("Объекты недвижимости, не соответствующие градостроительным нормам_00-022_Август/9b12706a-e244-4164-b907-a30e778f18c9.jpg","open")</f>
        <v/>
      </c>
      <c r="C3196" t="inlineStr">
        <is>
          <t>685d9054-b74f-49ab-857b-109fd2cec80d</t>
        </is>
      </c>
      <c r="D3196" t="n">
        <v>55.64802</v>
      </c>
      <c r="E3196" t="n">
        <v>37.60055</v>
      </c>
      <c r="F3196" t="inlineStr"/>
      <c r="G3196" t="inlineStr"/>
      <c r="H3196" t="inlineStr"/>
    </row>
    <row r="3197">
      <c r="A3197" t="inlineStr">
        <is>
          <t>8bd0ea67-d1a4-4b5c-9dab-617d2fbbe16f.jpg</t>
        </is>
      </c>
      <c r="B3197">
        <f>HYPERLINK("Объекты недвижимости, не соответствующие градостроительным нормам_00-022_Август/8bd0ea67-d1a4-4b5c-9dab-617d2fbbe16f.jpg","open")</f>
        <v/>
      </c>
      <c r="C3197" t="inlineStr">
        <is>
          <t>b0429a31-0c70-4b9f-8ea5-73929d82f89e</t>
        </is>
      </c>
      <c r="D3197" t="n">
        <v>55.63894</v>
      </c>
      <c r="E3197" t="n">
        <v>37.69717</v>
      </c>
      <c r="F3197" t="inlineStr"/>
      <c r="G3197" t="inlineStr"/>
      <c r="H3197" t="inlineStr"/>
    </row>
    <row r="3198">
      <c r="A3198" t="inlineStr">
        <is>
          <t>fa80aa11-5fe3-4f15-9899-715277bff52b.jpg</t>
        </is>
      </c>
      <c r="B3198">
        <f>HYPERLINK("Объекты недвижимости, не соответствующие градостроительным нормам_00-022_Август/fa80aa11-5fe3-4f15-9899-715277bff52b.jpg","open")</f>
        <v/>
      </c>
      <c r="C3198" t="inlineStr">
        <is>
          <t>8cde1fd0-eca1-4510-86ab-3c743b65fdfc</t>
        </is>
      </c>
      <c r="D3198" t="n">
        <v>55.74334</v>
      </c>
      <c r="E3198" t="n">
        <v>37.87967</v>
      </c>
      <c r="F3198" t="inlineStr"/>
      <c r="G3198" t="inlineStr"/>
      <c r="H3198" t="inlineStr"/>
    </row>
    <row r="3199">
      <c r="A3199" t="inlineStr">
        <is>
          <t>d328bfd3-bacb-43af-9529-2ea6164dad86.jpg</t>
        </is>
      </c>
      <c r="B3199">
        <f>HYPERLINK("Объекты недвижимости, не соответствующие градостроительным нормам_00-022_Август/d328bfd3-bacb-43af-9529-2ea6164dad86.jpg","open")</f>
        <v/>
      </c>
      <c r="C3199" t="inlineStr">
        <is>
          <t>fce890a6-27da-4062-a046-08262a160ee6</t>
        </is>
      </c>
      <c r="D3199" t="n">
        <v>55.9001</v>
      </c>
      <c r="E3199" t="n">
        <v>37.5279</v>
      </c>
      <c r="F3199" t="inlineStr"/>
      <c r="G3199" t="inlineStr"/>
      <c r="H3199" t="inlineStr"/>
    </row>
    <row r="3200">
      <c r="A3200" t="inlineStr">
        <is>
          <t>76be4510-d941-48e3-893f-ea1773db4622.jpg</t>
        </is>
      </c>
      <c r="B3200">
        <f>HYPERLINK("Объекты недвижимости, не соответствующие градостроительным нормам_00-022_Август/76be4510-d941-48e3-893f-ea1773db4622.jpg","open")</f>
        <v/>
      </c>
      <c r="C3200" t="inlineStr">
        <is>
          <t>b0429a31-0c70-4b9f-8ea5-73929d82f89e</t>
        </is>
      </c>
      <c r="D3200" t="n">
        <v>55.63973</v>
      </c>
      <c r="E3200" t="n">
        <v>37.69495</v>
      </c>
      <c r="F3200" t="inlineStr"/>
      <c r="G3200" t="inlineStr"/>
      <c r="H3200" t="inlineStr"/>
    </row>
    <row r="3201">
      <c r="A3201" t="inlineStr">
        <is>
          <t>d45eeb05-096c-482a-a3b6-d8f7a3d1c7e3.jpg</t>
        </is>
      </c>
      <c r="B3201">
        <f>HYPERLINK("Объекты недвижимости, не соответствующие градостроительным нормам_00-022_Август/d45eeb05-096c-482a-a3b6-d8f7a3d1c7e3.jpg","open")</f>
        <v/>
      </c>
      <c r="C3201" t="inlineStr">
        <is>
          <t>685d9054-b74f-49ab-857b-109fd2cec80d</t>
        </is>
      </c>
      <c r="D3201" t="n">
        <v>55.64591</v>
      </c>
      <c r="E3201" t="n">
        <v>37.59649</v>
      </c>
      <c r="F3201" t="inlineStr"/>
      <c r="G3201" t="inlineStr"/>
      <c r="H3201" t="inlineStr"/>
    </row>
    <row r="3202">
      <c r="A3202" t="inlineStr">
        <is>
          <t>ac943f5d-c4c3-4e7d-bf86-73cb79b19f87.jpg</t>
        </is>
      </c>
      <c r="B3202">
        <f>HYPERLINK("Объекты недвижимости, не соответствующие градостроительным нормам_00-022_Август/ac943f5d-c4c3-4e7d-bf86-73cb79b19f87.jpg","open")</f>
        <v/>
      </c>
      <c r="C3202" t="inlineStr">
        <is>
          <t>685d9054-b74f-49ab-857b-109fd2cec80d</t>
        </is>
      </c>
      <c r="D3202" t="n">
        <v>55.64557</v>
      </c>
      <c r="E3202" t="n">
        <v>37.5962</v>
      </c>
      <c r="F3202" t="inlineStr"/>
      <c r="G3202" t="inlineStr"/>
      <c r="H3202" t="inlineStr"/>
    </row>
    <row r="3203">
      <c r="A3203" t="inlineStr">
        <is>
          <t>2e238f32-ec37-4a96-b8f3-5b859b7fb563.jpg</t>
        </is>
      </c>
      <c r="B3203">
        <f>HYPERLINK("Объекты недвижимости, не соответствующие градостроительным нормам_00-022_Август/2e238f32-ec37-4a96-b8f3-5b859b7fb563.jpg","open")</f>
        <v/>
      </c>
      <c r="C3203" t="inlineStr">
        <is>
          <t>99f3abba-c55b-49f0-9de5-9f88e9597cc0</t>
        </is>
      </c>
      <c r="D3203" t="n">
        <v>55.64098</v>
      </c>
      <c r="E3203" t="n">
        <v>37.69139</v>
      </c>
      <c r="F3203" t="inlineStr"/>
      <c r="G3203" t="inlineStr"/>
      <c r="H3203" t="inlineStr"/>
    </row>
    <row r="3204">
      <c r="A3204" t="inlineStr">
        <is>
          <t>86484a8d-ab15-4cd2-85ec-4267f066dadb.jpg</t>
        </is>
      </c>
      <c r="B3204">
        <f>HYPERLINK("Объекты недвижимости, не соответствующие градостроительным нормам_00-022_Август/86484a8d-ab15-4cd2-85ec-4267f066dadb.jpg","open")</f>
        <v/>
      </c>
      <c r="C3204" t="inlineStr">
        <is>
          <t>b0429a31-0c70-4b9f-8ea5-73929d82f89e</t>
        </is>
      </c>
      <c r="D3204" t="n">
        <v>55.64099</v>
      </c>
      <c r="E3204" t="n">
        <v>37.6913</v>
      </c>
      <c r="F3204" t="inlineStr"/>
      <c r="G3204" t="inlineStr"/>
      <c r="H3204" t="inlineStr"/>
    </row>
    <row r="3205">
      <c r="A3205" t="inlineStr">
        <is>
          <t>168e9853-e013-435a-b7a6-831120e20eaf.jpg</t>
        </is>
      </c>
      <c r="B3205">
        <f>HYPERLINK("Объекты недвижимости, не соответствующие градостроительным нормам_00-022_Август/168e9853-e013-435a-b7a6-831120e20eaf.jpg","open")</f>
        <v/>
      </c>
      <c r="C3205" t="inlineStr">
        <is>
          <t>b6b3590f-f506-4399-8205-e7ac710132e7</t>
        </is>
      </c>
      <c r="D3205" t="n">
        <v>55.81005</v>
      </c>
      <c r="E3205" t="n">
        <v>37.53591</v>
      </c>
      <c r="F3205" t="inlineStr"/>
      <c r="G3205" t="inlineStr"/>
      <c r="H3205" t="inlineStr"/>
    </row>
    <row r="3206">
      <c r="A3206" t="inlineStr">
        <is>
          <t>336bbf5a-7ece-4bde-abfe-313268c5dad2.jpg</t>
        </is>
      </c>
      <c r="B3206">
        <f>HYPERLINK("Объекты недвижимости, не соответствующие градостроительным нормам_00-022_Август/336bbf5a-7ece-4bde-abfe-313268c5dad2.jpg","open")</f>
        <v/>
      </c>
      <c r="C3206" t="inlineStr">
        <is>
          <t>ed2bf0f1-3a66-4913-896e-4420a9796c0b</t>
        </is>
      </c>
      <c r="D3206" t="n">
        <v>55.79371</v>
      </c>
      <c r="E3206" t="n">
        <v>37.64788</v>
      </c>
      <c r="F3206" t="inlineStr"/>
      <c r="G3206" t="inlineStr"/>
      <c r="H3206" t="inlineStr"/>
    </row>
    <row r="3207">
      <c r="A3207" t="inlineStr">
        <is>
          <t>9e537e7a-c800-4bea-a353-a3c6e74aaa65.jpg</t>
        </is>
      </c>
      <c r="B3207">
        <f>HYPERLINK("Объекты недвижимости, не соответствующие градостроительным нормам_00-022_Август/9e537e7a-c800-4bea-a353-a3c6e74aaa65.jpg","open")</f>
        <v/>
      </c>
      <c r="C3207" t="inlineStr">
        <is>
          <t>685d9054-b74f-49ab-857b-109fd2cec80d</t>
        </is>
      </c>
      <c r="D3207" t="n">
        <v>55.6453</v>
      </c>
      <c r="E3207" t="n">
        <v>37.59695</v>
      </c>
      <c r="F3207" t="inlineStr"/>
      <c r="G3207" t="inlineStr"/>
      <c r="H3207" t="inlineStr"/>
    </row>
    <row r="3208">
      <c r="A3208" t="inlineStr">
        <is>
          <t>5610db70-c0d2-43c2-af23-bec5bfe49778.jpg</t>
        </is>
      </c>
      <c r="B3208">
        <f>HYPERLINK("Объекты недвижимости, не соответствующие градостроительным нормам_00-022_Август/5610db70-c0d2-43c2-af23-bec5bfe49778.jpg","open")</f>
        <v/>
      </c>
      <c r="C3208" t="inlineStr">
        <is>
          <t>789f6c51-64ee-4078-b7bd-443af8b8b68a</t>
        </is>
      </c>
      <c r="D3208" t="n">
        <v>55.87938</v>
      </c>
      <c r="E3208" t="n">
        <v>37.64482</v>
      </c>
      <c r="F3208" t="inlineStr"/>
      <c r="G3208" t="inlineStr"/>
      <c r="H3208" t="inlineStr"/>
    </row>
    <row r="3209">
      <c r="A3209" t="inlineStr">
        <is>
          <t>64ec9d05-59ed-410c-8964-04f11840f0af.jpg</t>
        </is>
      </c>
      <c r="B3209">
        <f>HYPERLINK("Объекты недвижимости, не соответствующие градостроительным нормам_00-022_Август/64ec9d05-59ed-410c-8964-04f11840f0af.jpg","open")</f>
        <v/>
      </c>
      <c r="C3209" t="inlineStr">
        <is>
          <t>99f3abba-c55b-49f0-9de5-9f88e9597cc0</t>
        </is>
      </c>
      <c r="D3209" t="n">
        <v>55.64059</v>
      </c>
      <c r="E3209" t="n">
        <v>37.69128</v>
      </c>
      <c r="F3209" t="inlineStr"/>
      <c r="G3209" t="inlineStr"/>
      <c r="H3209" t="inlineStr"/>
    </row>
    <row r="3210">
      <c r="A3210" t="inlineStr">
        <is>
          <t>ff1fb86f-f31d-4ca5-952b-caf7dbf5e3f7.jpg</t>
        </is>
      </c>
      <c r="B3210">
        <f>HYPERLINK("Объекты недвижимости, не соответствующие градостроительным нормам_00-022_Август/ff1fb86f-f31d-4ca5-952b-caf7dbf5e3f7.jpg","open")</f>
        <v/>
      </c>
      <c r="C3210" t="inlineStr">
        <is>
          <t>f60286ac-55e7-4099-85bd-cc599a7a0c65</t>
        </is>
      </c>
      <c r="D3210" t="n">
        <v>55.74048</v>
      </c>
      <c r="E3210" t="n">
        <v>37.78296</v>
      </c>
      <c r="F3210" t="inlineStr"/>
      <c r="G3210" t="inlineStr"/>
      <c r="H3210" t="inlineStr"/>
    </row>
    <row r="3211">
      <c r="A3211" t="inlineStr">
        <is>
          <t>4f5d08eb-b443-4f4c-82c7-b84cc67521dd.jpg</t>
        </is>
      </c>
      <c r="B3211">
        <f>HYPERLINK("Объекты недвижимости, не соответствующие градостроительным нормам_00-022_Август/4f5d08eb-b443-4f4c-82c7-b84cc67521dd.jpg","open")</f>
        <v/>
      </c>
      <c r="C3211" t="inlineStr">
        <is>
          <t>ffd931da-542f-43e9-979f-5552b17fe3dc</t>
        </is>
      </c>
      <c r="D3211" t="n">
        <v>55.74049</v>
      </c>
      <c r="E3211" t="n">
        <v>37.78298</v>
      </c>
      <c r="F3211" t="inlineStr"/>
      <c r="G3211" t="inlineStr"/>
      <c r="H3211" t="inlineStr"/>
    </row>
    <row r="3212">
      <c r="A3212" t="inlineStr">
        <is>
          <t>904cab55-c387-41b1-9ecf-af5c8f560d99.jpg</t>
        </is>
      </c>
      <c r="B3212">
        <f>HYPERLINK("Объекты недвижимости, не соответствующие градостроительным нормам_00-022_Август/904cab55-c387-41b1-9ecf-af5c8f560d99.jpg","open")</f>
        <v/>
      </c>
      <c r="C3212" t="inlineStr">
        <is>
          <t>cbf95b01-f708-45a3-9ec0-3603469b538e</t>
        </is>
      </c>
      <c r="D3212" t="n">
        <v>55.77323</v>
      </c>
      <c r="E3212" t="n">
        <v>37.58737</v>
      </c>
      <c r="F3212" t="inlineStr"/>
      <c r="G3212" t="inlineStr"/>
      <c r="H3212" t="inlineStr"/>
    </row>
    <row r="3213">
      <c r="A3213" t="inlineStr">
        <is>
          <t>0f9bf3b0-78d3-4f8e-aed5-8ee0f161ee01.jpg</t>
        </is>
      </c>
      <c r="B3213">
        <f>HYPERLINK("Объекты недвижимости, не соответствующие градостроительным нормам_00-022_Август/0f9bf3b0-78d3-4f8e-aed5-8ee0f161ee01.jpg","open")</f>
        <v/>
      </c>
      <c r="C3213" t="inlineStr">
        <is>
          <t>cbf95b01-f708-45a3-9ec0-3603469b538e</t>
        </is>
      </c>
      <c r="D3213" t="n">
        <v>55.7852</v>
      </c>
      <c r="E3213" t="n">
        <v>37.61328</v>
      </c>
      <c r="F3213" t="inlineStr"/>
      <c r="G3213" t="inlineStr"/>
      <c r="H3213" t="inlineStr"/>
    </row>
    <row r="3214">
      <c r="A3214" t="inlineStr">
        <is>
          <t>43b40a48-52c7-4788-8384-673654c3777f.jpg</t>
        </is>
      </c>
      <c r="B3214">
        <f>HYPERLINK("Объекты недвижимости, не соответствующие градостроительным нормам_00-022_Август/43b40a48-52c7-4788-8384-673654c3777f.jpg","open")</f>
        <v/>
      </c>
      <c r="C3214" t="inlineStr">
        <is>
          <t>f20fbc2b-b369-4734-bb66-92af02fbb0d1</t>
        </is>
      </c>
      <c r="D3214" t="n">
        <v>52.89524</v>
      </c>
      <c r="E3214" t="n">
        <v>34.9646</v>
      </c>
      <c r="F3214" t="inlineStr"/>
      <c r="G3214" t="inlineStr"/>
      <c r="H3214" t="inlineStr"/>
    </row>
    <row r="3215">
      <c r="A3215" t="inlineStr">
        <is>
          <t>b860cc6c-0295-413f-b11d-775e834e0b81.jpg</t>
        </is>
      </c>
      <c r="B3215">
        <f>HYPERLINK("Объекты недвижимости, не соответствующие градостроительным нормам_00-022_Август/b860cc6c-0295-413f-b11d-775e834e0b81.jpg","open")</f>
        <v/>
      </c>
      <c r="C3215" t="inlineStr">
        <is>
          <t>cbf95b01-f708-45a3-9ec0-3603469b538e</t>
        </is>
      </c>
      <c r="D3215" t="n">
        <v>55.78463</v>
      </c>
      <c r="E3215" t="n">
        <v>37.61447</v>
      </c>
      <c r="F3215" t="inlineStr"/>
      <c r="G3215" t="inlineStr"/>
      <c r="H3215" t="inlineStr"/>
    </row>
    <row r="3216">
      <c r="A3216" t="inlineStr">
        <is>
          <t>d7436c52-5f57-44ca-906c-3e159a79f377.jpg</t>
        </is>
      </c>
      <c r="B3216">
        <f>HYPERLINK("Объекты недвижимости, не соответствующие градостроительным нормам_00-022_Август/d7436c52-5f57-44ca-906c-3e159a79f377.jpg","open")</f>
        <v/>
      </c>
      <c r="C3216" t="inlineStr">
        <is>
          <t>cbf95b01-f708-45a3-9ec0-3603469b538e</t>
        </is>
      </c>
      <c r="D3216" t="n">
        <v>55.78262</v>
      </c>
      <c r="E3216" t="n">
        <v>37.61702</v>
      </c>
      <c r="F3216" t="inlineStr"/>
      <c r="G3216" t="inlineStr"/>
      <c r="H3216" t="inlineStr"/>
    </row>
    <row r="3217">
      <c r="A3217" t="inlineStr">
        <is>
          <t>cd97c321-4379-4b80-b3c2-5f756e49672c.jpg</t>
        </is>
      </c>
      <c r="B3217">
        <f>HYPERLINK("Объекты недвижимости, не соответствующие градостроительным нормам_00-022_Август/cd97c321-4379-4b80-b3c2-5f756e49672c.jpg","open")</f>
        <v/>
      </c>
      <c r="C3217" t="inlineStr">
        <is>
          <t>b0429a31-0c70-4b9f-8ea5-73929d82f89e</t>
        </is>
      </c>
      <c r="D3217" t="n">
        <v>55.64172</v>
      </c>
      <c r="E3217" t="n">
        <v>37.67818</v>
      </c>
      <c r="F3217" t="inlineStr"/>
      <c r="G3217" t="inlineStr"/>
      <c r="H3217" t="inlineStr"/>
    </row>
    <row r="3218">
      <c r="A3218" t="inlineStr">
        <is>
          <t>5f6ddadb-75c9-46f5-89c6-0e0a47f33ac6.jpg</t>
        </is>
      </c>
      <c r="B3218">
        <f>HYPERLINK("Объекты недвижимости, не соответствующие градостроительным нормам_00-022_Август/5f6ddadb-75c9-46f5-89c6-0e0a47f33ac6.jpg","open")</f>
        <v/>
      </c>
      <c r="C3218" t="inlineStr">
        <is>
          <t>cbf95b01-f708-45a3-9ec0-3603469b538e</t>
        </is>
      </c>
      <c r="D3218" t="n">
        <v>55.78301</v>
      </c>
      <c r="E3218" t="n">
        <v>37.61092</v>
      </c>
      <c r="F3218" t="inlineStr"/>
      <c r="G3218" t="inlineStr"/>
      <c r="H3218" t="inlineStr"/>
    </row>
    <row r="3219">
      <c r="A3219" t="inlineStr">
        <is>
          <t>7f01e726-3325-4645-aea0-e6f9ff324a1c.jpg</t>
        </is>
      </c>
      <c r="B3219">
        <f>HYPERLINK("Объекты недвижимости, не соответствующие градостроительным нормам_00-022_Август/7f01e726-3325-4645-aea0-e6f9ff324a1c.jpg","open")</f>
        <v/>
      </c>
      <c r="C3219" t="inlineStr">
        <is>
          <t>cbf95b01-f708-45a3-9ec0-3603469b538e</t>
        </is>
      </c>
      <c r="D3219" t="n">
        <v>55.78275</v>
      </c>
      <c r="E3219" t="n">
        <v>37.61227</v>
      </c>
      <c r="F3219" t="inlineStr"/>
      <c r="G3219" t="inlineStr"/>
      <c r="H3219" t="inlineStr"/>
    </row>
    <row r="3220">
      <c r="A3220" t="inlineStr">
        <is>
          <t>10b96e18-a8d2-41dd-a35a-3819ad5ebafc.jpg</t>
        </is>
      </c>
      <c r="B3220">
        <f>HYPERLINK("Объекты недвижимости, не соответствующие градостроительным нормам_00-022_Август/10b96e18-a8d2-41dd-a35a-3819ad5ebafc.jpg","open")</f>
        <v/>
      </c>
      <c r="C3220" t="inlineStr">
        <is>
          <t>1a55986c-2c3f-40c0-b3d1-014dce77832e</t>
        </is>
      </c>
      <c r="D3220" t="n">
        <v>55.84445</v>
      </c>
      <c r="E3220" t="n">
        <v>37.6697</v>
      </c>
      <c r="F3220" t="inlineStr"/>
      <c r="G3220" t="inlineStr"/>
      <c r="H3220" t="inlineStr"/>
    </row>
    <row r="3221">
      <c r="A3221" t="inlineStr">
        <is>
          <t>792b7992-80cd-4835-86bb-b895fcf35029.jpg</t>
        </is>
      </c>
      <c r="B3221">
        <f>HYPERLINK("Объекты недвижимости, не соответствующие градостроительным нормам_00-022_Август/792b7992-80cd-4835-86bb-b895fcf35029.jpg","open")</f>
        <v/>
      </c>
      <c r="C3221" t="inlineStr">
        <is>
          <t>1a55986c-2c3f-40c0-b3d1-014dce77832e</t>
        </is>
      </c>
      <c r="D3221" t="n">
        <v>55.84497</v>
      </c>
      <c r="E3221" t="n">
        <v>37.67038</v>
      </c>
      <c r="F3221" t="inlineStr"/>
      <c r="G3221" t="inlineStr"/>
      <c r="H3221" t="inlineStr"/>
    </row>
    <row r="3222">
      <c r="A3222" t="inlineStr">
        <is>
          <t>d183aa23-08c7-43de-8ba2-b6d3204ecfe5.jpg</t>
        </is>
      </c>
      <c r="B3222">
        <f>HYPERLINK("Объекты недвижимости, не соответствующие градостроительным нормам_00-022_Август/d183aa23-08c7-43de-8ba2-b6d3204ecfe5.jpg","open")</f>
        <v/>
      </c>
      <c r="C3222" t="inlineStr">
        <is>
          <t>ed2bf0f1-3a66-4913-896e-4420a9796c0b</t>
        </is>
      </c>
      <c r="D3222" t="n">
        <v>55.84577</v>
      </c>
      <c r="E3222" t="n">
        <v>37.6708</v>
      </c>
      <c r="F3222" t="inlineStr"/>
      <c r="G3222" t="inlineStr"/>
      <c r="H3222" t="inlineStr"/>
    </row>
    <row r="3223">
      <c r="A3223" t="inlineStr">
        <is>
          <t>562d608c-fc3f-4d44-a110-c7046da637ae.jpg</t>
        </is>
      </c>
      <c r="B3223">
        <f>HYPERLINK("Объекты недвижимости, не соответствующие градостроительным нормам_00-022_Август/562d608c-fc3f-4d44-a110-c7046da637ae.jpg","open")</f>
        <v/>
      </c>
      <c r="C3223" t="inlineStr">
        <is>
          <t>b0429a31-0c70-4b9f-8ea5-73929d82f89e</t>
        </is>
      </c>
      <c r="D3223" t="n">
        <v>55.64041</v>
      </c>
      <c r="E3223" t="n">
        <v>37.68657</v>
      </c>
      <c r="F3223" t="inlineStr"/>
      <c r="G3223" t="inlineStr"/>
      <c r="H3223" t="inlineStr"/>
    </row>
    <row r="3224">
      <c r="A3224" t="inlineStr">
        <is>
          <t>70781e83-9458-4ecf-a3d7-585ca20c54a0.jpg</t>
        </is>
      </c>
      <c r="B3224">
        <f>HYPERLINK("Объекты недвижимости, не соответствующие градостроительным нормам_00-022_Август/70781e83-9458-4ecf-a3d7-585ca20c54a0.jpg","open")</f>
        <v/>
      </c>
      <c r="C3224" t="inlineStr">
        <is>
          <t>8cde1fd0-eca1-4510-86ab-3c743b65fdfc</t>
        </is>
      </c>
      <c r="D3224" t="n">
        <v>55.72501</v>
      </c>
      <c r="E3224" t="n">
        <v>37.8004</v>
      </c>
      <c r="F3224" t="inlineStr"/>
      <c r="G3224" t="inlineStr"/>
      <c r="H3224" t="inlineStr"/>
    </row>
    <row r="3225">
      <c r="A3225" t="inlineStr">
        <is>
          <t>ba8e138a-46b2-49c5-9c4b-6e65b9dea700.jpg</t>
        </is>
      </c>
      <c r="B3225">
        <f>HYPERLINK("Объекты недвижимости, не соответствующие градостроительным нормам_00-022_Август/ba8e138a-46b2-49c5-9c4b-6e65b9dea700.jpg","open")</f>
        <v/>
      </c>
      <c r="C3225" t="inlineStr">
        <is>
          <t>1c951e11-4940-43c6-a447-394097e5609a</t>
        </is>
      </c>
      <c r="D3225" t="n">
        <v>55.72504</v>
      </c>
      <c r="E3225" t="n">
        <v>37.80048</v>
      </c>
      <c r="F3225" t="inlineStr"/>
      <c r="G3225" t="inlineStr"/>
      <c r="H3225" t="inlineStr"/>
    </row>
    <row r="3226">
      <c r="A3226" t="inlineStr">
        <is>
          <t>e1741059-1977-4778-944d-f731ea386115.jpg</t>
        </is>
      </c>
      <c r="B3226">
        <f>HYPERLINK("Объекты недвижимости, не соответствующие градостроительным нормам_00-022_Август/e1741059-1977-4778-944d-f731ea386115.jpg","open")</f>
        <v/>
      </c>
      <c r="C3226" t="inlineStr">
        <is>
          <t>8cde1fd0-eca1-4510-86ab-3c743b65fdfc</t>
        </is>
      </c>
      <c r="D3226" t="n">
        <v>55.72475</v>
      </c>
      <c r="E3226" t="n">
        <v>37.79987</v>
      </c>
      <c r="F3226" t="inlineStr"/>
      <c r="G3226" t="inlineStr"/>
      <c r="H3226" t="inlineStr"/>
    </row>
    <row r="3227">
      <c r="A3227" t="inlineStr">
        <is>
          <t>f3106f5b-667c-42f6-88d4-e5e82d873e65.jpg</t>
        </is>
      </c>
      <c r="B3227">
        <f>HYPERLINK("Объекты недвижимости, не соответствующие градостроительным нормам_00-022_Август/f3106f5b-667c-42f6-88d4-e5e82d873e65.jpg","open")</f>
        <v/>
      </c>
      <c r="C3227" t="inlineStr">
        <is>
          <t>1c951e11-4940-43c6-a447-394097e5609a</t>
        </is>
      </c>
      <c r="D3227" t="n">
        <v>55.72466</v>
      </c>
      <c r="E3227" t="n">
        <v>37.7957</v>
      </c>
      <c r="F3227" t="inlineStr"/>
      <c r="G3227" t="inlineStr"/>
      <c r="H3227" t="inlineStr"/>
    </row>
    <row r="3228">
      <c r="A3228" t="inlineStr">
        <is>
          <t>f40d3e08-1a12-4ee5-ae27-5f99c8fc4098.jpg</t>
        </is>
      </c>
      <c r="B3228">
        <f>HYPERLINK("Объекты недвижимости, не соответствующие градостроительным нормам_00-022_Август/f40d3e08-1a12-4ee5-ae27-5f99c8fc4098.jpg","open")</f>
        <v/>
      </c>
      <c r="C3228" t="inlineStr">
        <is>
          <t>8cde1fd0-eca1-4510-86ab-3c743b65fdfc</t>
        </is>
      </c>
      <c r="D3228" t="n">
        <v>55.72469</v>
      </c>
      <c r="E3228" t="n">
        <v>37.79559</v>
      </c>
      <c r="F3228" t="inlineStr"/>
      <c r="G3228" t="inlineStr"/>
      <c r="H3228" t="inlineStr"/>
    </row>
    <row r="3229">
      <c r="A3229" t="inlineStr">
        <is>
          <t>a58b2d06-4556-49e4-980f-d21a434287c9.jpg</t>
        </is>
      </c>
      <c r="B3229">
        <f>HYPERLINK("Объекты недвижимости, не соответствующие градостроительным нормам_00-022_Август/a58b2d06-4556-49e4-980f-d21a434287c9.jpg","open")</f>
        <v/>
      </c>
      <c r="C3229" t="inlineStr">
        <is>
          <t>cbf95b01-f708-45a3-9ec0-3603469b538e</t>
        </is>
      </c>
      <c r="D3229" t="n">
        <v>55.77896</v>
      </c>
      <c r="E3229" t="n">
        <v>37.62409</v>
      </c>
      <c r="F3229" t="inlineStr"/>
      <c r="G3229" t="inlineStr"/>
      <c r="H3229" t="inlineStr"/>
    </row>
    <row r="3230">
      <c r="A3230" t="inlineStr">
        <is>
          <t>20dcec54-3a1d-4d78-86fa-28b278b07031.jpg</t>
        </is>
      </c>
      <c r="B3230">
        <f>HYPERLINK("Объекты недвижимости, не соответствующие градостроительным нормам_00-022_Август/20dcec54-3a1d-4d78-86fa-28b278b07031.jpg","open")</f>
        <v/>
      </c>
      <c r="C3230" t="inlineStr">
        <is>
          <t>cbf95b01-f708-45a3-9ec0-3603469b538e</t>
        </is>
      </c>
      <c r="D3230" t="n">
        <v>55.77853</v>
      </c>
      <c r="E3230" t="n">
        <v>37.62617</v>
      </c>
      <c r="F3230" t="inlineStr"/>
      <c r="G3230" t="inlineStr"/>
      <c r="H3230" t="inlineStr"/>
    </row>
    <row r="3231">
      <c r="A3231" t="inlineStr">
        <is>
          <t>68733f11-6ef2-4dac-a274-612124446a68.jpg</t>
        </is>
      </c>
      <c r="B3231">
        <f>HYPERLINK("Объекты недвижимости, не соответствующие градостроительным нормам_00-022_Август/68733f11-6ef2-4dac-a274-612124446a68.jpg","open")</f>
        <v/>
      </c>
      <c r="C3231" t="inlineStr">
        <is>
          <t>cbf95b01-f708-45a3-9ec0-3603469b538e</t>
        </is>
      </c>
      <c r="D3231" t="n">
        <v>55.77999</v>
      </c>
      <c r="E3231" t="n">
        <v>37.63085</v>
      </c>
      <c r="F3231" t="inlineStr"/>
      <c r="G3231" t="inlineStr"/>
      <c r="H3231" t="inlineStr"/>
    </row>
    <row r="3232">
      <c r="A3232" t="inlineStr">
        <is>
          <t>ff4b00ad-5960-4e71-92d8-769d30d73281.jpg</t>
        </is>
      </c>
      <c r="B3232">
        <f>HYPERLINK("Объекты недвижимости, не соответствующие градостроительным нормам_00-022_Август/ff4b00ad-5960-4e71-92d8-769d30d73281.jpg","open")</f>
        <v/>
      </c>
      <c r="C3232" t="inlineStr">
        <is>
          <t>cbf95b01-f708-45a3-9ec0-3603469b538e</t>
        </is>
      </c>
      <c r="D3232" t="n">
        <v>55.78002</v>
      </c>
      <c r="E3232" t="n">
        <v>37.63078</v>
      </c>
      <c r="F3232" t="inlineStr"/>
      <c r="G3232" t="inlineStr"/>
      <c r="H3232" t="inlineStr"/>
    </row>
    <row r="3233">
      <c r="A3233" t="inlineStr">
        <is>
          <t>f10da195-998a-498e-9de3-f552148b567e.jpg</t>
        </is>
      </c>
      <c r="B3233">
        <f>HYPERLINK("Объекты недвижимости, не соответствующие градостроительным нормам_00-022_Август/f10da195-998a-498e-9de3-f552148b567e.jpg","open")</f>
        <v/>
      </c>
      <c r="C3233" t="inlineStr">
        <is>
          <t>caa4772d-6278-4484-a046-ee25514bf521</t>
        </is>
      </c>
      <c r="D3233" t="n">
        <v>55.5083</v>
      </c>
      <c r="E3233" t="n">
        <v>37.57375</v>
      </c>
      <c r="F3233" t="inlineStr"/>
      <c r="G3233" t="inlineStr"/>
      <c r="H3233" t="inlineStr"/>
    </row>
    <row r="3234">
      <c r="A3234" t="inlineStr">
        <is>
          <t>9bd9dd2b-463a-46e7-bc5d-bcda7b3fb861.jpg</t>
        </is>
      </c>
      <c r="B3234">
        <f>HYPERLINK("Объекты недвижимости, не соответствующие градостроительным нормам_00-022_Август/9bd9dd2b-463a-46e7-bc5d-bcda7b3fb861.jpg","open")</f>
        <v/>
      </c>
      <c r="C3234" t="inlineStr">
        <is>
          <t>ed2bf0f1-3a66-4913-896e-4420a9796c0b</t>
        </is>
      </c>
      <c r="D3234" t="n">
        <v>55.86564</v>
      </c>
      <c r="E3234" t="n">
        <v>37.68081</v>
      </c>
      <c r="F3234" t="inlineStr"/>
      <c r="G3234" t="inlineStr"/>
      <c r="H3234" t="inlineStr"/>
    </row>
    <row r="3235">
      <c r="A3235" t="inlineStr">
        <is>
          <t>26c0dfe3-10e8-44f2-abb9-1c753b9fb575.jpg</t>
        </is>
      </c>
      <c r="B3235">
        <f>HYPERLINK("Объекты недвижимости, не соответствующие градостроительным нормам_00-022_Август/26c0dfe3-10e8-44f2-abb9-1c753b9fb575.jpg","open")</f>
        <v/>
      </c>
      <c r="C3235" t="inlineStr">
        <is>
          <t>685d9054-b74f-49ab-857b-109fd2cec80d</t>
        </is>
      </c>
      <c r="D3235" t="n">
        <v>55.64337</v>
      </c>
      <c r="E3235" t="n">
        <v>37.60291</v>
      </c>
      <c r="F3235" t="inlineStr"/>
      <c r="G3235" t="inlineStr"/>
      <c r="H3235" t="inlineStr"/>
    </row>
    <row r="3236">
      <c r="A3236" t="inlineStr">
        <is>
          <t>02171ec8-de46-4bda-b973-cb35820d0a37.jpg</t>
        </is>
      </c>
      <c r="B3236">
        <f>HYPERLINK("Объекты недвижимости, не соответствующие градостроительным нормам_00-022_Август/02171ec8-de46-4bda-b973-cb35820d0a37.jpg","open")</f>
        <v/>
      </c>
      <c r="C3236" t="inlineStr">
        <is>
          <t>acedacc2-0d8b-4fc1-9622-25621a89d071</t>
        </is>
      </c>
      <c r="D3236" t="n">
        <v>55.75668</v>
      </c>
      <c r="E3236" t="n">
        <v>37.83216</v>
      </c>
      <c r="F3236" t="inlineStr"/>
      <c r="G3236" t="inlineStr"/>
      <c r="H3236" t="inlineStr"/>
    </row>
    <row r="3237">
      <c r="A3237" t="inlineStr">
        <is>
          <t>83c055d9-554c-4ea9-8fed-77c63d0d7c1c.jpg</t>
        </is>
      </c>
      <c r="B3237">
        <f>HYPERLINK("Объекты недвижимости, не соответствующие градостроительным нормам_00-022_Август/83c055d9-554c-4ea9-8fed-77c63d0d7c1c.jpg","open")</f>
        <v/>
      </c>
      <c r="C3237" t="inlineStr">
        <is>
          <t>fce890a6-27da-4062-a046-08262a160ee6</t>
        </is>
      </c>
      <c r="D3237" t="n">
        <v>55.97284</v>
      </c>
      <c r="E3237" t="n">
        <v>37.43115</v>
      </c>
      <c r="F3237" t="inlineStr"/>
      <c r="G3237" t="inlineStr"/>
      <c r="H3237" t="inlineStr"/>
    </row>
    <row r="3238">
      <c r="A3238" t="inlineStr">
        <is>
          <t>7a8f368f-51ec-49cf-921e-759aae6d29c2.jpg</t>
        </is>
      </c>
      <c r="B3238">
        <f>HYPERLINK("Объекты недвижимости, не соответствующие градостроительным нормам_00-022_Август/7a8f368f-51ec-49cf-921e-759aae6d29c2.jpg","open")</f>
        <v/>
      </c>
      <c r="C3238" t="inlineStr">
        <is>
          <t>f9ad0a8f-1e33-4fca-bdfe-5b844d3ee381</t>
        </is>
      </c>
      <c r="D3238" t="n">
        <v>55.96889</v>
      </c>
      <c r="E3238" t="n">
        <v>37.40137</v>
      </c>
      <c r="F3238" t="inlineStr"/>
      <c r="G3238" t="inlineStr"/>
      <c r="H3238" t="inlineStr"/>
    </row>
    <row r="3239">
      <c r="A3239" t="inlineStr">
        <is>
          <t>d8d82a68-26ff-4ec0-a660-ed0590a78fd1.jpg</t>
        </is>
      </c>
      <c r="B3239">
        <f>HYPERLINK("Объекты недвижимости, не соответствующие градостроительным нормам_00-022_Август/d8d82a68-26ff-4ec0-a660-ed0590a78fd1.jpg","open")</f>
        <v/>
      </c>
      <c r="C3239" t="inlineStr">
        <is>
          <t>f9ad0a8f-1e33-4fca-bdfe-5b844d3ee381</t>
        </is>
      </c>
      <c r="D3239" t="n">
        <v>55.96889</v>
      </c>
      <c r="E3239" t="n">
        <v>37.40137</v>
      </c>
      <c r="F3239" t="inlineStr"/>
      <c r="G3239" t="inlineStr"/>
      <c r="H3239" t="inlineStr"/>
    </row>
    <row r="3240">
      <c r="A3240" t="inlineStr">
        <is>
          <t>518606a0-8247-46a6-91ec-9d75f811348c.jpg</t>
        </is>
      </c>
      <c r="B3240">
        <f>HYPERLINK("Объекты недвижимости, не соответствующие градостроительным нормам_00-022_Август/518606a0-8247-46a6-91ec-9d75f811348c.jpg","open")</f>
        <v/>
      </c>
      <c r="C3240" t="inlineStr">
        <is>
          <t>ed2bf0f1-3a66-4913-896e-4420a9796c0b</t>
        </is>
      </c>
      <c r="D3240" t="n">
        <v>55.86768</v>
      </c>
      <c r="E3240" t="n">
        <v>37.69057</v>
      </c>
      <c r="F3240" t="inlineStr"/>
      <c r="G3240" t="inlineStr"/>
      <c r="H3240" t="inlineStr"/>
    </row>
    <row r="3241">
      <c r="A3241" t="inlineStr">
        <is>
          <t>463dbdc2-15cc-4f19-b412-5826f70ba48f.jpg</t>
        </is>
      </c>
      <c r="B3241">
        <f>HYPERLINK("Объекты недвижимости, не соответствующие градостроительным нормам_00-022_Август/463dbdc2-15cc-4f19-b412-5826f70ba48f.jpg","open")</f>
        <v/>
      </c>
      <c r="C3241" t="inlineStr">
        <is>
          <t>8cde1fd0-eca1-4510-86ab-3c743b65fdfc</t>
        </is>
      </c>
      <c r="D3241" t="n">
        <v>55.79895</v>
      </c>
      <c r="E3241" t="n">
        <v>37.76908</v>
      </c>
      <c r="F3241" t="inlineStr"/>
      <c r="G3241" t="inlineStr"/>
      <c r="H3241" t="inlineStr"/>
    </row>
    <row r="3242">
      <c r="A3242" t="inlineStr">
        <is>
          <t>2dd5c820-3485-4d1d-8a00-afd5008161d9.jpg</t>
        </is>
      </c>
      <c r="B3242">
        <f>HYPERLINK("Объекты недвижимости, не соответствующие градостроительным нормам_00-022_Август/2dd5c820-3485-4d1d-8a00-afd5008161d9.jpg","open")</f>
        <v/>
      </c>
      <c r="C3242" t="inlineStr">
        <is>
          <t>8cde1fd0-eca1-4510-86ab-3c743b65fdfc</t>
        </is>
      </c>
      <c r="D3242" t="n">
        <v>55.79895</v>
      </c>
      <c r="E3242" t="n">
        <v>37.76908</v>
      </c>
      <c r="F3242" t="inlineStr"/>
      <c r="G3242" t="inlineStr"/>
      <c r="H3242" t="inlineStr"/>
    </row>
    <row r="3243">
      <c r="A3243" t="inlineStr">
        <is>
          <t>ab17c2a0-29d7-4351-a3a2-6ce633e9c064.jpg</t>
        </is>
      </c>
      <c r="B3243">
        <f>HYPERLINK("Объекты недвижимости, не соответствующие градостроительным нормам_00-022_Август/ab17c2a0-29d7-4351-a3a2-6ce633e9c064.jpg","open")</f>
        <v/>
      </c>
      <c r="C3243" t="inlineStr">
        <is>
          <t>685d9054-b74f-49ab-857b-109fd2cec80d</t>
        </is>
      </c>
      <c r="D3243" t="n">
        <v>55.64375</v>
      </c>
      <c r="E3243" t="n">
        <v>37.59911</v>
      </c>
      <c r="F3243" t="inlineStr"/>
      <c r="G3243" t="inlineStr"/>
      <c r="H3243" t="inlineStr"/>
    </row>
    <row r="3244">
      <c r="A3244" t="inlineStr">
        <is>
          <t>e83464ad-5ef5-4438-a640-958f24498b13.jpg</t>
        </is>
      </c>
      <c r="B3244">
        <f>HYPERLINK("Объекты недвижимости, не соответствующие градостроительным нормам_00-022_Август/e83464ad-5ef5-4438-a640-958f24498b13.jpg","open")</f>
        <v/>
      </c>
      <c r="C3244" t="inlineStr">
        <is>
          <t>1c951e11-4940-43c6-a447-394097e5609a</t>
        </is>
      </c>
      <c r="D3244" t="n">
        <v>55.7987</v>
      </c>
      <c r="E3244" t="n">
        <v>37.76682</v>
      </c>
      <c r="F3244" t="inlineStr"/>
      <c r="G3244" t="inlineStr"/>
      <c r="H3244" t="inlineStr"/>
    </row>
    <row r="3245">
      <c r="A3245" t="inlineStr">
        <is>
          <t>61b35490-02c1-42ce-8a29-e71995efb85b.jpg</t>
        </is>
      </c>
      <c r="B3245">
        <f>HYPERLINK("Объекты недвижимости, не соответствующие градостроительным нормам_00-022_Август/61b35490-02c1-42ce-8a29-e71995efb85b.jpg","open")</f>
        <v/>
      </c>
      <c r="C3245" t="inlineStr">
        <is>
          <t>cbf95b01-f708-45a3-9ec0-3603469b538e</t>
        </is>
      </c>
      <c r="D3245" t="n">
        <v>55.78075</v>
      </c>
      <c r="E3245" t="n">
        <v>37.63247</v>
      </c>
      <c r="F3245" t="inlineStr"/>
      <c r="G3245" t="inlineStr"/>
      <c r="H3245" t="inlineStr"/>
    </row>
    <row r="3246">
      <c r="A3246" t="inlineStr">
        <is>
          <t>e01002f6-1fdf-42f1-9fc0-ae5aedcdaf27.jpg</t>
        </is>
      </c>
      <c r="B3246">
        <f>HYPERLINK("Объекты недвижимости, не соответствующие градостроительным нормам_00-022_Август/e01002f6-1fdf-42f1-9fc0-ae5aedcdaf27.jpg","open")</f>
        <v/>
      </c>
      <c r="C3246" t="inlineStr">
        <is>
          <t>cbf95b01-f708-45a3-9ec0-3603469b538e</t>
        </is>
      </c>
      <c r="D3246" t="n">
        <v>55.78075</v>
      </c>
      <c r="E3246" t="n">
        <v>37.63247</v>
      </c>
      <c r="F3246" t="inlineStr"/>
      <c r="G3246" t="inlineStr"/>
      <c r="H3246" t="inlineStr"/>
    </row>
    <row r="3247">
      <c r="A3247" t="inlineStr">
        <is>
          <t>87ba6d41-e9db-431c-8035-17302b94000f.jpg</t>
        </is>
      </c>
      <c r="B3247">
        <f>HYPERLINK("Объекты недвижимости, не соответствующие градостроительным нормам_00-022_Август/87ba6d41-e9db-431c-8035-17302b94000f.jpg","open")</f>
        <v/>
      </c>
      <c r="C3247" t="inlineStr">
        <is>
          <t>b6b3590f-f506-4399-8205-e7ac710132e7</t>
        </is>
      </c>
      <c r="D3247" t="n">
        <v>55.81223</v>
      </c>
      <c r="E3247" t="n">
        <v>37.53077</v>
      </c>
      <c r="F3247" t="inlineStr"/>
      <c r="G3247" t="inlineStr"/>
      <c r="H3247" t="inlineStr"/>
    </row>
    <row r="3248">
      <c r="A3248" t="inlineStr">
        <is>
          <t>13271b26-9a68-4b40-b889-c6fcd6056ba9.jpg</t>
        </is>
      </c>
      <c r="B3248">
        <f>HYPERLINK("Объекты недвижимости, не соответствующие градостроительным нормам_00-022_Август/13271b26-9a68-4b40-b889-c6fcd6056ba9.jpg","open")</f>
        <v/>
      </c>
      <c r="C3248" t="inlineStr">
        <is>
          <t>fb40ed24-21ef-458a-a239-038ab19932cc</t>
        </is>
      </c>
      <c r="D3248" t="n">
        <v>55.79299</v>
      </c>
      <c r="E3248" t="n">
        <v>37.79012</v>
      </c>
      <c r="F3248" t="inlineStr"/>
      <c r="G3248" t="inlineStr"/>
      <c r="H3248" t="inlineStr"/>
    </row>
    <row r="3249">
      <c r="A3249" t="inlineStr">
        <is>
          <t>6cccc90a-65cb-4b23-9712-9e182e6ab1ba.jpg</t>
        </is>
      </c>
      <c r="B3249">
        <f>HYPERLINK("Объекты недвижимости, не соответствующие градостроительным нормам_00-022_Август/6cccc90a-65cb-4b23-9712-9e182e6ab1ba.jpg","open")</f>
        <v/>
      </c>
      <c r="C3249" t="inlineStr">
        <is>
          <t>685d9054-b74f-49ab-857b-109fd2cec80d</t>
        </is>
      </c>
      <c r="D3249" t="n">
        <v>55.6435</v>
      </c>
      <c r="E3249" t="n">
        <v>37.59604</v>
      </c>
      <c r="F3249" t="inlineStr"/>
      <c r="G3249" t="inlineStr"/>
      <c r="H3249" t="inlineStr"/>
    </row>
    <row r="3250">
      <c r="A3250" t="inlineStr">
        <is>
          <t>6d6e2522-6868-4eca-b81b-29db23c41b19.jpg</t>
        </is>
      </c>
      <c r="B3250">
        <f>HYPERLINK("Объекты недвижимости, не соответствующие градостроительным нормам_00-022_Август/6d6e2522-6868-4eca-b81b-29db23c41b19.jpg","open")</f>
        <v/>
      </c>
      <c r="C3250" t="inlineStr">
        <is>
          <t>685d9054-b74f-49ab-857b-109fd2cec80d</t>
        </is>
      </c>
      <c r="D3250" t="n">
        <v>55.64355</v>
      </c>
      <c r="E3250" t="n">
        <v>37.59599</v>
      </c>
      <c r="F3250" t="inlineStr"/>
      <c r="G3250" t="inlineStr"/>
      <c r="H3250" t="inlineStr"/>
    </row>
    <row r="3251">
      <c r="A3251" t="inlineStr">
        <is>
          <t>16db09a7-0103-49ee-a334-7c73ea4bda89.jpg</t>
        </is>
      </c>
      <c r="B3251">
        <f>HYPERLINK("Объекты недвижимости, не соответствующие градостроительным нормам_00-022_Август/16db09a7-0103-49ee-a334-7c73ea4bda89.jpg","open")</f>
        <v/>
      </c>
      <c r="C3251" t="inlineStr">
        <is>
          <t>1231bbc5-e64c-4dc7-9acc-77710f47607a</t>
        </is>
      </c>
      <c r="D3251" t="n">
        <v>55.64356</v>
      </c>
      <c r="E3251" t="n">
        <v>37.59602</v>
      </c>
      <c r="F3251" t="inlineStr"/>
      <c r="G3251" t="inlineStr"/>
      <c r="H3251" t="inlineStr"/>
    </row>
    <row r="3252">
      <c r="A3252" t="inlineStr">
        <is>
          <t>5d35c878-fc56-45b9-b561-9ae5b3c69446.jpg</t>
        </is>
      </c>
      <c r="B3252">
        <f>HYPERLINK("Объекты недвижимости, не соответствующие градостроительным нормам_00-022_Август/5d35c878-fc56-45b9-b561-9ae5b3c69446.jpg","open")</f>
        <v/>
      </c>
      <c r="C3252" t="inlineStr">
        <is>
          <t>cbf95b01-f708-45a3-9ec0-3603469b538e</t>
        </is>
      </c>
      <c r="D3252" t="n">
        <v>55.77844</v>
      </c>
      <c r="E3252" t="n">
        <v>37.64678</v>
      </c>
      <c r="F3252" t="inlineStr"/>
      <c r="G3252" t="inlineStr"/>
      <c r="H3252" t="inlineStr"/>
    </row>
    <row r="3253">
      <c r="A3253" t="inlineStr">
        <is>
          <t>411abcca-ff94-48f5-ad42-21467e8801e8.jpg</t>
        </is>
      </c>
      <c r="B3253">
        <f>HYPERLINK("Объекты недвижимости, не соответствующие градостроительным нормам_00-022_Август/411abcca-ff94-48f5-ad42-21467e8801e8.jpg","open")</f>
        <v/>
      </c>
      <c r="C3253" t="inlineStr">
        <is>
          <t>cbf95b01-f708-45a3-9ec0-3603469b538e</t>
        </is>
      </c>
      <c r="D3253" t="n">
        <v>55.77604</v>
      </c>
      <c r="E3253" t="n">
        <v>37.64971</v>
      </c>
      <c r="F3253" t="inlineStr"/>
      <c r="G3253" t="inlineStr"/>
      <c r="H3253" t="inlineStr"/>
    </row>
    <row r="3254">
      <c r="A3254" t="inlineStr">
        <is>
          <t>e4930f0d-7c40-43dd-a9c2-40144bb62655.jpg</t>
        </is>
      </c>
      <c r="B3254">
        <f>HYPERLINK("Объекты недвижимости, не соответствующие градостроительным нормам_00-022_Август/e4930f0d-7c40-43dd-a9c2-40144bb62655.jpg","open")</f>
        <v/>
      </c>
      <c r="C3254" t="inlineStr">
        <is>
          <t>cbf95b01-f708-45a3-9ec0-3603469b538e</t>
        </is>
      </c>
      <c r="D3254" t="n">
        <v>55.77595</v>
      </c>
      <c r="E3254" t="n">
        <v>37.64985</v>
      </c>
      <c r="F3254" t="inlineStr"/>
      <c r="G3254" t="inlineStr"/>
      <c r="H3254" t="inlineStr"/>
    </row>
    <row r="3255">
      <c r="A3255" t="inlineStr">
        <is>
          <t>cd00d383-1c8b-4a02-a62d-c47d4c75614b.jpg</t>
        </is>
      </c>
      <c r="B3255">
        <f>HYPERLINK("Объекты недвижимости, не соответствующие градостроительным нормам_00-022_Август/cd00d383-1c8b-4a02-a62d-c47d4c75614b.jpg","open")</f>
        <v/>
      </c>
      <c r="C3255" t="inlineStr">
        <is>
          <t>a1a9db89-3f74-42ef-8fad-ad69705102cd</t>
        </is>
      </c>
      <c r="D3255" t="n">
        <v>55.77602</v>
      </c>
      <c r="E3255" t="n">
        <v>37.64975</v>
      </c>
      <c r="F3255" t="inlineStr"/>
      <c r="G3255" t="inlineStr"/>
      <c r="H3255" t="inlineStr"/>
    </row>
    <row r="3256">
      <c r="A3256" t="inlineStr">
        <is>
          <t>323e59a1-6c2d-4af4-a811-7dbda6de405c.jpg</t>
        </is>
      </c>
      <c r="B3256">
        <f>HYPERLINK("Объекты недвижимости, не соответствующие градостроительным нормам_00-022_Август/323e59a1-6c2d-4af4-a811-7dbda6de405c.jpg","open")</f>
        <v/>
      </c>
      <c r="C3256" t="inlineStr">
        <is>
          <t>cbf95b01-f708-45a3-9ec0-3603469b538e</t>
        </is>
      </c>
      <c r="D3256" t="n">
        <v>55.77588</v>
      </c>
      <c r="E3256" t="n">
        <v>37.64996</v>
      </c>
      <c r="F3256" t="inlineStr"/>
      <c r="G3256" t="inlineStr"/>
      <c r="H3256" t="inlineStr"/>
    </row>
    <row r="3257">
      <c r="A3257" t="inlineStr">
        <is>
          <t>04cf8901-83b0-46cf-8671-fc242290679f.jpg</t>
        </is>
      </c>
      <c r="B3257">
        <f>HYPERLINK("Объекты недвижимости, не соответствующие градостроительным нормам_00-022_Август/04cf8901-83b0-46cf-8671-fc242290679f.jpg","open")</f>
        <v/>
      </c>
      <c r="C3257" t="inlineStr">
        <is>
          <t>61936922-4d4b-458e-80ea-6d4c450aa1d5</t>
        </is>
      </c>
      <c r="D3257" t="n">
        <v>55.7217</v>
      </c>
      <c r="E3257" t="n">
        <v>37.51154</v>
      </c>
      <c r="F3257" t="inlineStr"/>
      <c r="G3257" t="inlineStr"/>
      <c r="H3257" t="inlineStr"/>
    </row>
    <row r="3258">
      <c r="A3258" t="inlineStr">
        <is>
          <t>068856f9-3dbe-4b4d-9ddb-295c6933f138.jpg</t>
        </is>
      </c>
      <c r="B3258">
        <f>HYPERLINK("Объекты недвижимости, не соответствующие градостроительным нормам_00-022_Август/068856f9-3dbe-4b4d-9ddb-295c6933f138.jpg","open")</f>
        <v/>
      </c>
      <c r="C3258" t="inlineStr">
        <is>
          <t>61936922-4d4b-458e-80ea-6d4c450aa1d5</t>
        </is>
      </c>
      <c r="D3258" t="n">
        <v>55.72173</v>
      </c>
      <c r="E3258" t="n">
        <v>37.51148</v>
      </c>
      <c r="F3258" t="inlineStr"/>
      <c r="G3258" t="inlineStr"/>
      <c r="H3258" t="inlineStr"/>
    </row>
    <row r="3259">
      <c r="A3259" t="inlineStr">
        <is>
          <t>4467dd0c-bd9a-4736-a64b-a733c9b99c1c.jpg</t>
        </is>
      </c>
      <c r="B3259">
        <f>HYPERLINK("Объекты недвижимости, не соответствующие градостроительным нормам_00-022_Август/4467dd0c-bd9a-4736-a64b-a733c9b99c1c.jpg","open")</f>
        <v/>
      </c>
      <c r="C3259" t="inlineStr">
        <is>
          <t>cb4060b2-34d3-44a4-9f60-115fb1e9278e</t>
        </is>
      </c>
      <c r="D3259" t="n">
        <v>55.79855</v>
      </c>
      <c r="E3259" t="n">
        <v>37.69934</v>
      </c>
      <c r="F3259" t="inlineStr"/>
      <c r="G3259" t="inlineStr"/>
      <c r="H3259" t="inlineStr"/>
    </row>
    <row r="3260">
      <c r="A3260" t="inlineStr">
        <is>
          <t>0fbc3905-985c-4e6e-abc4-e7cbb66d1727.jpg</t>
        </is>
      </c>
      <c r="B3260">
        <f>HYPERLINK("Объекты недвижимости, не соответствующие градостроительным нормам_00-022_Август/0fbc3905-985c-4e6e-abc4-e7cbb66d1727.jpg","open")</f>
        <v/>
      </c>
      <c r="C3260" t="inlineStr">
        <is>
          <t>685d9054-b74f-49ab-857b-109fd2cec80d</t>
        </is>
      </c>
      <c r="D3260" t="n">
        <v>55.64494</v>
      </c>
      <c r="E3260" t="n">
        <v>37.58311</v>
      </c>
      <c r="F3260" t="inlineStr"/>
      <c r="G3260" t="inlineStr"/>
      <c r="H3260" t="inlineStr"/>
    </row>
    <row r="3261">
      <c r="A3261" t="inlineStr">
        <is>
          <t>8ac57571-6e94-4574-b754-70429362e729.jpg</t>
        </is>
      </c>
      <c r="B3261">
        <f>HYPERLINK("Объекты недвижимости, не соответствующие градостроительным нормам_00-022_Август/8ac57571-6e94-4574-b754-70429362e729.jpg","open")</f>
        <v/>
      </c>
      <c r="C3261" t="inlineStr">
        <is>
          <t>b6b3590f-f506-4399-8205-e7ac710132e7</t>
        </is>
      </c>
      <c r="D3261" t="n">
        <v>55.9666</v>
      </c>
      <c r="E3261" t="n">
        <v>37.40428</v>
      </c>
      <c r="F3261" t="inlineStr"/>
      <c r="G3261" t="inlineStr"/>
      <c r="H3261" t="inlineStr"/>
    </row>
    <row r="3262">
      <c r="A3262" t="inlineStr">
        <is>
          <t>1e8d70f1-db52-494f-b669-104af99734d4.jpg</t>
        </is>
      </c>
      <c r="B3262">
        <f>HYPERLINK("Объекты недвижимости, не соответствующие градостроительным нормам_00-022_Август/1e8d70f1-db52-494f-b669-104af99734d4.jpg","open")</f>
        <v/>
      </c>
      <c r="C3262" t="inlineStr">
        <is>
          <t>e90a3ac0-5b70-4ede-abeb-382371713306</t>
        </is>
      </c>
      <c r="D3262" t="n">
        <v>55.64997</v>
      </c>
      <c r="E3262" t="n">
        <v>37.7</v>
      </c>
      <c r="F3262" t="inlineStr"/>
      <c r="G3262" t="inlineStr"/>
      <c r="H3262" t="inlineStr"/>
    </row>
    <row r="3263">
      <c r="A3263" t="inlineStr">
        <is>
          <t>ce4b6549-590f-4ca5-944e-663eaeb029fb.jpg</t>
        </is>
      </c>
      <c r="B3263">
        <f>HYPERLINK("Объекты недвижимости, не соответствующие градостроительным нормам_00-022_Август/ce4b6549-590f-4ca5-944e-663eaeb029fb.jpg","open")</f>
        <v/>
      </c>
      <c r="C3263" t="inlineStr">
        <is>
          <t>57812597-37e6-414c-8b11-8c661dbfeb70</t>
        </is>
      </c>
      <c r="D3263" t="n">
        <v>55.7355</v>
      </c>
      <c r="E3263" t="n">
        <v>37.57358</v>
      </c>
      <c r="F3263" t="inlineStr"/>
      <c r="G3263" t="inlineStr"/>
      <c r="H3263" t="inlineStr"/>
    </row>
    <row r="3264">
      <c r="A3264" t="inlineStr">
        <is>
          <t>a7c6e232-f22d-4438-b0b5-a35b0579fb1c.jpg</t>
        </is>
      </c>
      <c r="B3264">
        <f>HYPERLINK("Объекты недвижимости, не соответствующие градостроительным нормам_00-022_Август/a7c6e232-f22d-4438-b0b5-a35b0579fb1c.jpg","open")</f>
        <v/>
      </c>
      <c r="C3264" t="inlineStr">
        <is>
          <t>57812597-37e6-414c-8b11-8c661dbfeb70</t>
        </is>
      </c>
      <c r="D3264" t="n">
        <v>55.73542</v>
      </c>
      <c r="E3264" t="n">
        <v>37.5738</v>
      </c>
      <c r="F3264" t="inlineStr"/>
      <c r="G3264" t="inlineStr"/>
      <c r="H3264" t="inlineStr"/>
    </row>
    <row r="3265">
      <c r="A3265" t="inlineStr">
        <is>
          <t>0db817a5-27f7-41e6-89bf-6d31a7dd42bd.jpg</t>
        </is>
      </c>
      <c r="B3265">
        <f>HYPERLINK("Объекты недвижимости, не соответствующие градостроительным нормам_00-022_Август/0db817a5-27f7-41e6-89bf-6d31a7dd42bd.jpg","open")</f>
        <v/>
      </c>
      <c r="C3265" t="inlineStr">
        <is>
          <t>acedacc2-0d8b-4fc1-9622-25621a89d071</t>
        </is>
      </c>
      <c r="D3265" t="n">
        <v>55.7644</v>
      </c>
      <c r="E3265" t="n">
        <v>37.83349</v>
      </c>
      <c r="F3265" t="inlineStr"/>
      <c r="G3265" t="inlineStr"/>
      <c r="H3265" t="inlineStr"/>
    </row>
    <row r="3266">
      <c r="A3266" t="inlineStr">
        <is>
          <t>d5d43196-0cf9-493b-b1e6-ba6bc25b482d.jpg</t>
        </is>
      </c>
      <c r="B3266">
        <f>HYPERLINK("Объекты недвижимости, не соответствующие градостроительным нормам_00-022_Август/d5d43196-0cf9-493b-b1e6-ba6bc25b482d.jpg","open")</f>
        <v/>
      </c>
      <c r="C3266" t="inlineStr">
        <is>
          <t>57812597-37e6-414c-8b11-8c661dbfeb70</t>
        </is>
      </c>
      <c r="D3266" t="n">
        <v>55.74011</v>
      </c>
      <c r="E3266" t="n">
        <v>37.58961</v>
      </c>
      <c r="F3266" t="inlineStr"/>
      <c r="G3266" t="inlineStr"/>
      <c r="H3266" t="inlineStr"/>
    </row>
    <row r="3267">
      <c r="A3267" t="inlineStr">
        <is>
          <t>2cbc5908-03cd-477e-a6c4-a1ef96cae9bb.jpg</t>
        </is>
      </c>
      <c r="B3267">
        <f>HYPERLINK("Объекты недвижимости, не соответствующие градостроительным нормам_00-022_Август/2cbc5908-03cd-477e-a6c4-a1ef96cae9bb.jpg","open")</f>
        <v/>
      </c>
      <c r="C3267" t="inlineStr">
        <is>
          <t>a1a9db89-3f74-42ef-8fad-ad69705102cd</t>
        </is>
      </c>
      <c r="D3267" t="n">
        <v>55.77662</v>
      </c>
      <c r="E3267" t="n">
        <v>37.66071</v>
      </c>
      <c r="F3267" t="inlineStr"/>
      <c r="G3267" t="inlineStr"/>
      <c r="H3267" t="inlineStr"/>
    </row>
    <row r="3268">
      <c r="A3268" t="inlineStr">
        <is>
          <t>d7d15cd3-166e-4d15-83c7-4dd2259b5897.jpg</t>
        </is>
      </c>
      <c r="B3268">
        <f>HYPERLINK("Объекты недвижимости, не соответствующие градостроительным нормам_00-022_Август/d7d15cd3-166e-4d15-83c7-4dd2259b5897.jpg","open")</f>
        <v/>
      </c>
      <c r="C3268" t="inlineStr">
        <is>
          <t>a1a9db89-3f74-42ef-8fad-ad69705102cd</t>
        </is>
      </c>
      <c r="D3268" t="n">
        <v>55.77662</v>
      </c>
      <c r="E3268" t="n">
        <v>37.66071</v>
      </c>
      <c r="F3268" t="inlineStr"/>
      <c r="G3268" t="inlineStr"/>
      <c r="H3268" t="inlineStr"/>
    </row>
    <row r="3269">
      <c r="A3269" t="inlineStr">
        <is>
          <t>354e5768-bc36-41d6-8a4e-fe50036f14d8.jpg</t>
        </is>
      </c>
      <c r="B3269">
        <f>HYPERLINK("Объекты недвижимости, не соответствующие градостроительным нормам_00-022_Август/354e5768-bc36-41d6-8a4e-fe50036f14d8.jpg","open")</f>
        <v/>
      </c>
      <c r="C3269" t="inlineStr">
        <is>
          <t>cbf95b01-f708-45a3-9ec0-3603469b538e</t>
        </is>
      </c>
      <c r="D3269" t="n">
        <v>55.77662</v>
      </c>
      <c r="E3269" t="n">
        <v>37.66071</v>
      </c>
      <c r="F3269" t="inlineStr"/>
      <c r="G3269" t="inlineStr"/>
      <c r="H3269" t="inlineStr"/>
    </row>
    <row r="3270">
      <c r="A3270" t="inlineStr">
        <is>
          <t>8b96776a-0396-4e41-a8e3-ab942dc44b67.jpg</t>
        </is>
      </c>
      <c r="B3270">
        <f>HYPERLINK("Объекты недвижимости, не соответствующие градостроительным нормам_00-022_Август/8b96776a-0396-4e41-a8e3-ab942dc44b67.jpg","open")</f>
        <v/>
      </c>
      <c r="C3270" t="inlineStr">
        <is>
          <t>cbf95b01-f708-45a3-9ec0-3603469b538e</t>
        </is>
      </c>
      <c r="D3270" t="n">
        <v>55.77802</v>
      </c>
      <c r="E3270" t="n">
        <v>37.67517</v>
      </c>
      <c r="F3270" t="inlineStr"/>
      <c r="G3270" t="inlineStr"/>
      <c r="H3270" t="inlineStr"/>
    </row>
    <row r="3271">
      <c r="A3271" t="inlineStr">
        <is>
          <t>e372be78-4693-4c55-aafe-b0564eeb6a55.jpg</t>
        </is>
      </c>
      <c r="B3271">
        <f>HYPERLINK("Объекты недвижимости, не соответствующие градостроительным нормам_00-022_Август/e372be78-4693-4c55-aafe-b0564eeb6a55.jpg","open")</f>
        <v/>
      </c>
      <c r="C3271" t="inlineStr">
        <is>
          <t>57812597-37e6-414c-8b11-8c661dbfeb70</t>
        </is>
      </c>
      <c r="D3271" t="n">
        <v>55.73885</v>
      </c>
      <c r="E3271" t="n">
        <v>37.5986</v>
      </c>
      <c r="F3271" t="inlineStr"/>
      <c r="G3271" t="inlineStr"/>
      <c r="H3271" t="inlineStr"/>
    </row>
    <row r="3272">
      <c r="A3272" t="inlineStr">
        <is>
          <t>c618c5af-67bb-42da-acc6-74cc741e0d33.jpg</t>
        </is>
      </c>
      <c r="B3272">
        <f>HYPERLINK("Объекты недвижимости, не соответствующие градостроительным нормам_00-022_Август/c618c5af-67bb-42da-acc6-74cc741e0d33.jpg","open")</f>
        <v/>
      </c>
      <c r="C3272" t="inlineStr">
        <is>
          <t>cbf95b01-f708-45a3-9ec0-3603469b538e</t>
        </is>
      </c>
      <c r="D3272" t="n">
        <v>55.77662</v>
      </c>
      <c r="E3272" t="n">
        <v>37.66071</v>
      </c>
      <c r="F3272" t="inlineStr"/>
      <c r="G3272" t="inlineStr"/>
      <c r="H3272" t="inlineStr"/>
    </row>
    <row r="3273">
      <c r="A3273" t="inlineStr">
        <is>
          <t>b7f025ab-b3f8-4028-a405-bdaee5207c50.jpg</t>
        </is>
      </c>
      <c r="B3273">
        <f>HYPERLINK("Объекты недвижимости, не соответствующие градостроительным нормам_00-022_Август/b7f025ab-b3f8-4028-a405-bdaee5207c50.jpg","open")</f>
        <v/>
      </c>
      <c r="C3273" t="inlineStr">
        <is>
          <t>a1a9db89-3f74-42ef-8fad-ad69705102cd</t>
        </is>
      </c>
      <c r="D3273" t="n">
        <v>55.7776</v>
      </c>
      <c r="E3273" t="n">
        <v>37.67796</v>
      </c>
      <c r="F3273" t="inlineStr"/>
      <c r="G3273" t="inlineStr"/>
      <c r="H3273" t="inlineStr"/>
    </row>
    <row r="3274">
      <c r="A3274" t="inlineStr">
        <is>
          <t>97f4734d-419c-4483-bb3d-e039515098b9.jpg</t>
        </is>
      </c>
      <c r="B3274">
        <f>HYPERLINK("Объекты недвижимости, не соответствующие градостроительным нормам_00-022_Август/97f4734d-419c-4483-bb3d-e039515098b9.jpg","open")</f>
        <v/>
      </c>
      <c r="C3274" t="inlineStr">
        <is>
          <t>cbf95b01-f708-45a3-9ec0-3603469b538e</t>
        </is>
      </c>
      <c r="D3274" t="n">
        <v>55.77737</v>
      </c>
      <c r="E3274" t="n">
        <v>37.67905</v>
      </c>
      <c r="F3274" t="inlineStr"/>
      <c r="G3274" t="inlineStr"/>
      <c r="H3274" t="inlineStr"/>
    </row>
    <row r="3275">
      <c r="A3275" t="inlineStr">
        <is>
          <t>946f602b-005c-4e01-a4ce-0dd9bdcbd734.jpg</t>
        </is>
      </c>
      <c r="B3275">
        <f>HYPERLINK("Объекты недвижимости, не соответствующие градостроительным нормам_00-022_Август/946f602b-005c-4e01-a4ce-0dd9bdcbd734.jpg","open")</f>
        <v/>
      </c>
      <c r="C3275" t="inlineStr">
        <is>
          <t>cbf95b01-f708-45a3-9ec0-3603469b538e</t>
        </is>
      </c>
      <c r="D3275" t="n">
        <v>55.77731</v>
      </c>
      <c r="E3275" t="n">
        <v>37.6794</v>
      </c>
      <c r="F3275" t="inlineStr"/>
      <c r="G3275" t="inlineStr"/>
      <c r="H3275" t="inlineStr"/>
    </row>
    <row r="3276">
      <c r="A3276" t="inlineStr">
        <is>
          <t>2d5a9382-5555-4e4e-b1a1-8504d0f52f0b.jpg</t>
        </is>
      </c>
      <c r="B3276">
        <f>HYPERLINK("Объекты недвижимости, не соответствующие градостроительным нормам_00-022_Август/2d5a9382-5555-4e4e-b1a1-8504d0f52f0b.jpg","open")</f>
        <v/>
      </c>
      <c r="C3276" t="inlineStr">
        <is>
          <t>cbf95b01-f708-45a3-9ec0-3603469b538e</t>
        </is>
      </c>
      <c r="D3276" t="n">
        <v>55.77726</v>
      </c>
      <c r="E3276" t="n">
        <v>37.67961</v>
      </c>
      <c r="F3276" t="inlineStr"/>
      <c r="G3276" t="inlineStr"/>
      <c r="H3276" t="inlineStr"/>
    </row>
    <row r="3277">
      <c r="A3277" t="inlineStr">
        <is>
          <t>a2c1df47-8777-4fe9-9a2b-78cc8fc10aea.jpg</t>
        </is>
      </c>
      <c r="B3277">
        <f>HYPERLINK("Объекты недвижимости, не соответствующие градостроительным нормам_00-022_Август/a2c1df47-8777-4fe9-9a2b-78cc8fc10aea.jpg","open")</f>
        <v/>
      </c>
      <c r="C3277" t="inlineStr">
        <is>
          <t>1c951e11-4940-43c6-a447-394097e5609a</t>
        </is>
      </c>
      <c r="D3277" t="n">
        <v>55.76371</v>
      </c>
      <c r="E3277" t="n">
        <v>37.7513</v>
      </c>
      <c r="F3277" t="inlineStr"/>
      <c r="G3277" t="inlineStr"/>
      <c r="H3277" t="inlineStr"/>
    </row>
    <row r="3278">
      <c r="A3278" t="inlineStr">
        <is>
          <t>10866a49-1c5c-4c05-961e-3ea88cc9f07c.jpg</t>
        </is>
      </c>
      <c r="B3278">
        <f>HYPERLINK("Объекты недвижимости, не соответствующие градостроительным нормам_00-022_Август/10866a49-1c5c-4c05-961e-3ea88cc9f07c.jpg","open")</f>
        <v/>
      </c>
      <c r="C3278" t="inlineStr">
        <is>
          <t>8cde1fd0-eca1-4510-86ab-3c743b65fdfc</t>
        </is>
      </c>
      <c r="D3278" t="n">
        <v>55.76378</v>
      </c>
      <c r="E3278" t="n">
        <v>37.75124</v>
      </c>
      <c r="F3278" t="inlineStr"/>
      <c r="G3278" t="inlineStr"/>
      <c r="H3278" t="inlineStr"/>
    </row>
    <row r="3279">
      <c r="A3279" t="inlineStr">
        <is>
          <t>d3c09bd5-c3c6-4048-9e85-8dd4a5cfbd5a.jpg</t>
        </is>
      </c>
      <c r="B3279">
        <f>HYPERLINK("Объекты недвижимости, не соответствующие градостроительным нормам_00-022_Август/d3c09bd5-c3c6-4048-9e85-8dd4a5cfbd5a.jpg","open")</f>
        <v/>
      </c>
      <c r="C3279" t="inlineStr">
        <is>
          <t>f60286ac-55e7-4099-85bd-cc599a7a0c65</t>
        </is>
      </c>
      <c r="D3279" t="n">
        <v>55.74904</v>
      </c>
      <c r="E3279" t="n">
        <v>37.79978</v>
      </c>
      <c r="F3279" t="inlineStr"/>
      <c r="G3279" t="inlineStr"/>
      <c r="H3279" t="inlineStr"/>
    </row>
    <row r="3280">
      <c r="A3280" t="inlineStr">
        <is>
          <t>7bb26187-ad00-46f4-bae3-6ae215eafe38.jpg</t>
        </is>
      </c>
      <c r="B3280">
        <f>HYPERLINK("Объекты недвижимости, не соответствующие градостроительным нормам_00-022_Август/7bb26187-ad00-46f4-bae3-6ae215eafe38.jpg","open")</f>
        <v/>
      </c>
      <c r="C3280" t="inlineStr">
        <is>
          <t>cbf95b01-f708-45a3-9ec0-3603469b538e</t>
        </is>
      </c>
      <c r="D3280" t="n">
        <v>55.75687</v>
      </c>
      <c r="E3280" t="n">
        <v>37.66941</v>
      </c>
      <c r="F3280" t="inlineStr"/>
      <c r="G3280" t="inlineStr"/>
      <c r="H3280" t="inlineStr"/>
    </row>
    <row r="3281">
      <c r="A3281" t="inlineStr">
        <is>
          <t>2cbf22bf-3fda-4889-8a67-c475868c5438.jpg</t>
        </is>
      </c>
      <c r="B3281">
        <f>HYPERLINK("Объекты недвижимости, не соответствующие градостроительным нормам_00-022_Август/2cbf22bf-3fda-4889-8a67-c475868c5438.jpg","open")</f>
        <v/>
      </c>
      <c r="C3281" t="inlineStr">
        <is>
          <t>93848fc8-17e7-4748-9ebc-c7e379e11d2f</t>
        </is>
      </c>
      <c r="D3281" t="n">
        <v>55.54438</v>
      </c>
      <c r="E3281" t="n">
        <v>37.48381</v>
      </c>
      <c r="F3281" t="inlineStr"/>
      <c r="G3281" t="inlineStr"/>
      <c r="H3281" t="inlineStr"/>
    </row>
    <row r="3282">
      <c r="A3282" t="inlineStr">
        <is>
          <t>d6ca2366-9a76-4351-82cf-10a35188f3b5.jpg</t>
        </is>
      </c>
      <c r="B3282">
        <f>HYPERLINK("Объекты недвижимости, не соответствующие градостроительным нормам_00-022_Август/d6ca2366-9a76-4351-82cf-10a35188f3b5.jpg","open")</f>
        <v/>
      </c>
      <c r="C3282" t="inlineStr">
        <is>
          <t>8cde1fd0-eca1-4510-86ab-3c743b65fdfc</t>
        </is>
      </c>
      <c r="D3282" t="n">
        <v>55.79486</v>
      </c>
      <c r="E3282" t="n">
        <v>37.74733</v>
      </c>
      <c r="F3282" t="inlineStr"/>
      <c r="G3282" t="inlineStr"/>
      <c r="H3282" t="inlineStr"/>
    </row>
    <row r="3283">
      <c r="A3283" t="inlineStr">
        <is>
          <t>4b51935d-dfdd-474c-9b0b-1d0ad8e2eddb.jpg</t>
        </is>
      </c>
      <c r="B3283">
        <f>HYPERLINK("Объекты недвижимости, не соответствующие градостроительным нормам_00-022_Август/4b51935d-dfdd-474c-9b0b-1d0ad8e2eddb.jpg","open")</f>
        <v/>
      </c>
      <c r="C3283" t="inlineStr">
        <is>
          <t>fce890a6-27da-4062-a046-08262a160ee6</t>
        </is>
      </c>
      <c r="D3283" t="n">
        <v>55.78201</v>
      </c>
      <c r="E3283" t="n">
        <v>37.66811</v>
      </c>
      <c r="F3283" t="inlineStr"/>
      <c r="G3283" t="inlineStr"/>
      <c r="H3283" t="inlineStr"/>
    </row>
    <row r="3284">
      <c r="A3284" t="inlineStr">
        <is>
          <t>b40b1c4a-f20e-4e98-a177-764a06162285.jpg</t>
        </is>
      </c>
      <c r="B3284">
        <f>HYPERLINK("Объекты недвижимости, не соответствующие градостроительным нормам_00-022_Август/b40b1c4a-f20e-4e98-a177-764a06162285.jpg","open")</f>
        <v/>
      </c>
      <c r="C3284" t="inlineStr">
        <is>
          <t>cbf95b01-f708-45a3-9ec0-3603469b538e</t>
        </is>
      </c>
      <c r="D3284" t="n">
        <v>55.75043</v>
      </c>
      <c r="E3284" t="n">
        <v>37.66488</v>
      </c>
      <c r="F3284" t="inlineStr"/>
      <c r="G3284" t="inlineStr"/>
      <c r="H3284" t="inlineStr"/>
    </row>
    <row r="3285">
      <c r="A3285" t="inlineStr">
        <is>
          <t>4ad47a49-dadc-4084-b234-48e833b0793f.jpg</t>
        </is>
      </c>
      <c r="B3285">
        <f>HYPERLINK("Объекты недвижимости, не соответствующие градостроительным нормам_00-022_Август/4ad47a49-dadc-4084-b234-48e833b0793f.jpg","open")</f>
        <v/>
      </c>
      <c r="C3285" t="inlineStr">
        <is>
          <t>99f3abba-c55b-49f0-9de5-9f88e9597cc0</t>
        </is>
      </c>
      <c r="D3285" t="n">
        <v>55.64424</v>
      </c>
      <c r="E3285" t="n">
        <v>37.67283</v>
      </c>
      <c r="F3285" t="inlineStr"/>
      <c r="G3285" t="inlineStr"/>
      <c r="H3285" t="inlineStr"/>
    </row>
    <row r="3286">
      <c r="A3286" t="inlineStr">
        <is>
          <t>f943aac9-28d9-45b6-bb43-5bd5d2515188.jpg</t>
        </is>
      </c>
      <c r="B3286">
        <f>HYPERLINK("Объекты недвижимости, не соответствующие градостроительным нормам_00-022_Август/f943aac9-28d9-45b6-bb43-5bd5d2515188.jpg","open")</f>
        <v/>
      </c>
      <c r="C3286" t="inlineStr">
        <is>
          <t>1c951e11-4940-43c6-a447-394097e5609a</t>
        </is>
      </c>
      <c r="D3286" t="n">
        <v>55.80243</v>
      </c>
      <c r="E3286" t="n">
        <v>37.77034</v>
      </c>
      <c r="F3286" t="inlineStr"/>
      <c r="G3286" t="inlineStr"/>
      <c r="H3286" t="inlineStr"/>
    </row>
    <row r="3287">
      <c r="A3287" t="inlineStr">
        <is>
          <t>67349b6b-e9c9-4a12-a6df-d72b450c95ae.jpg</t>
        </is>
      </c>
      <c r="B3287">
        <f>HYPERLINK("Объекты недвижимости, не соответствующие градостроительным нормам_00-022_Август/67349b6b-e9c9-4a12-a6df-d72b450c95ae.jpg","open")</f>
        <v/>
      </c>
      <c r="C3287" t="inlineStr">
        <is>
          <t>8cde1fd0-eca1-4510-86ab-3c743b65fdfc</t>
        </is>
      </c>
      <c r="D3287" t="n">
        <v>55.80243</v>
      </c>
      <c r="E3287" t="n">
        <v>37.77042</v>
      </c>
      <c r="F3287" t="inlineStr"/>
      <c r="G3287" t="inlineStr"/>
      <c r="H3287" t="inlineStr"/>
    </row>
    <row r="3288">
      <c r="A3288" t="inlineStr">
        <is>
          <t>aeb59062-d00a-4f4d-9baa-4881958edd4e.jpg</t>
        </is>
      </c>
      <c r="B3288">
        <f>HYPERLINK("Объекты недвижимости, не соответствующие градостроительным нормам_00-022_Август/aeb59062-d00a-4f4d-9baa-4881958edd4e.jpg","open")</f>
        <v/>
      </c>
      <c r="C3288" t="inlineStr">
        <is>
          <t>685d9054-b74f-49ab-857b-109fd2cec80d</t>
        </is>
      </c>
      <c r="D3288" t="n">
        <v>55.65073</v>
      </c>
      <c r="E3288" t="n">
        <v>37.57991</v>
      </c>
      <c r="F3288" t="inlineStr"/>
      <c r="G3288" t="inlineStr"/>
      <c r="H3288" t="inlineStr"/>
    </row>
    <row r="3289">
      <c r="A3289" t="inlineStr">
        <is>
          <t>2d2187dd-117b-400a-b469-e02b99cab1ea.jpg</t>
        </is>
      </c>
      <c r="B3289">
        <f>HYPERLINK("Объекты недвижимости, не соответствующие градостроительным нормам_00-022_Август/2d2187dd-117b-400a-b469-e02b99cab1ea.jpg","open")</f>
        <v/>
      </c>
      <c r="C3289" t="inlineStr">
        <is>
          <t>e90a3ac0-5b70-4ede-abeb-382371713306</t>
        </is>
      </c>
      <c r="D3289" t="n">
        <v>55.67587</v>
      </c>
      <c r="E3289" t="n">
        <v>37.57316</v>
      </c>
      <c r="F3289" t="inlineStr"/>
      <c r="G3289" t="inlineStr"/>
      <c r="H3289" t="inlineStr"/>
    </row>
    <row r="3290">
      <c r="A3290" t="inlineStr">
        <is>
          <t>dae351bf-fab2-47bc-a569-5b742029a843.jpg</t>
        </is>
      </c>
      <c r="B3290">
        <f>HYPERLINK("Объекты недвижимости, не соответствующие градостроительным нормам_00-022_Август/dae351bf-fab2-47bc-a569-5b742029a843.jpg","open")</f>
        <v/>
      </c>
      <c r="C3290" t="inlineStr">
        <is>
          <t>1231bbc5-e64c-4dc7-9acc-77710f47607a</t>
        </is>
      </c>
      <c r="D3290" t="n">
        <v>55.65072</v>
      </c>
      <c r="E3290" t="n">
        <v>37.57986</v>
      </c>
      <c r="F3290" t="inlineStr"/>
      <c r="G3290" t="inlineStr"/>
      <c r="H3290" t="inlineStr"/>
    </row>
    <row r="3291">
      <c r="A3291" t="inlineStr">
        <is>
          <t>d19d48bd-4a5b-4156-ba43-2a478858ae38.jpg</t>
        </is>
      </c>
      <c r="B3291">
        <f>HYPERLINK("Объекты недвижимости, не соответствующие градостроительным нормам_00-022_Август/d19d48bd-4a5b-4156-ba43-2a478858ae38.jpg","open")</f>
        <v/>
      </c>
      <c r="C3291" t="inlineStr">
        <is>
          <t>685d9054-b74f-49ab-857b-109fd2cec80d</t>
        </is>
      </c>
      <c r="D3291" t="n">
        <v>55.65079</v>
      </c>
      <c r="E3291" t="n">
        <v>37.58109</v>
      </c>
      <c r="F3291" t="inlineStr"/>
      <c r="G3291" t="inlineStr"/>
      <c r="H3291" t="inlineStr"/>
    </row>
    <row r="3292">
      <c r="A3292" t="inlineStr">
        <is>
          <t>f28aa61e-1d63-449e-8816-0633c91707ac.jpg</t>
        </is>
      </c>
      <c r="B3292">
        <f>HYPERLINK("Объекты недвижимости, не соответствующие градостроительным нормам_00-022_Август/f28aa61e-1d63-449e-8816-0633c91707ac.jpg","open")</f>
        <v/>
      </c>
      <c r="C3292" t="inlineStr">
        <is>
          <t>1231bbc5-e64c-4dc7-9acc-77710f47607a</t>
        </is>
      </c>
      <c r="D3292" t="n">
        <v>55.65079</v>
      </c>
      <c r="E3292" t="n">
        <v>37.58108</v>
      </c>
      <c r="F3292" t="inlineStr"/>
      <c r="G3292" t="inlineStr"/>
      <c r="H3292" t="inlineStr"/>
    </row>
    <row r="3293">
      <c r="A3293" t="inlineStr">
        <is>
          <t>76b246b6-0e75-4188-914c-bc1f1dacc529.jpg</t>
        </is>
      </c>
      <c r="B3293">
        <f>HYPERLINK("Объекты недвижимости, не соответствующие градостроительным нормам_00-022_Август/76b246b6-0e75-4188-914c-bc1f1dacc529.jpg","open")</f>
        <v/>
      </c>
      <c r="C3293" t="inlineStr">
        <is>
          <t>cbf95b01-f708-45a3-9ec0-3603469b538e</t>
        </is>
      </c>
      <c r="D3293" t="n">
        <v>55.75043</v>
      </c>
      <c r="E3293" t="n">
        <v>37.66488</v>
      </c>
      <c r="F3293" t="inlineStr"/>
      <c r="G3293" t="inlineStr"/>
      <c r="H3293" t="inlineStr"/>
    </row>
    <row r="3294">
      <c r="A3294" t="inlineStr">
        <is>
          <t>c109060a-f978-4f20-8cd2-d15d2789f096.jpg</t>
        </is>
      </c>
      <c r="B3294">
        <f>HYPERLINK("Объекты недвижимости, не соответствующие градостроительным нормам_00-022_Август/c109060a-f978-4f20-8cd2-d15d2789f096.jpg","open")</f>
        <v/>
      </c>
      <c r="C3294" t="inlineStr">
        <is>
          <t>685d9054-b74f-49ab-857b-109fd2cec80d</t>
        </is>
      </c>
      <c r="D3294" t="n">
        <v>55.65168</v>
      </c>
      <c r="E3294" t="n">
        <v>37.58033</v>
      </c>
      <c r="F3294" t="inlineStr"/>
      <c r="G3294" t="inlineStr"/>
      <c r="H3294" t="inlineStr"/>
    </row>
    <row r="3295">
      <c r="A3295" t="inlineStr">
        <is>
          <t>a32c0b57-4bd0-46c7-a5e9-bdb6fac07ab4.jpg</t>
        </is>
      </c>
      <c r="B3295">
        <f>HYPERLINK("Объекты недвижимости, не соответствующие градостроительным нормам_00-022_Август/a32c0b57-4bd0-46c7-a5e9-bdb6fac07ab4.jpg","open")</f>
        <v/>
      </c>
      <c r="C3295" t="inlineStr">
        <is>
          <t>1231bbc5-e64c-4dc7-9acc-77710f47607a</t>
        </is>
      </c>
      <c r="D3295" t="n">
        <v>55.65169</v>
      </c>
      <c r="E3295" t="n">
        <v>37.58063</v>
      </c>
      <c r="F3295" t="inlineStr"/>
      <c r="G3295" t="inlineStr"/>
      <c r="H3295" t="inlineStr"/>
    </row>
    <row r="3296">
      <c r="A3296" t="inlineStr">
        <is>
          <t>e878ce3f-f4d9-42cc-9ce1-db57dd5029b6.jpg</t>
        </is>
      </c>
      <c r="B3296">
        <f>HYPERLINK("Объекты недвижимости, не соответствующие градостроительным нормам_00-022_Август/e878ce3f-f4d9-42cc-9ce1-db57dd5029b6.jpg","open")</f>
        <v/>
      </c>
      <c r="C3296" t="inlineStr">
        <is>
          <t>1231bbc5-e64c-4dc7-9acc-77710f47607a</t>
        </is>
      </c>
      <c r="D3296" t="n">
        <v>55.65143</v>
      </c>
      <c r="E3296" t="n">
        <v>37.58086</v>
      </c>
      <c r="F3296" t="inlineStr"/>
      <c r="G3296" t="inlineStr"/>
      <c r="H3296" t="inlineStr"/>
    </row>
    <row r="3297">
      <c r="A3297" t="inlineStr">
        <is>
          <t>376b0800-7f17-4f16-b314-e7ff94c39c79.jpg</t>
        </is>
      </c>
      <c r="B3297">
        <f>HYPERLINK("Объекты недвижимости, не соответствующие градостроительным нормам_00-022_Август/376b0800-7f17-4f16-b314-e7ff94c39c79.jpg","open")</f>
        <v/>
      </c>
      <c r="C3297" t="inlineStr">
        <is>
          <t>036c664f-5408-4fd0-b479-342c00468eeb</t>
        </is>
      </c>
      <c r="D3297" t="n">
        <v>55.7428</v>
      </c>
      <c r="E3297" t="n">
        <v>37.49354</v>
      </c>
      <c r="F3297" t="inlineStr"/>
      <c r="G3297" t="inlineStr"/>
      <c r="H3297" t="inlineStr"/>
    </row>
    <row r="3298">
      <c r="A3298" t="inlineStr">
        <is>
          <t>b635b44f-5608-48fd-addf-47a4c0aeb7fd.jpg</t>
        </is>
      </c>
      <c r="B3298">
        <f>HYPERLINK("Объекты недвижимости, не соответствующие градостроительным нормам_00-022_Август/b635b44f-5608-48fd-addf-47a4c0aeb7fd.jpg","open")</f>
        <v/>
      </c>
      <c r="C3298" t="inlineStr">
        <is>
          <t>1231bbc5-e64c-4dc7-9acc-77710f47607a</t>
        </is>
      </c>
      <c r="D3298" t="n">
        <v>55.65166</v>
      </c>
      <c r="E3298" t="n">
        <v>37.58077</v>
      </c>
      <c r="F3298" t="inlineStr"/>
      <c r="G3298" t="inlineStr"/>
      <c r="H3298" t="inlineStr"/>
    </row>
    <row r="3299">
      <c r="A3299" t="inlineStr">
        <is>
          <t>202dfd9b-4269-4527-a317-15c8ac0188aa.jpg</t>
        </is>
      </c>
      <c r="B3299">
        <f>HYPERLINK("Объекты недвижимости, не соответствующие градостроительным нормам_00-022_Август/202dfd9b-4269-4527-a317-15c8ac0188aa.jpg","open")</f>
        <v/>
      </c>
      <c r="C3299" t="inlineStr">
        <is>
          <t>1231bbc5-e64c-4dc7-9acc-77710f47607a</t>
        </is>
      </c>
      <c r="D3299" t="n">
        <v>55.65167</v>
      </c>
      <c r="E3299" t="n">
        <v>37.58075</v>
      </c>
      <c r="F3299" t="inlineStr"/>
      <c r="G3299" t="inlineStr"/>
      <c r="H3299" t="inlineStr"/>
    </row>
    <row r="3300">
      <c r="A3300" t="inlineStr">
        <is>
          <t>ef8f6c63-2830-47ed-b49a-13c081c510d7.jpg</t>
        </is>
      </c>
      <c r="B3300">
        <f>HYPERLINK("Объекты недвижимости, не соответствующие градостроительным нормам_00-022_Август/ef8f6c63-2830-47ed-b49a-13c081c510d7.jpg","open")</f>
        <v/>
      </c>
      <c r="C3300" t="inlineStr">
        <is>
          <t>1231bbc5-e64c-4dc7-9acc-77710f47607a</t>
        </is>
      </c>
      <c r="D3300" t="n">
        <v>55.65168</v>
      </c>
      <c r="E3300" t="n">
        <v>37.58077</v>
      </c>
      <c r="F3300" t="inlineStr"/>
      <c r="G3300" t="inlineStr"/>
      <c r="H3300" t="inlineStr"/>
    </row>
    <row r="3301">
      <c r="A3301" t="inlineStr">
        <is>
          <t>23c57cd9-b950-4e1b-84c4-2e586a4dc1cd.jpg</t>
        </is>
      </c>
      <c r="B3301">
        <f>HYPERLINK("Объекты недвижимости, не соответствующие градостроительным нормам_00-022_Август/23c57cd9-b950-4e1b-84c4-2e586a4dc1cd.jpg","open")</f>
        <v/>
      </c>
      <c r="C3301" t="inlineStr">
        <is>
          <t>1231bbc5-e64c-4dc7-9acc-77710f47607a</t>
        </is>
      </c>
      <c r="D3301" t="n">
        <v>55.65167</v>
      </c>
      <c r="E3301" t="n">
        <v>37.58077</v>
      </c>
      <c r="F3301" t="inlineStr"/>
      <c r="G3301" t="inlineStr"/>
      <c r="H3301" t="inlineStr"/>
    </row>
    <row r="3302">
      <c r="A3302" t="inlineStr">
        <is>
          <t>4a9c2ed8-ad20-4407-88d3-b4d1fa045ad9.jpg</t>
        </is>
      </c>
      <c r="B3302">
        <f>HYPERLINK("Объекты недвижимости, не соответствующие градостроительным нормам_00-022_Август/4a9c2ed8-ad20-4407-88d3-b4d1fa045ad9.jpg","open")</f>
        <v/>
      </c>
      <c r="C3302" t="inlineStr">
        <is>
          <t>5e5b9944-4f9e-4223-bf96-0bc0c8a93dfa</t>
        </is>
      </c>
      <c r="D3302" t="n">
        <v>55.71002</v>
      </c>
      <c r="E3302" t="n">
        <v>37.66479</v>
      </c>
      <c r="F3302" t="inlineStr"/>
      <c r="G3302" t="inlineStr"/>
      <c r="H3302" t="inlineStr"/>
    </row>
    <row r="3303">
      <c r="A3303" t="inlineStr">
        <is>
          <t>e98d7b3d-a825-48cb-9683-6df6638b9960.jpg</t>
        </is>
      </c>
      <c r="B3303">
        <f>HYPERLINK("Объекты недвижимости, не соответствующие градостроительным нормам_00-022_Август/e98d7b3d-a825-48cb-9683-6df6638b9960.jpg","open")</f>
        <v/>
      </c>
      <c r="C3303" t="inlineStr">
        <is>
          <t>5e5b9944-4f9e-4223-bf96-0bc0c8a93dfa</t>
        </is>
      </c>
      <c r="D3303" t="n">
        <v>55.71005</v>
      </c>
      <c r="E3303" t="n">
        <v>37.66479</v>
      </c>
      <c r="F3303" t="inlineStr"/>
      <c r="G3303" t="inlineStr"/>
      <c r="H3303" t="inlineStr"/>
    </row>
    <row r="3304">
      <c r="A3304" t="inlineStr">
        <is>
          <t>e62e7dfb-5b92-49b6-9df6-3745150c896f.jpg</t>
        </is>
      </c>
      <c r="B3304">
        <f>HYPERLINK("Объекты недвижимости, не соответствующие градостроительным нормам_00-022_Август/e62e7dfb-5b92-49b6-9df6-3745150c896f.jpg","open")</f>
        <v/>
      </c>
      <c r="C3304" t="inlineStr">
        <is>
          <t>685d9054-b74f-49ab-857b-109fd2cec80d</t>
        </is>
      </c>
      <c r="D3304" t="n">
        <v>55.652</v>
      </c>
      <c r="E3304" t="n">
        <v>37.58339</v>
      </c>
      <c r="F3304" t="inlineStr"/>
      <c r="G3304" t="inlineStr"/>
      <c r="H3304" t="inlineStr"/>
    </row>
    <row r="3305">
      <c r="A3305" t="inlineStr">
        <is>
          <t>1a46ecb8-bbfc-4f2c-b601-29763b0d2a2d.jpg</t>
        </is>
      </c>
      <c r="B3305">
        <f>HYPERLINK("Объекты недвижимости, не соответствующие градостроительным нормам_00-022_Август/1a46ecb8-bbfc-4f2c-b601-29763b0d2a2d.jpg","open")</f>
        <v/>
      </c>
      <c r="C3305" t="inlineStr">
        <is>
          <t>1231bbc5-e64c-4dc7-9acc-77710f47607a</t>
        </is>
      </c>
      <c r="D3305" t="n">
        <v>55.652</v>
      </c>
      <c r="E3305" t="n">
        <v>37.58337</v>
      </c>
      <c r="F3305" t="inlineStr"/>
      <c r="G3305" t="inlineStr"/>
      <c r="H3305" t="inlineStr"/>
    </row>
    <row r="3306">
      <c r="A3306" t="inlineStr">
        <is>
          <t>8eb0aee9-5dad-4032-8e3b-5ed5b853d1f3.jpg</t>
        </is>
      </c>
      <c r="B3306">
        <f>HYPERLINK("Объекты недвижимости, не соответствующие градостроительным нормам_00-022_Август/8eb0aee9-5dad-4032-8e3b-5ed5b853d1f3.jpg","open")</f>
        <v/>
      </c>
      <c r="C3306" t="inlineStr">
        <is>
          <t>5e5b9944-4f9e-4223-bf96-0bc0c8a93dfa</t>
        </is>
      </c>
      <c r="D3306" t="n">
        <v>55.71003</v>
      </c>
      <c r="E3306" t="n">
        <v>37.66482</v>
      </c>
      <c r="F3306" t="inlineStr"/>
      <c r="G3306" t="inlineStr"/>
      <c r="H3306" t="inlineStr"/>
    </row>
    <row r="3307">
      <c r="A3307" t="inlineStr">
        <is>
          <t>4a433a2b-b29a-43f2-bb68-8d0576e15b07.jpg</t>
        </is>
      </c>
      <c r="B3307">
        <f>HYPERLINK("Объекты недвижимости, не соответствующие градостроительным нормам_00-022_Август/4a433a2b-b29a-43f2-bb68-8d0576e15b07.jpg","open")</f>
        <v/>
      </c>
      <c r="C3307" t="inlineStr">
        <is>
          <t>b0429a31-0c70-4b9f-8ea5-73929d82f89e</t>
        </is>
      </c>
      <c r="D3307" t="n">
        <v>55.64438</v>
      </c>
      <c r="E3307" t="n">
        <v>37.66685</v>
      </c>
      <c r="F3307" t="inlineStr"/>
      <c r="G3307" t="inlineStr"/>
      <c r="H3307" t="inlineStr"/>
    </row>
    <row r="3308">
      <c r="A3308" t="inlineStr">
        <is>
          <t>efc42849-6456-4c3c-a4d4-ea20372f5524.jpg</t>
        </is>
      </c>
      <c r="B3308">
        <f>HYPERLINK("Объекты недвижимости, не соответствующие градостроительным нормам_00-022_Август/efc42849-6456-4c3c-a4d4-ea20372f5524.jpg","open")</f>
        <v/>
      </c>
      <c r="C3308" t="inlineStr">
        <is>
          <t>5e5b9944-4f9e-4223-bf96-0bc0c8a93dfa</t>
        </is>
      </c>
      <c r="D3308" t="n">
        <v>55.71002</v>
      </c>
      <c r="E3308" t="n">
        <v>37.66486</v>
      </c>
      <c r="F3308" t="inlineStr"/>
      <c r="G3308" t="inlineStr"/>
      <c r="H3308" t="inlineStr"/>
    </row>
    <row r="3309">
      <c r="A3309" t="inlineStr">
        <is>
          <t>2dda65b6-6e39-4f40-a458-a8186762b864.jpg</t>
        </is>
      </c>
      <c r="B3309">
        <f>HYPERLINK("Объекты недвижимости, не соответствующие градостроительным нормам_00-022_Август/2dda65b6-6e39-4f40-a458-a8186762b864.jpg","open")</f>
        <v/>
      </c>
      <c r="C3309" t="inlineStr">
        <is>
          <t>8cde1fd0-eca1-4510-86ab-3c743b65fdfc</t>
        </is>
      </c>
      <c r="D3309" t="n">
        <v>55.79866</v>
      </c>
      <c r="E3309" t="n">
        <v>37.78099</v>
      </c>
      <c r="F3309" t="inlineStr"/>
      <c r="G3309" t="inlineStr"/>
      <c r="H3309" t="inlineStr"/>
    </row>
    <row r="3310">
      <c r="A3310" t="inlineStr">
        <is>
          <t>ae010ba8-3fd9-4534-a65e-ea89d570da53.jpg</t>
        </is>
      </c>
      <c r="B3310">
        <f>HYPERLINK("Объекты недвижимости, не соответствующие градостроительным нормам_00-022_Август/ae010ba8-3fd9-4534-a65e-ea89d570da53.jpg","open")</f>
        <v/>
      </c>
      <c r="C3310" t="inlineStr">
        <is>
          <t>b0b7ea82-53be-40d0-b992-e2fd18611d5c</t>
        </is>
      </c>
      <c r="D3310" t="n">
        <v>55.66574</v>
      </c>
      <c r="E3310" t="n">
        <v>37.76225</v>
      </c>
      <c r="F3310" t="inlineStr"/>
      <c r="G3310" t="inlineStr"/>
      <c r="H3310" t="inlineStr"/>
    </row>
    <row r="3311">
      <c r="A3311" t="inlineStr">
        <is>
          <t>740a3cdc-94b9-4071-8051-3b6f5ed1a210.jpg</t>
        </is>
      </c>
      <c r="B3311">
        <f>HYPERLINK("Объекты недвижимости, не соответствующие градостроительным нормам_00-022_Август/740a3cdc-94b9-4071-8051-3b6f5ed1a210.jpg","open")</f>
        <v/>
      </c>
      <c r="C3311" t="inlineStr">
        <is>
          <t>1c951e11-4940-43c6-a447-394097e5609a</t>
        </is>
      </c>
      <c r="D3311" t="n">
        <v>55.80005</v>
      </c>
      <c r="E3311" t="n">
        <v>37.7772</v>
      </c>
      <c r="F3311" t="inlineStr"/>
      <c r="G3311" t="inlineStr"/>
      <c r="H3311" t="inlineStr"/>
    </row>
    <row r="3312">
      <c r="A3312" t="inlineStr">
        <is>
          <t>3da40841-2657-4b87-be12-f829e533b161.jpg</t>
        </is>
      </c>
      <c r="B3312">
        <f>HYPERLINK("Объекты недвижимости, не соответствующие градостроительным нормам_00-022_Август/3da40841-2657-4b87-be12-f829e533b161.jpg","open")</f>
        <v/>
      </c>
      <c r="C3312" t="inlineStr">
        <is>
          <t>1c951e11-4940-43c6-a447-394097e5609a</t>
        </is>
      </c>
      <c r="D3312" t="n">
        <v>55.80006</v>
      </c>
      <c r="E3312" t="n">
        <v>37.77715</v>
      </c>
      <c r="F3312" t="inlineStr"/>
      <c r="G3312" t="inlineStr"/>
      <c r="H3312" t="inlineStr"/>
    </row>
    <row r="3313">
      <c r="A3313" t="inlineStr">
        <is>
          <t>0d155142-0025-4e70-b615-d2602679d5cc.jpg</t>
        </is>
      </c>
      <c r="B3313">
        <f>HYPERLINK("Объекты недвижимости, не соответствующие градостроительным нормам_00-022_Август/0d155142-0025-4e70-b615-d2602679d5cc.jpg","open")</f>
        <v/>
      </c>
      <c r="C3313" t="inlineStr">
        <is>
          <t>61936922-4d4b-458e-80ea-6d4c450aa1d5</t>
        </is>
      </c>
      <c r="D3313" t="n">
        <v>55.71313</v>
      </c>
      <c r="E3313" t="n">
        <v>37.51608</v>
      </c>
      <c r="F3313" t="inlineStr"/>
      <c r="G3313" t="inlineStr"/>
      <c r="H3313" t="inlineStr"/>
    </row>
    <row r="3314">
      <c r="A3314" t="inlineStr">
        <is>
          <t>01c34f74-f840-4e36-9e6f-79e4470f92d7.jpg</t>
        </is>
      </c>
      <c r="B3314">
        <f>HYPERLINK("Объекты недвижимости, не соответствующие градостроительным нормам_00-022_Август/01c34f74-f840-4e36-9e6f-79e4470f92d7.jpg","open")</f>
        <v/>
      </c>
      <c r="C3314" t="inlineStr">
        <is>
          <t>1c951e11-4940-43c6-a447-394097e5609a</t>
        </is>
      </c>
      <c r="D3314" t="n">
        <v>55.80005</v>
      </c>
      <c r="E3314" t="n">
        <v>37.77702</v>
      </c>
      <c r="F3314" t="inlineStr"/>
      <c r="G3314" t="inlineStr"/>
      <c r="H3314" t="inlineStr"/>
    </row>
    <row r="3315">
      <c r="A3315" t="inlineStr">
        <is>
          <t>cb412795-877d-4d0b-9b4e-7ab56dbdc093.jpg</t>
        </is>
      </c>
      <c r="B3315">
        <f>HYPERLINK("Объекты недвижимости, не соответствующие градостроительным нормам_00-022_Август/cb412795-877d-4d0b-9b4e-7ab56dbdc093.jpg","open")</f>
        <v/>
      </c>
      <c r="C3315" t="inlineStr">
        <is>
          <t>8cde1fd0-eca1-4510-86ab-3c743b65fdfc</t>
        </is>
      </c>
      <c r="D3315" t="n">
        <v>55.80005</v>
      </c>
      <c r="E3315" t="n">
        <v>37.77695</v>
      </c>
      <c r="F3315" t="inlineStr"/>
      <c r="G3315" t="inlineStr"/>
      <c r="H3315" t="inlineStr"/>
    </row>
    <row r="3316">
      <c r="A3316" t="inlineStr">
        <is>
          <t>d55b8efd-0c3a-4a76-9882-2ffeae2bb76a.jpg</t>
        </is>
      </c>
      <c r="B3316">
        <f>HYPERLINK("Объекты недвижимости, не соответствующие градостроительным нормам_00-022_Август/d55b8efd-0c3a-4a76-9882-2ffeae2bb76a.jpg","open")</f>
        <v/>
      </c>
      <c r="C3316" t="inlineStr">
        <is>
          <t>685d9054-b74f-49ab-857b-109fd2cec80d</t>
        </is>
      </c>
      <c r="D3316" t="n">
        <v>55.65063</v>
      </c>
      <c r="E3316" t="n">
        <v>37.58384</v>
      </c>
      <c r="F3316" t="inlineStr"/>
      <c r="G3316" t="inlineStr"/>
      <c r="H3316" t="inlineStr"/>
    </row>
    <row r="3317">
      <c r="A3317" t="inlineStr">
        <is>
          <t>6c889fa8-6032-4db8-88ab-f3f5febf19d1.jpg</t>
        </is>
      </c>
      <c r="B3317">
        <f>HYPERLINK("Объекты недвижимости, не соответствующие градостроительным нормам_00-022_Август/6c889fa8-6032-4db8-88ab-f3f5febf19d1.jpg","open")</f>
        <v/>
      </c>
      <c r="C3317" t="inlineStr">
        <is>
          <t>cbf95b01-f708-45a3-9ec0-3603469b538e</t>
        </is>
      </c>
      <c r="D3317" t="n">
        <v>55.75043</v>
      </c>
      <c r="E3317" t="n">
        <v>37.66488</v>
      </c>
      <c r="F3317" t="inlineStr"/>
      <c r="G3317" t="inlineStr"/>
      <c r="H3317" t="inlineStr"/>
    </row>
    <row r="3318">
      <c r="A3318" t="inlineStr">
        <is>
          <t>40a4deda-c623-4d49-a0ae-f2a00d61f1bb.jpg</t>
        </is>
      </c>
      <c r="B3318">
        <f>HYPERLINK("Объекты недвижимости, не соответствующие градостроительным нормам_00-022_Август/40a4deda-c623-4d49-a0ae-f2a00d61f1bb.jpg","open")</f>
        <v/>
      </c>
      <c r="C3318" t="inlineStr">
        <is>
          <t>1231bbc5-e64c-4dc7-9acc-77710f47607a</t>
        </is>
      </c>
      <c r="D3318" t="n">
        <v>55.64872</v>
      </c>
      <c r="E3318" t="n">
        <v>37.58216</v>
      </c>
      <c r="F3318" t="inlineStr"/>
      <c r="G3318" t="inlineStr"/>
      <c r="H3318" t="inlineStr"/>
    </row>
    <row r="3319">
      <c r="A3319" t="inlineStr">
        <is>
          <t>758bec80-f640-42f0-a69f-47ae2c9ac645.jpg</t>
        </is>
      </c>
      <c r="B3319">
        <f>HYPERLINK("Объекты недвижимости, не соответствующие градостроительным нормам_00-022_Август/758bec80-f640-42f0-a69f-47ae2c9ac645.jpg","open")</f>
        <v/>
      </c>
      <c r="C3319" t="inlineStr">
        <is>
          <t>a1a9db89-3f74-42ef-8fad-ad69705102cd</t>
        </is>
      </c>
      <c r="D3319" t="n">
        <v>55.75043</v>
      </c>
      <c r="E3319" t="n">
        <v>37.66488</v>
      </c>
      <c r="F3319" t="inlineStr"/>
      <c r="G3319" t="inlineStr"/>
      <c r="H3319" t="inlineStr"/>
    </row>
    <row r="3320">
      <c r="A3320" t="inlineStr">
        <is>
          <t>34a3d444-0468-4737-bdfd-9724c14c8ebc.jpg</t>
        </is>
      </c>
      <c r="B3320">
        <f>HYPERLINK("Объекты недвижимости, не соответствующие градостроительным нормам_00-022_Август/34a3d444-0468-4737-bdfd-9724c14c8ebc.jpg","open")</f>
        <v/>
      </c>
      <c r="C3320" t="inlineStr">
        <is>
          <t>99f3abba-c55b-49f0-9de5-9f88e9597cc0</t>
        </is>
      </c>
      <c r="D3320" t="n">
        <v>55.64672</v>
      </c>
      <c r="E3320" t="n">
        <v>37.6665</v>
      </c>
      <c r="F3320" t="inlineStr"/>
      <c r="G3320" t="inlineStr"/>
      <c r="H3320" t="inlineStr"/>
    </row>
    <row r="3321">
      <c r="A3321" t="inlineStr">
        <is>
          <t>e2bca4bc-5344-4fa0-9e46-7f544d2541c5.jpg</t>
        </is>
      </c>
      <c r="B3321">
        <f>HYPERLINK("Объекты недвижимости, не соответствующие градостроительным нормам_00-022_Август/e2bca4bc-5344-4fa0-9e46-7f544d2541c5.jpg","open")</f>
        <v/>
      </c>
      <c r="C3321" t="inlineStr">
        <is>
          <t>1231bbc5-e64c-4dc7-9acc-77710f47607a</t>
        </is>
      </c>
      <c r="D3321" t="n">
        <v>55.64739</v>
      </c>
      <c r="E3321" t="n">
        <v>37.58288</v>
      </c>
      <c r="F3321" t="inlineStr"/>
      <c r="G3321" t="inlineStr"/>
      <c r="H3321" t="inlineStr"/>
    </row>
    <row r="3322">
      <c r="A3322" t="inlineStr">
        <is>
          <t>62adcb72-831a-4af3-89d0-cb8d39395afc.jpg</t>
        </is>
      </c>
      <c r="B3322">
        <f>HYPERLINK("Объекты недвижимости, не соответствующие градостроительным нормам_00-022_Август/62adcb72-831a-4af3-89d0-cb8d39395afc.jpg","open")</f>
        <v/>
      </c>
      <c r="C3322" t="inlineStr">
        <is>
          <t>685d9054-b74f-49ab-857b-109fd2cec80d</t>
        </is>
      </c>
      <c r="D3322" t="n">
        <v>55.64738</v>
      </c>
      <c r="E3322" t="n">
        <v>37.58289</v>
      </c>
      <c r="F3322" t="inlineStr"/>
      <c r="G3322" t="inlineStr"/>
      <c r="H3322" t="inlineStr"/>
    </row>
    <row r="3323">
      <c r="A3323" t="inlineStr">
        <is>
          <t>63201232-5a69-4386-9744-84b81aafa4a2.jpg</t>
        </is>
      </c>
      <c r="B3323">
        <f>HYPERLINK("Объекты недвижимости, не соответствующие градостроительным нормам_00-022_Август/63201232-5a69-4386-9744-84b81aafa4a2.jpg","open")</f>
        <v/>
      </c>
      <c r="C3323" t="inlineStr">
        <is>
          <t>036c664f-5408-4fd0-b479-342c00468eeb</t>
        </is>
      </c>
      <c r="D3323" t="n">
        <v>55.7397</v>
      </c>
      <c r="E3323" t="n">
        <v>37.49205</v>
      </c>
      <c r="F3323" t="inlineStr"/>
      <c r="G3323" t="inlineStr"/>
      <c r="H3323" t="inlineStr"/>
    </row>
    <row r="3324">
      <c r="A3324" t="inlineStr">
        <is>
          <t>af3169d7-d502-46b0-a66e-82d7bbd691e9.jpg</t>
        </is>
      </c>
      <c r="B3324">
        <f>HYPERLINK("Объекты недвижимости, не соответствующие градостроительным нормам_00-022_Август/af3169d7-d502-46b0-a66e-82d7bbd691e9.jpg","open")</f>
        <v/>
      </c>
      <c r="C3324" t="inlineStr">
        <is>
          <t>036c664f-5408-4fd0-b479-342c00468eeb</t>
        </is>
      </c>
      <c r="D3324" t="n">
        <v>55.73977</v>
      </c>
      <c r="E3324" t="n">
        <v>37.49196</v>
      </c>
      <c r="F3324" t="inlineStr"/>
      <c r="G3324" t="inlineStr"/>
      <c r="H3324" t="inlineStr"/>
    </row>
    <row r="3325">
      <c r="A3325" t="inlineStr">
        <is>
          <t>9a577fdb-87db-43da-a9d9-2b76ceb6befe.jpg</t>
        </is>
      </c>
      <c r="B3325">
        <f>HYPERLINK("Объекты недвижимости, не соответствующие градостроительным нормам_00-022_Август/9a577fdb-87db-43da-a9d9-2b76ceb6befe.jpg","open")</f>
        <v/>
      </c>
      <c r="C3325" t="inlineStr">
        <is>
          <t>93848fc8-17e7-4748-9ebc-c7e379e11d2f</t>
        </is>
      </c>
      <c r="D3325" t="n">
        <v>55.56495</v>
      </c>
      <c r="E3325" t="n">
        <v>37.48615</v>
      </c>
      <c r="F3325" t="inlineStr"/>
      <c r="G3325" t="inlineStr"/>
      <c r="H3325" t="inlineStr"/>
    </row>
    <row r="3326">
      <c r="A3326" t="inlineStr">
        <is>
          <t>a4069092-b962-42d2-afbc-82c88cba56ef.jpg</t>
        </is>
      </c>
      <c r="B3326">
        <f>HYPERLINK("Объекты недвижимости, не соответствующие градостроительным нормам_00-022_Август/a4069092-b962-42d2-afbc-82c88cba56ef.jpg","open")</f>
        <v/>
      </c>
      <c r="C3326" t="inlineStr">
        <is>
          <t>685d9054-b74f-49ab-857b-109fd2cec80d</t>
        </is>
      </c>
      <c r="D3326" t="n">
        <v>55.65109</v>
      </c>
      <c r="E3326" t="n">
        <v>37.59155</v>
      </c>
      <c r="F3326" t="inlineStr"/>
      <c r="G3326" t="inlineStr"/>
      <c r="H3326" t="inlineStr"/>
    </row>
    <row r="3327">
      <c r="A3327" t="inlineStr">
        <is>
          <t>fb1a7b4b-b950-409b-b04a-5c3f2638f95f.jpg</t>
        </is>
      </c>
      <c r="B3327">
        <f>HYPERLINK("Объекты недвижимости, не соответствующие градостроительным нормам_00-022_Август/fb1a7b4b-b950-409b-b04a-5c3f2638f95f.jpg","open")</f>
        <v/>
      </c>
      <c r="C3327" t="inlineStr">
        <is>
          <t>cbf95b01-f708-45a3-9ec0-3603469b538e</t>
        </is>
      </c>
      <c r="D3327" t="n">
        <v>55.75043</v>
      </c>
      <c r="E3327" t="n">
        <v>37.66488</v>
      </c>
      <c r="F3327" t="inlineStr"/>
      <c r="G3327" t="inlineStr"/>
      <c r="H3327" t="inlineStr"/>
    </row>
    <row r="3328">
      <c r="A3328" t="inlineStr">
        <is>
          <t>60efb92f-6f8d-408a-8306-74773cbf8d0d.jpg</t>
        </is>
      </c>
      <c r="B3328">
        <f>HYPERLINK("Объекты недвижимости, не соответствующие градостроительным нормам_00-022_Август/60efb92f-6f8d-408a-8306-74773cbf8d0d.jpg","open")</f>
        <v/>
      </c>
      <c r="C3328" t="inlineStr">
        <is>
          <t>cbf95b01-f708-45a3-9ec0-3603469b538e</t>
        </is>
      </c>
      <c r="D3328" t="n">
        <v>55.75043</v>
      </c>
      <c r="E3328" t="n">
        <v>37.66488</v>
      </c>
      <c r="F3328" t="inlineStr"/>
      <c r="G3328" t="inlineStr"/>
      <c r="H3328" t="inlineStr"/>
    </row>
    <row r="3329">
      <c r="A3329" t="inlineStr">
        <is>
          <t>640a5783-67ec-4fd1-9a7d-f3cf682f7077.jpg</t>
        </is>
      </c>
      <c r="B3329">
        <f>HYPERLINK("Объекты недвижимости, не соответствующие градостроительным нормам_00-022_Август/640a5783-67ec-4fd1-9a7d-f3cf682f7077.jpg","open")</f>
        <v/>
      </c>
      <c r="C3329" t="inlineStr">
        <is>
          <t>cbf95b01-f708-45a3-9ec0-3603469b538e</t>
        </is>
      </c>
      <c r="D3329" t="n">
        <v>55.75043</v>
      </c>
      <c r="E3329" t="n">
        <v>37.66488</v>
      </c>
      <c r="F3329" t="inlineStr"/>
      <c r="G3329" t="inlineStr"/>
      <c r="H3329" t="inlineStr"/>
    </row>
    <row r="3330">
      <c r="A3330" t="inlineStr">
        <is>
          <t>33e5c7fe-c9d2-4e4e-a945-082035cd083d.jpg</t>
        </is>
      </c>
      <c r="B3330">
        <f>HYPERLINK("Объекты недвижимости, не соответствующие градостроительным нормам_00-022_Август/33e5c7fe-c9d2-4e4e-a945-082035cd083d.jpg","open")</f>
        <v/>
      </c>
      <c r="C3330" t="inlineStr">
        <is>
          <t>cbf95b01-f708-45a3-9ec0-3603469b538e</t>
        </is>
      </c>
      <c r="D3330" t="n">
        <v>55.75043</v>
      </c>
      <c r="E3330" t="n">
        <v>37.66488</v>
      </c>
      <c r="F3330" t="inlineStr"/>
      <c r="G3330" t="inlineStr"/>
      <c r="H3330" t="inlineStr"/>
    </row>
    <row r="3331">
      <c r="A3331" t="inlineStr">
        <is>
          <t>ef879624-06de-4bff-a686-d383a04ed8bd.jpg</t>
        </is>
      </c>
      <c r="B3331">
        <f>HYPERLINK("Объекты недвижимости, не соответствующие градостроительным нормам_00-022_Август/ef879624-06de-4bff-a686-d383a04ed8bd.jpg","open")</f>
        <v/>
      </c>
      <c r="C3331" t="inlineStr">
        <is>
          <t>a1a9db89-3f74-42ef-8fad-ad69705102cd</t>
        </is>
      </c>
      <c r="D3331" t="n">
        <v>55.75043</v>
      </c>
      <c r="E3331" t="n">
        <v>37.66488</v>
      </c>
      <c r="F3331" t="inlineStr"/>
      <c r="G3331" t="inlineStr"/>
      <c r="H3331" t="inlineStr"/>
    </row>
    <row r="3332">
      <c r="A3332" t="inlineStr">
        <is>
          <t>c8cf0c62-02e5-472f-977d-7a8b00005646.jpg</t>
        </is>
      </c>
      <c r="B3332">
        <f>HYPERLINK("Объекты недвижимости, не соответствующие градостроительным нормам_00-022_Август/c8cf0c62-02e5-472f-977d-7a8b00005646.jpg","open")</f>
        <v/>
      </c>
      <c r="C3332" t="inlineStr">
        <is>
          <t>a1a9db89-3f74-42ef-8fad-ad69705102cd</t>
        </is>
      </c>
      <c r="D3332" t="n">
        <v>55.75043</v>
      </c>
      <c r="E3332" t="n">
        <v>37.66488</v>
      </c>
      <c r="F3332" t="inlineStr"/>
      <c r="G3332" t="inlineStr"/>
      <c r="H3332" t="inlineStr"/>
    </row>
    <row r="3333">
      <c r="A3333" t="inlineStr">
        <is>
          <t>4f8d7daf-b324-4b52-b4f1-3a83b45a85cc.jpg</t>
        </is>
      </c>
      <c r="B3333">
        <f>HYPERLINK("Объекты недвижимости, не соответствующие градостроительным нормам_00-022_Август/4f8d7daf-b324-4b52-b4f1-3a83b45a85cc.jpg","open")</f>
        <v/>
      </c>
      <c r="C3333" t="inlineStr">
        <is>
          <t>a1a9db89-3f74-42ef-8fad-ad69705102cd</t>
        </is>
      </c>
      <c r="D3333" t="n">
        <v>55.75043</v>
      </c>
      <c r="E3333" t="n">
        <v>37.66488</v>
      </c>
      <c r="F3333" t="inlineStr"/>
      <c r="G3333" t="inlineStr"/>
      <c r="H3333" t="inlineStr"/>
    </row>
    <row r="3334">
      <c r="A3334" t="inlineStr">
        <is>
          <t>5c99418c-512a-4b32-92b3-9c4991c86ab4.jpg</t>
        </is>
      </c>
      <c r="B3334">
        <f>HYPERLINK("Объекты недвижимости, не соответствующие градостроительным нормам_00-022_Август/5c99418c-512a-4b32-92b3-9c4991c86ab4.jpg","open")</f>
        <v/>
      </c>
      <c r="C3334" t="inlineStr">
        <is>
          <t>1c951e11-4940-43c6-a447-394097e5609a</t>
        </is>
      </c>
      <c r="D3334" t="n">
        <v>55.79452</v>
      </c>
      <c r="E3334" t="n">
        <v>37.78579</v>
      </c>
      <c r="F3334" t="inlineStr"/>
      <c r="G3334" t="inlineStr"/>
      <c r="H3334" t="inlineStr"/>
    </row>
    <row r="3335">
      <c r="A3335" t="inlineStr">
        <is>
          <t>011b913c-f0b5-4e3d-b3df-659ebcc306ec.jpg</t>
        </is>
      </c>
      <c r="B3335">
        <f>HYPERLINK("Объекты недвижимости, не соответствующие градостроительным нормам_00-022_Август/011b913c-f0b5-4e3d-b3df-659ebcc306ec.jpg","open")</f>
        <v/>
      </c>
      <c r="C3335" t="inlineStr">
        <is>
          <t>8cde1fd0-eca1-4510-86ab-3c743b65fdfc</t>
        </is>
      </c>
      <c r="D3335" t="n">
        <v>55.79453</v>
      </c>
      <c r="E3335" t="n">
        <v>37.78579</v>
      </c>
      <c r="F3335" t="inlineStr"/>
      <c r="G3335" t="inlineStr"/>
      <c r="H3335" t="inlineStr"/>
    </row>
    <row r="3336">
      <c r="A3336" t="inlineStr">
        <is>
          <t>fc35f15d-fedc-41cd-9882-68d3335193aa.jpg</t>
        </is>
      </c>
      <c r="B3336">
        <f>HYPERLINK("Объекты недвижимости, не соответствующие градостроительным нормам_00-022_Август/fc35f15d-fedc-41cd-9882-68d3335193aa.jpg","open")</f>
        <v/>
      </c>
      <c r="C3336" t="inlineStr">
        <is>
          <t>036c664f-5408-4fd0-b479-342c00468eeb</t>
        </is>
      </c>
      <c r="D3336" t="n">
        <v>55.73685</v>
      </c>
      <c r="E3336" t="n">
        <v>37.49075</v>
      </c>
      <c r="F3336" t="inlineStr"/>
      <c r="G3336" t="inlineStr"/>
      <c r="H3336" t="inlineStr"/>
    </row>
    <row r="3337">
      <c r="A3337" t="inlineStr">
        <is>
          <t>c20f3ffc-2a9f-4100-9f9a-e57f85cdc230.jpg</t>
        </is>
      </c>
      <c r="B3337">
        <f>HYPERLINK("Объекты недвижимости, не соответствующие градостроительным нормам_00-022_Август/c20f3ffc-2a9f-4100-9f9a-e57f85cdc230.jpg","open")</f>
        <v/>
      </c>
      <c r="C3337" t="inlineStr">
        <is>
          <t>cbf95b01-f708-45a3-9ec0-3603469b538e</t>
        </is>
      </c>
      <c r="D3337" t="n">
        <v>55.75043</v>
      </c>
      <c r="E3337" t="n">
        <v>37.66488</v>
      </c>
      <c r="F3337" t="inlineStr"/>
      <c r="G3337" t="inlineStr"/>
      <c r="H3337" t="inlineStr"/>
    </row>
    <row r="3338">
      <c r="A3338" t="inlineStr">
        <is>
          <t>eac61309-9442-4e65-9112-0fc40c2e1d2d.jpg</t>
        </is>
      </c>
      <c r="B3338">
        <f>HYPERLINK("Объекты недвижимости, не соответствующие градостроительным нормам_00-022_Август/eac61309-9442-4e65-9112-0fc40c2e1d2d.jpg","open")</f>
        <v/>
      </c>
      <c r="C3338" t="inlineStr">
        <is>
          <t>a1a9db89-3f74-42ef-8fad-ad69705102cd</t>
        </is>
      </c>
      <c r="D3338" t="n">
        <v>55.75043</v>
      </c>
      <c r="E3338" t="n">
        <v>37.66488</v>
      </c>
      <c r="F3338" t="inlineStr"/>
      <c r="G3338" t="inlineStr"/>
      <c r="H3338" t="inlineStr"/>
    </row>
    <row r="3339">
      <c r="A3339" t="inlineStr">
        <is>
          <t>1c81c14a-d9a1-405b-8aad-00b50d2a7469.jpg</t>
        </is>
      </c>
      <c r="B3339">
        <f>HYPERLINK("Объекты недвижимости, не соответствующие градостроительным нормам_00-022_Август/1c81c14a-d9a1-405b-8aad-00b50d2a7469.jpg","open")</f>
        <v/>
      </c>
      <c r="C3339" t="inlineStr">
        <is>
          <t>cbf95b01-f708-45a3-9ec0-3603469b538e</t>
        </is>
      </c>
      <c r="D3339" t="n">
        <v>55.75043</v>
      </c>
      <c r="E3339" t="n">
        <v>37.66488</v>
      </c>
      <c r="F3339" t="inlineStr"/>
      <c r="G3339" t="inlineStr"/>
      <c r="H3339" t="inlineStr"/>
    </row>
    <row r="3340">
      <c r="A3340" t="inlineStr">
        <is>
          <t>9db54f37-e04e-4624-885c-108cfb199684.jpg</t>
        </is>
      </c>
      <c r="B3340">
        <f>HYPERLINK("Объекты недвижимости, не соответствующие градостроительным нормам_00-022_Август/9db54f37-e04e-4624-885c-108cfb199684.jpg","open")</f>
        <v/>
      </c>
      <c r="C3340" t="inlineStr">
        <is>
          <t>a1a9db89-3f74-42ef-8fad-ad69705102cd</t>
        </is>
      </c>
      <c r="D3340" t="n">
        <v>55.75043</v>
      </c>
      <c r="E3340" t="n">
        <v>37.66488</v>
      </c>
      <c r="F3340" t="inlineStr"/>
      <c r="G3340" t="inlineStr"/>
      <c r="H3340" t="inlineStr"/>
    </row>
    <row r="3341">
      <c r="A3341" t="inlineStr">
        <is>
          <t>a0504a2e-3d6c-4ca8-8676-f01e9c426e6b.jpg</t>
        </is>
      </c>
      <c r="B3341">
        <f>HYPERLINK("Объекты недвижимости, не соответствующие градостроительным нормам_00-022_Август/a0504a2e-3d6c-4ca8-8676-f01e9c426e6b.jpg","open")</f>
        <v/>
      </c>
      <c r="C3341" t="inlineStr">
        <is>
          <t>8cde1fd0-eca1-4510-86ab-3c743b65fdfc</t>
        </is>
      </c>
      <c r="D3341" t="n">
        <v>55.79691</v>
      </c>
      <c r="E3341" t="n">
        <v>37.78518</v>
      </c>
      <c r="F3341" t="inlineStr"/>
      <c r="G3341" t="inlineStr"/>
      <c r="H3341" t="inlineStr"/>
    </row>
    <row r="3342">
      <c r="A3342" t="inlineStr">
        <is>
          <t>d1afcb06-7a49-48c2-abbf-483569a70a7e.jpg</t>
        </is>
      </c>
      <c r="B3342">
        <f>HYPERLINK("Объекты недвижимости, не соответствующие градостроительным нормам_00-022_Август/d1afcb06-7a49-48c2-abbf-483569a70a7e.jpg","open")</f>
        <v/>
      </c>
      <c r="C3342" t="inlineStr">
        <is>
          <t>cbf95b01-f708-45a3-9ec0-3603469b538e</t>
        </is>
      </c>
      <c r="D3342" t="n">
        <v>55.75043</v>
      </c>
      <c r="E3342" t="n">
        <v>37.66488</v>
      </c>
      <c r="F3342" t="inlineStr"/>
      <c r="G3342" t="inlineStr"/>
      <c r="H3342" t="inlineStr"/>
    </row>
    <row r="3343">
      <c r="A3343" t="inlineStr">
        <is>
          <t>8cb5f61c-50ba-4218-a756-e408ef689f16.jpg</t>
        </is>
      </c>
      <c r="B3343">
        <f>HYPERLINK("Объекты недвижимости, не соответствующие градостроительным нормам_00-022_Август/8cb5f61c-50ba-4218-a756-e408ef689f16.jpg","open")</f>
        <v/>
      </c>
      <c r="C3343" t="inlineStr">
        <is>
          <t>a1a9db89-3f74-42ef-8fad-ad69705102cd</t>
        </is>
      </c>
      <c r="D3343" t="n">
        <v>55.75043</v>
      </c>
      <c r="E3343" t="n">
        <v>37.66488</v>
      </c>
      <c r="F3343" t="inlineStr"/>
      <c r="G3343" t="inlineStr"/>
      <c r="H3343" t="inlineStr"/>
    </row>
    <row r="3344">
      <c r="A3344" t="inlineStr">
        <is>
          <t>65eed434-2c50-4d18-8b5f-a01ed0dc98b3.jpg</t>
        </is>
      </c>
      <c r="B3344">
        <f>HYPERLINK("Объекты недвижимости, не соответствующие градостроительным нормам_00-022_Август/65eed434-2c50-4d18-8b5f-a01ed0dc98b3.jpg","open")</f>
        <v/>
      </c>
      <c r="C3344" t="inlineStr">
        <is>
          <t>cbf95b01-f708-45a3-9ec0-3603469b538e</t>
        </is>
      </c>
      <c r="D3344" t="n">
        <v>55.75043</v>
      </c>
      <c r="E3344" t="n">
        <v>37.66488</v>
      </c>
      <c r="F3344" t="inlineStr"/>
      <c r="G3344" t="inlineStr"/>
      <c r="H3344" t="inlineStr"/>
    </row>
    <row r="3345">
      <c r="A3345" t="inlineStr">
        <is>
          <t>0271a07f-d932-416f-9141-123bbbcaa8c3.jpg</t>
        </is>
      </c>
      <c r="B3345">
        <f>HYPERLINK("Объекты недвижимости, не соответствующие градостроительным нормам_00-022_Август/0271a07f-d932-416f-9141-123bbbcaa8c3.jpg","open")</f>
        <v/>
      </c>
      <c r="C3345" t="inlineStr">
        <is>
          <t>a1a9db89-3f74-42ef-8fad-ad69705102cd</t>
        </is>
      </c>
      <c r="D3345" t="n">
        <v>55.75043</v>
      </c>
      <c r="E3345" t="n">
        <v>37.66488</v>
      </c>
      <c r="F3345" t="inlineStr"/>
      <c r="G3345" t="inlineStr"/>
      <c r="H3345" t="inlineStr"/>
    </row>
    <row r="3346">
      <c r="A3346" t="inlineStr">
        <is>
          <t>ee439caa-d0d7-485e-bfc7-1ee0a4999e9e.jpg</t>
        </is>
      </c>
      <c r="B3346">
        <f>HYPERLINK("Объекты недвижимости, не соответствующие градостроительным нормам_00-022_Август/ee439caa-d0d7-485e-bfc7-1ee0a4999e9e.jpg","open")</f>
        <v/>
      </c>
      <c r="C3346" t="inlineStr">
        <is>
          <t>cbf95b01-f708-45a3-9ec0-3603469b538e</t>
        </is>
      </c>
      <c r="D3346" t="n">
        <v>55.75043</v>
      </c>
      <c r="E3346" t="n">
        <v>37.66488</v>
      </c>
      <c r="F3346" t="inlineStr"/>
      <c r="G3346" t="inlineStr"/>
      <c r="H3346" t="inlineStr"/>
    </row>
    <row r="3347">
      <c r="A3347" t="inlineStr">
        <is>
          <t>58456faf-4dca-46a2-95ea-45902e68a616.jpg</t>
        </is>
      </c>
      <c r="B3347">
        <f>HYPERLINK("Объекты недвижимости, не соответствующие градостроительным нормам_00-022_Август/58456faf-4dca-46a2-95ea-45902e68a616.jpg","open")</f>
        <v/>
      </c>
      <c r="C3347" t="inlineStr">
        <is>
          <t>a1a9db89-3f74-42ef-8fad-ad69705102cd</t>
        </is>
      </c>
      <c r="D3347" t="n">
        <v>55.75043</v>
      </c>
      <c r="E3347" t="n">
        <v>37.66488</v>
      </c>
      <c r="F3347" t="inlineStr"/>
      <c r="G3347" t="inlineStr"/>
      <c r="H3347" t="inlineStr"/>
    </row>
    <row r="3348">
      <c r="A3348" t="inlineStr">
        <is>
          <t>c7588976-9c80-4077-848c-ecf64d4cfde3.jpg</t>
        </is>
      </c>
      <c r="B3348">
        <f>HYPERLINK("Объекты недвижимости, не соответствующие градостроительным нормам_00-022_Август/c7588976-9c80-4077-848c-ecf64d4cfde3.jpg","open")</f>
        <v/>
      </c>
      <c r="C3348" t="inlineStr">
        <is>
          <t>93848fc8-17e7-4748-9ebc-c7e379e11d2f</t>
        </is>
      </c>
      <c r="D3348" t="n">
        <v>55.56928</v>
      </c>
      <c r="E3348" t="n">
        <v>37.49366</v>
      </c>
      <c r="F3348" t="inlineStr"/>
      <c r="G3348" t="inlineStr"/>
      <c r="H3348" t="inlineStr"/>
    </row>
    <row r="3349">
      <c r="A3349" t="inlineStr">
        <is>
          <t>5505d6aa-a5d1-47ad-b946-c1eda64b6c09.jpg</t>
        </is>
      </c>
      <c r="B3349">
        <f>HYPERLINK("Объекты недвижимости, не соответствующие градостроительным нормам_00-022_Август/5505d6aa-a5d1-47ad-b946-c1eda64b6c09.jpg","open")</f>
        <v/>
      </c>
      <c r="C3349" t="inlineStr">
        <is>
          <t>a28f597e-d1cd-4d3b-b572-c86d033412e9</t>
        </is>
      </c>
      <c r="D3349" t="n">
        <v>55.73479</v>
      </c>
      <c r="E3349" t="n">
        <v>37.49253</v>
      </c>
      <c r="F3349" t="inlineStr"/>
      <c r="G3349" t="inlineStr"/>
      <c r="H3349" t="inlineStr"/>
    </row>
    <row r="3350">
      <c r="A3350" t="inlineStr">
        <is>
          <t>eb6c7127-0b45-410b-b357-a771d22c05a7.jpg</t>
        </is>
      </c>
      <c r="B3350">
        <f>HYPERLINK("Объекты недвижимости, не соответствующие градостроительным нормам_00-022_Август/eb6c7127-0b45-410b-b357-a771d22c05a7.jpg","open")</f>
        <v/>
      </c>
      <c r="C3350" t="inlineStr">
        <is>
          <t>9f88688f-4c81-42a8-b76a-3c3e7edf869e</t>
        </is>
      </c>
      <c r="D3350" t="n">
        <v>55.75147</v>
      </c>
      <c r="E3350" t="n">
        <v>37.6707</v>
      </c>
      <c r="F3350" t="inlineStr"/>
      <c r="G3350" t="inlineStr"/>
      <c r="H3350" t="inlineStr"/>
    </row>
    <row r="3351">
      <c r="A3351" t="inlineStr">
        <is>
          <t>cf088bf0-5296-4b65-8fa4-9eb11e547372.jpg</t>
        </is>
      </c>
      <c r="B3351">
        <f>HYPERLINK("Объекты недвижимости, не соответствующие градостроительным нормам_00-022_Август/cf088bf0-5296-4b65-8fa4-9eb11e547372.jpg","open")</f>
        <v/>
      </c>
      <c r="C3351" t="inlineStr">
        <is>
          <t>acedacc2-0d8b-4fc1-9622-25621a89d071</t>
        </is>
      </c>
      <c r="D3351" t="n">
        <v>55.81797</v>
      </c>
      <c r="E3351" t="n">
        <v>37.77425</v>
      </c>
      <c r="F3351" t="inlineStr"/>
      <c r="G3351" t="inlineStr"/>
      <c r="H3351" t="inlineStr"/>
    </row>
    <row r="3352">
      <c r="A3352" t="inlineStr">
        <is>
          <t>5ee5a3f2-0fe0-4d2b-99cd-c7ee8c2cf90a.jpg</t>
        </is>
      </c>
      <c r="B3352">
        <f>HYPERLINK("Объекты недвижимости, не соответствующие градостроительным нормам_00-022_Август/5ee5a3f2-0fe0-4d2b-99cd-c7ee8c2cf90a.jpg","open")</f>
        <v/>
      </c>
      <c r="C3352" t="inlineStr">
        <is>
          <t>cbf95b01-f708-45a3-9ec0-3603469b538e</t>
        </is>
      </c>
      <c r="D3352" t="n">
        <v>55.75043</v>
      </c>
      <c r="E3352" t="n">
        <v>37.66488</v>
      </c>
      <c r="F3352" t="inlineStr"/>
      <c r="G3352" t="inlineStr"/>
      <c r="H3352" t="inlineStr"/>
    </row>
    <row r="3353">
      <c r="A3353" t="inlineStr">
        <is>
          <t>9d030f24-e144-4e89-abdc-fe066411c2f9.jpg</t>
        </is>
      </c>
      <c r="B3353">
        <f>HYPERLINK("Объекты недвижимости, не соответствующие градостроительным нормам_00-022_Август/9d030f24-e144-4e89-abdc-fe066411c2f9.jpg","open")</f>
        <v/>
      </c>
      <c r="C3353" t="inlineStr">
        <is>
          <t>685d9054-b74f-49ab-857b-109fd2cec80d</t>
        </is>
      </c>
      <c r="D3353" t="n">
        <v>55.64933</v>
      </c>
      <c r="E3353" t="n">
        <v>37.57718</v>
      </c>
      <c r="F3353" t="inlineStr"/>
      <c r="G3353" t="inlineStr"/>
      <c r="H3353" t="inlineStr"/>
    </row>
    <row r="3354">
      <c r="A3354" t="inlineStr">
        <is>
          <t>f5d6c3fd-be52-4a75-8946-71e4c21cbf12.jpg</t>
        </is>
      </c>
      <c r="B3354">
        <f>HYPERLINK("Объекты недвижимости, не соответствующие градостроительным нормам_00-022_Август/f5d6c3fd-be52-4a75-8946-71e4c21cbf12.jpg","open")</f>
        <v/>
      </c>
      <c r="C3354" t="inlineStr">
        <is>
          <t>9c930d0e-e445-452d-a046-325646b21ab7</t>
        </is>
      </c>
      <c r="D3354" t="n">
        <v>55.87665</v>
      </c>
      <c r="E3354" t="n">
        <v>37.6679</v>
      </c>
      <c r="F3354" t="inlineStr"/>
      <c r="G3354" t="inlineStr"/>
      <c r="H3354" t="inlineStr"/>
    </row>
    <row r="3355">
      <c r="A3355" t="inlineStr">
        <is>
          <t>e3652193-233f-4aa4-83fd-6ba0e6680e60.jpg</t>
        </is>
      </c>
      <c r="B3355">
        <f>HYPERLINK("Объекты недвижимости, не соответствующие градостроительным нормам_00-022_Август/e3652193-233f-4aa4-83fd-6ba0e6680e60.jpg","open")</f>
        <v/>
      </c>
      <c r="C3355" t="inlineStr">
        <is>
          <t>9c930d0e-e445-452d-a046-325646b21ab7</t>
        </is>
      </c>
      <c r="D3355" t="n">
        <v>55.87665</v>
      </c>
      <c r="E3355" t="n">
        <v>37.6679</v>
      </c>
      <c r="F3355" t="inlineStr"/>
      <c r="G3355" t="inlineStr"/>
      <c r="H3355" t="inlineStr"/>
    </row>
    <row r="3356">
      <c r="A3356" t="inlineStr">
        <is>
          <t>af8a334f-4dac-45f1-9769-8628c5e92d71.jpg</t>
        </is>
      </c>
      <c r="B3356">
        <f>HYPERLINK("Объекты недвижимости, не соответствующие градостроительным нормам_00-022_Август/af8a334f-4dac-45f1-9769-8628c5e92d71.jpg","open")</f>
        <v/>
      </c>
      <c r="C3356" t="inlineStr">
        <is>
          <t>cbf95b01-f708-45a3-9ec0-3603469b538e</t>
        </is>
      </c>
      <c r="D3356" t="n">
        <v>55.75043</v>
      </c>
      <c r="E3356" t="n">
        <v>37.66488</v>
      </c>
      <c r="F3356" t="inlineStr"/>
      <c r="G3356" t="inlineStr"/>
      <c r="H3356" t="inlineStr"/>
    </row>
    <row r="3357">
      <c r="A3357" t="inlineStr">
        <is>
          <t>c2aaa2a4-4746-42af-b2f9-bd3cd0a522ce.jpg</t>
        </is>
      </c>
      <c r="B3357">
        <f>HYPERLINK("Объекты недвижимости, не соответствующие градостроительным нормам_00-022_Август/c2aaa2a4-4746-42af-b2f9-bd3cd0a522ce.jpg","open")</f>
        <v/>
      </c>
      <c r="C3357" t="inlineStr">
        <is>
          <t>cbf95b01-f708-45a3-9ec0-3603469b538e</t>
        </is>
      </c>
      <c r="D3357" t="n">
        <v>55.75043</v>
      </c>
      <c r="E3357" t="n">
        <v>37.66488</v>
      </c>
      <c r="F3357" t="inlineStr"/>
      <c r="G3357" t="inlineStr"/>
      <c r="H3357" t="inlineStr"/>
    </row>
    <row r="3358">
      <c r="A3358" t="inlineStr">
        <is>
          <t>9eb199f0-98e2-481a-8990-220e35db46d7.jpg</t>
        </is>
      </c>
      <c r="B3358">
        <f>HYPERLINK("Объекты недвижимости, не соответствующие градостроительным нормам_00-022_Август/9eb199f0-98e2-481a-8990-220e35db46d7.jpg","open")</f>
        <v/>
      </c>
      <c r="C3358" t="inlineStr">
        <is>
          <t>685d9054-b74f-49ab-857b-109fd2cec80d</t>
        </is>
      </c>
      <c r="D3358" t="n">
        <v>55.64899</v>
      </c>
      <c r="E3358" t="n">
        <v>37.57455</v>
      </c>
      <c r="F3358" t="inlineStr"/>
      <c r="G3358" t="inlineStr"/>
      <c r="H3358" t="inlineStr"/>
    </row>
    <row r="3359">
      <c r="A3359" t="inlineStr">
        <is>
          <t>917a1de4-d5c2-4f56-86b5-0bd4f37e5cfb.jpg</t>
        </is>
      </c>
      <c r="B3359">
        <f>HYPERLINK("Объекты недвижимости, не соответствующие градостроительным нормам_00-022_Август/917a1de4-d5c2-4f56-86b5-0bd4f37e5cfb.jpg","open")</f>
        <v/>
      </c>
      <c r="C3359" t="inlineStr">
        <is>
          <t>ed2bf0f1-3a66-4913-896e-4420a9796c0b</t>
        </is>
      </c>
      <c r="D3359" t="n">
        <v>55.88632</v>
      </c>
      <c r="E3359" t="n">
        <v>37.685</v>
      </c>
      <c r="F3359" t="inlineStr"/>
      <c r="G3359" t="inlineStr"/>
      <c r="H3359" t="inlineStr"/>
    </row>
    <row r="3360">
      <c r="A3360" t="inlineStr">
        <is>
          <t>526d486e-4beb-49a3-be10-2bf728bcf9e1.jpg</t>
        </is>
      </c>
      <c r="B3360">
        <f>HYPERLINK("Объекты недвижимости, не соответствующие градостроительным нормам_00-022_Август/526d486e-4beb-49a3-be10-2bf728bcf9e1.jpg","open")</f>
        <v/>
      </c>
      <c r="C3360" t="inlineStr">
        <is>
          <t>1a55986c-2c3f-40c0-b3d1-014dce77832e</t>
        </is>
      </c>
      <c r="D3360" t="n">
        <v>55.88665</v>
      </c>
      <c r="E3360" t="n">
        <v>37.68405</v>
      </c>
      <c r="F3360" t="inlineStr"/>
      <c r="G3360" t="inlineStr"/>
      <c r="H3360" t="inlineStr"/>
    </row>
    <row r="3361">
      <c r="A3361" t="inlineStr">
        <is>
          <t>2c480a8f-b3c2-4056-9464-bf9ae6082f60.jpg</t>
        </is>
      </c>
      <c r="B3361">
        <f>HYPERLINK("Объекты недвижимости, не соответствующие градостроительным нормам_00-022_Август/2c480a8f-b3c2-4056-9464-bf9ae6082f60.jpg","open")</f>
        <v/>
      </c>
      <c r="C3361" t="inlineStr">
        <is>
          <t>cbf95b01-f708-45a3-9ec0-3603469b538e</t>
        </is>
      </c>
      <c r="D3361" t="n">
        <v>55.75043</v>
      </c>
      <c r="E3361" t="n">
        <v>37.66488</v>
      </c>
      <c r="F3361" t="inlineStr"/>
      <c r="G3361" t="inlineStr"/>
      <c r="H3361" t="inlineStr"/>
    </row>
    <row r="3362">
      <c r="A3362" t="inlineStr">
        <is>
          <t>6820d69c-d2ce-4529-887e-ffbeb713e657.jpg</t>
        </is>
      </c>
      <c r="B3362">
        <f>HYPERLINK("Объекты недвижимости, не соответствующие градостроительным нормам_00-022_Август/6820d69c-d2ce-4529-887e-ffbeb713e657.jpg","open")</f>
        <v/>
      </c>
      <c r="C3362" t="inlineStr">
        <is>
          <t>a1a9db89-3f74-42ef-8fad-ad69705102cd</t>
        </is>
      </c>
      <c r="D3362" t="n">
        <v>55.75043</v>
      </c>
      <c r="E3362" t="n">
        <v>37.66488</v>
      </c>
      <c r="F3362" t="inlineStr"/>
      <c r="G3362" t="inlineStr"/>
      <c r="H3362" t="inlineStr"/>
    </row>
    <row r="3363">
      <c r="A3363" t="inlineStr">
        <is>
          <t>3ffb89e8-ca46-4664-99f3-afdbfc271254.jpg</t>
        </is>
      </c>
      <c r="B3363">
        <f>HYPERLINK("Объекты недвижимости, не соответствующие градостроительным нормам_00-022_Август/3ffb89e8-ca46-4664-99f3-afdbfc271254.jpg","open")</f>
        <v/>
      </c>
      <c r="C3363" t="inlineStr">
        <is>
          <t>cbf95b01-f708-45a3-9ec0-3603469b538e</t>
        </is>
      </c>
      <c r="D3363" t="n">
        <v>55.7309</v>
      </c>
      <c r="E3363" t="n">
        <v>37.63255</v>
      </c>
      <c r="F3363" t="inlineStr"/>
      <c r="G3363" t="inlineStr"/>
      <c r="H3363" t="inlineStr"/>
    </row>
    <row r="3364">
      <c r="A3364" t="inlineStr">
        <is>
          <t>f8053132-7cf1-4688-a022-f98cec46506c.jpg</t>
        </is>
      </c>
      <c r="B3364">
        <f>HYPERLINK("Объекты недвижимости, не соответствующие градостроительным нормам_00-022_Август/f8053132-7cf1-4688-a022-f98cec46506c.jpg","open")</f>
        <v/>
      </c>
      <c r="C3364" t="inlineStr">
        <is>
          <t>c008bda0-324b-4c90-9c2f-36cfc930e0b5</t>
        </is>
      </c>
      <c r="D3364" t="n">
        <v>55.75553</v>
      </c>
      <c r="E3364" t="n">
        <v>37.65747</v>
      </c>
      <c r="F3364" t="inlineStr"/>
      <c r="G3364" t="inlineStr"/>
      <c r="H3364" t="inlineStr"/>
    </row>
    <row r="3365">
      <c r="A3365" t="inlineStr">
        <is>
          <t>5941a98b-6f73-4d5b-a126-282f0e3a2528.jpg</t>
        </is>
      </c>
      <c r="B3365">
        <f>HYPERLINK("Объекты недвижимости, не соответствующие градостроительным нормам_00-022_Август/5941a98b-6f73-4d5b-a126-282f0e3a2528.jpg","open")</f>
        <v/>
      </c>
      <c r="C3365" t="inlineStr">
        <is>
          <t>29ad9edb-d533-4272-a986-be24eb004851</t>
        </is>
      </c>
      <c r="D3365" t="n">
        <v>55.75553</v>
      </c>
      <c r="E3365" t="n">
        <v>37.65747</v>
      </c>
      <c r="F3365" t="inlineStr"/>
      <c r="G3365" t="inlineStr"/>
      <c r="H3365" t="inlineStr"/>
    </row>
    <row r="3366">
      <c r="A3366" t="inlineStr">
        <is>
          <t>b4adfc68-b66e-416a-bfcf-d66775bcd550.jpg</t>
        </is>
      </c>
      <c r="B3366">
        <f>HYPERLINK("Объекты недвижимости, не соответствующие градостроительным нормам_00-022_Август/b4adfc68-b66e-416a-bfcf-d66775bcd550.jpg","open")</f>
        <v/>
      </c>
      <c r="C3366" t="inlineStr">
        <is>
          <t>8cde1fd0-eca1-4510-86ab-3c743b65fdfc</t>
        </is>
      </c>
      <c r="D3366" t="n">
        <v>55.7993</v>
      </c>
      <c r="E3366" t="n">
        <v>37.78876</v>
      </c>
      <c r="F3366" t="inlineStr"/>
      <c r="G3366" t="inlineStr"/>
      <c r="H3366" t="inlineStr"/>
    </row>
    <row r="3367">
      <c r="A3367" t="inlineStr">
        <is>
          <t>4d81d66f-d90a-475f-ac71-953f53062c10.jpg</t>
        </is>
      </c>
      <c r="B3367">
        <f>HYPERLINK("Объекты недвижимости, не соответствующие градостроительным нормам_00-022_Август/4d81d66f-d90a-475f-ac71-953f53062c10.jpg","open")</f>
        <v/>
      </c>
      <c r="C3367" t="inlineStr">
        <is>
          <t>1231bbc5-e64c-4dc7-9acc-77710f47607a</t>
        </is>
      </c>
      <c r="D3367" t="n">
        <v>55.64887</v>
      </c>
      <c r="E3367" t="n">
        <v>37.57313</v>
      </c>
      <c r="F3367" t="inlineStr"/>
      <c r="G3367" t="inlineStr"/>
      <c r="H3367" t="inlineStr"/>
    </row>
    <row r="3368">
      <c r="A3368" t="inlineStr">
        <is>
          <t>11f325e6-8ead-4766-bdec-a4a50062931c.jpg</t>
        </is>
      </c>
      <c r="B3368">
        <f>HYPERLINK("Объекты недвижимости, не соответствующие градостроительным нормам_00-022_Август/11f325e6-8ead-4766-bdec-a4a50062931c.jpg","open")</f>
        <v/>
      </c>
      <c r="C3368" t="inlineStr">
        <is>
          <t>1231bbc5-e64c-4dc7-9acc-77710f47607a</t>
        </is>
      </c>
      <c r="D3368" t="n">
        <v>55.6488</v>
      </c>
      <c r="E3368" t="n">
        <v>37.57297</v>
      </c>
      <c r="F3368" t="inlineStr"/>
      <c r="G3368" t="inlineStr"/>
      <c r="H3368" t="inlineStr"/>
    </row>
    <row r="3369">
      <c r="A3369" t="inlineStr">
        <is>
          <t>f5a64fbb-6900-43ab-b738-a1ef38c37bbd.jpg</t>
        </is>
      </c>
      <c r="B3369">
        <f>HYPERLINK("Объекты недвижимости, не соответствующие градостроительным нормам_00-022_Август/f5a64fbb-6900-43ab-b738-a1ef38c37bbd.jpg","open")</f>
        <v/>
      </c>
      <c r="C3369" t="inlineStr">
        <is>
          <t>685d9054-b74f-49ab-857b-109fd2cec80d</t>
        </is>
      </c>
      <c r="D3369" t="n">
        <v>55.64875</v>
      </c>
      <c r="E3369" t="n">
        <v>37.57299</v>
      </c>
      <c r="F3369" t="inlineStr"/>
      <c r="G3369" t="inlineStr"/>
      <c r="H3369" t="inlineStr"/>
    </row>
    <row r="3370">
      <c r="A3370" t="inlineStr">
        <is>
          <t>0c7b80ae-d98b-4064-9a60-e7bb5868e275.jpg</t>
        </is>
      </c>
      <c r="B3370">
        <f>HYPERLINK("Объекты недвижимости, не соответствующие градостроительным нормам_00-022_Август/0c7b80ae-d98b-4064-9a60-e7bb5868e275.jpg","open")</f>
        <v/>
      </c>
      <c r="C3370" t="inlineStr">
        <is>
          <t>1231bbc5-e64c-4dc7-9acc-77710f47607a</t>
        </is>
      </c>
      <c r="D3370" t="n">
        <v>55.64872</v>
      </c>
      <c r="E3370" t="n">
        <v>37.57302</v>
      </c>
      <c r="F3370" t="inlineStr"/>
      <c r="G3370" t="inlineStr"/>
      <c r="H3370" t="inlineStr"/>
    </row>
    <row r="3371">
      <c r="A3371" t="inlineStr">
        <is>
          <t>67a9e393-ee20-4b5f-966a-75a4ff8c0811.jpg</t>
        </is>
      </c>
      <c r="B3371">
        <f>HYPERLINK("Объекты недвижимости, не соответствующие градостроительным нормам_00-022_Август/67a9e393-ee20-4b5f-966a-75a4ff8c0811.jpg","open")</f>
        <v/>
      </c>
      <c r="C3371" t="inlineStr">
        <is>
          <t>93848fc8-17e7-4748-9ebc-c7e379e11d2f</t>
        </is>
      </c>
      <c r="D3371" t="n">
        <v>55.60059</v>
      </c>
      <c r="E3371" t="n">
        <v>37.48345</v>
      </c>
      <c r="F3371" t="inlineStr"/>
      <c r="G3371" t="inlineStr"/>
      <c r="H3371" t="inlineStr"/>
    </row>
    <row r="3372">
      <c r="A3372" t="inlineStr">
        <is>
          <t>7d793bc2-ee61-46bc-a029-6432bb2eda3c.jpg</t>
        </is>
      </c>
      <c r="B3372">
        <f>HYPERLINK("Объекты недвижимости, не соответствующие градостроительным нормам_00-022_Август/7d793bc2-ee61-46bc-a029-6432bb2eda3c.jpg","open")</f>
        <v/>
      </c>
      <c r="C3372" t="inlineStr">
        <is>
          <t>cbf95b01-f708-45a3-9ec0-3603469b538e</t>
        </is>
      </c>
      <c r="D3372" t="n">
        <v>55.73263</v>
      </c>
      <c r="E3372" t="n">
        <v>37.63454</v>
      </c>
      <c r="F3372" t="inlineStr"/>
      <c r="G3372" t="inlineStr"/>
      <c r="H3372" t="inlineStr"/>
    </row>
    <row r="3373">
      <c r="A3373" t="inlineStr">
        <is>
          <t>2ff776c7-1143-4621-95f4-30f3925f9561.jpg</t>
        </is>
      </c>
      <c r="B3373">
        <f>HYPERLINK("Объекты недвижимости, не соответствующие градостроительным нормам_00-022_Август/2ff776c7-1143-4621-95f4-30f3925f9561.jpg","open")</f>
        <v/>
      </c>
      <c r="C3373" t="inlineStr">
        <is>
          <t>cbf95b01-f708-45a3-9ec0-3603469b538e</t>
        </is>
      </c>
      <c r="D3373" t="n">
        <v>55.73263</v>
      </c>
      <c r="E3373" t="n">
        <v>37.63454</v>
      </c>
      <c r="F3373" t="inlineStr"/>
      <c r="G3373" t="inlineStr"/>
      <c r="H3373" t="inlineStr"/>
    </row>
    <row r="3374">
      <c r="A3374" t="inlineStr">
        <is>
          <t>5a14b8a5-fd4b-4fb8-b2ee-5b03f961f80c.jpg</t>
        </is>
      </c>
      <c r="B3374">
        <f>HYPERLINK("Объекты недвижимости, не соответствующие градостроительным нормам_00-022_Август/5a14b8a5-fd4b-4fb8-b2ee-5b03f961f80c.jpg","open")</f>
        <v/>
      </c>
      <c r="C3374" t="inlineStr">
        <is>
          <t>cbf95b01-f708-45a3-9ec0-3603469b538e</t>
        </is>
      </c>
      <c r="D3374" t="n">
        <v>55.73263</v>
      </c>
      <c r="E3374" t="n">
        <v>37.63454</v>
      </c>
      <c r="F3374" t="inlineStr"/>
      <c r="G3374" t="inlineStr"/>
      <c r="H3374" t="inlineStr"/>
    </row>
    <row r="3375">
      <c r="A3375" t="inlineStr">
        <is>
          <t>73aa9468-7121-429a-ace0-9a7da12c29bc.jpg</t>
        </is>
      </c>
      <c r="B3375">
        <f>HYPERLINK("Объекты недвижимости, не соответствующие градостроительным нормам_00-022_Август/73aa9468-7121-429a-ace0-9a7da12c29bc.jpg","open")</f>
        <v/>
      </c>
      <c r="C3375" t="inlineStr">
        <is>
          <t>685d9054-b74f-49ab-857b-109fd2cec80d</t>
        </is>
      </c>
      <c r="D3375" t="n">
        <v>55.64898</v>
      </c>
      <c r="E3375" t="n">
        <v>37.5707</v>
      </c>
      <c r="F3375" t="inlineStr"/>
      <c r="G3375" t="inlineStr"/>
      <c r="H3375" t="inlineStr"/>
    </row>
    <row r="3376">
      <c r="A3376" t="inlineStr">
        <is>
          <t>e547cfe1-76a1-471a-ad30-d0d91c38bbc4.jpg</t>
        </is>
      </c>
      <c r="B3376">
        <f>HYPERLINK("Объекты недвижимости, не соответствующие градостроительным нормам_00-022_Август/e547cfe1-76a1-471a-ad30-d0d91c38bbc4.jpg","open")</f>
        <v/>
      </c>
      <c r="C3376" t="inlineStr">
        <is>
          <t>1231bbc5-e64c-4dc7-9acc-77710f47607a</t>
        </is>
      </c>
      <c r="D3376" t="n">
        <v>55.64835</v>
      </c>
      <c r="E3376" t="n">
        <v>37.56965</v>
      </c>
      <c r="F3376" t="inlineStr"/>
      <c r="G3376" t="inlineStr"/>
      <c r="H3376" t="inlineStr"/>
    </row>
    <row r="3377">
      <c r="A3377" t="inlineStr">
        <is>
          <t>40d0b2d6-b12d-43f4-8b0e-03aaf7bcee0c.jpg</t>
        </is>
      </c>
      <c r="B3377">
        <f>HYPERLINK("Объекты недвижимости, не соответствующие градостроительным нормам_00-022_Август/40d0b2d6-b12d-43f4-8b0e-03aaf7bcee0c.jpg","open")</f>
        <v/>
      </c>
      <c r="C3377" t="inlineStr">
        <is>
          <t>cbf95b01-f708-45a3-9ec0-3603469b538e</t>
        </is>
      </c>
      <c r="D3377" t="n">
        <v>55.73263</v>
      </c>
      <c r="E3377" t="n">
        <v>37.63454</v>
      </c>
      <c r="F3377" t="inlineStr"/>
      <c r="G3377" t="inlineStr"/>
      <c r="H3377" t="inlineStr"/>
    </row>
    <row r="3378">
      <c r="A3378" t="inlineStr">
        <is>
          <t>62d7319f-fb7c-4120-a282-64f7a76af0c4.jpg</t>
        </is>
      </c>
      <c r="B3378">
        <f>HYPERLINK("Объекты недвижимости, не соответствующие градостроительным нормам_00-022_Август/62d7319f-fb7c-4120-a282-64f7a76af0c4.jpg","open")</f>
        <v/>
      </c>
      <c r="C3378" t="inlineStr">
        <is>
          <t>cbf95b01-f708-45a3-9ec0-3603469b538e</t>
        </is>
      </c>
      <c r="D3378" t="n">
        <v>56.12757</v>
      </c>
      <c r="E3378" t="n">
        <v>40.00122</v>
      </c>
      <c r="F3378" t="inlineStr"/>
      <c r="G3378" t="inlineStr"/>
      <c r="H3378" t="inlineStr"/>
    </row>
    <row r="3379">
      <c r="A3379" t="inlineStr">
        <is>
          <t>4970ff60-a29c-4ef9-a475-d89c21599cc4.jpg</t>
        </is>
      </c>
      <c r="B3379">
        <f>HYPERLINK("Объекты недвижимости, не соответствующие градостроительным нормам_00-022_Август/4970ff60-a29c-4ef9-a475-d89c21599cc4.jpg","open")</f>
        <v/>
      </c>
      <c r="C3379" t="inlineStr">
        <is>
          <t>b0b7ea82-53be-40d0-b992-e2fd18611d5c</t>
        </is>
      </c>
      <c r="D3379" t="n">
        <v>55.65835</v>
      </c>
      <c r="E3379" t="n">
        <v>37.76097</v>
      </c>
      <c r="F3379" t="inlineStr"/>
      <c r="G3379" t="inlineStr"/>
      <c r="H3379" t="inlineStr"/>
    </row>
    <row r="3380">
      <c r="A3380" t="inlineStr">
        <is>
          <t>32fe1d44-1fb1-4498-9727-79aa72ae926b.jpg</t>
        </is>
      </c>
      <c r="B3380">
        <f>HYPERLINK("Объекты недвижимости, не соответствующие градостроительным нормам_00-022_Август/32fe1d44-1fb1-4498-9727-79aa72ae926b.jpg","open")</f>
        <v/>
      </c>
      <c r="C3380" t="inlineStr">
        <is>
          <t>f60286ac-55e7-4099-85bd-cc599a7a0c65</t>
        </is>
      </c>
      <c r="D3380" t="n">
        <v>55.7532</v>
      </c>
      <c r="E3380" t="n">
        <v>37.80498</v>
      </c>
      <c r="F3380" t="inlineStr"/>
      <c r="G3380" t="inlineStr"/>
      <c r="H3380" t="inlineStr"/>
    </row>
    <row r="3381">
      <c r="A3381" t="inlineStr">
        <is>
          <t>c11200d0-8590-43f3-8b71-05b7764a7e31.jpg</t>
        </is>
      </c>
      <c r="B3381">
        <f>HYPERLINK("Объекты недвижимости, не соответствующие градостроительным нормам_00-022_Август/c11200d0-8590-43f3-8b71-05b7764a7e31.jpg","open")</f>
        <v/>
      </c>
      <c r="C3381" t="inlineStr">
        <is>
          <t>91248771-2c4d-44f3-b3cf-d536bd4ae73c</t>
        </is>
      </c>
      <c r="D3381" t="n">
        <v>55.7903</v>
      </c>
      <c r="E3381" t="n">
        <v>37.71078</v>
      </c>
      <c r="F3381" t="inlineStr"/>
      <c r="G3381" t="inlineStr"/>
      <c r="H3381" t="inlineStr"/>
    </row>
    <row r="3382">
      <c r="A3382" t="inlineStr">
        <is>
          <t>47dce90d-b2bd-49e2-a7d6-9ca49aaf1e43.jpg</t>
        </is>
      </c>
      <c r="B3382">
        <f>HYPERLINK("Объекты недвижимости, не соответствующие градостроительным нормам_00-022_Август/47dce90d-b2bd-49e2-a7d6-9ca49aaf1e43.jpg","open")</f>
        <v/>
      </c>
      <c r="C3382" t="inlineStr">
        <is>
          <t>685d9054-b74f-49ab-857b-109fd2cec80d</t>
        </is>
      </c>
      <c r="D3382" t="n">
        <v>55.65034</v>
      </c>
      <c r="E3382" t="n">
        <v>37.56654</v>
      </c>
      <c r="F3382" t="inlineStr"/>
      <c r="G3382" t="inlineStr"/>
      <c r="H3382" t="inlineStr"/>
    </row>
    <row r="3383">
      <c r="A3383" t="inlineStr">
        <is>
          <t>9d71f9ca-94c7-49d0-9204-9edb742eef9b.jpg</t>
        </is>
      </c>
      <c r="B3383">
        <f>HYPERLINK("Объекты недвижимости, не соответствующие градостроительным нормам_00-022_Август/9d71f9ca-94c7-49d0-9204-9edb742eef9b.jpg","open")</f>
        <v/>
      </c>
      <c r="C3383" t="inlineStr">
        <is>
          <t>8cde1fd0-eca1-4510-86ab-3c743b65fdfc</t>
        </is>
      </c>
      <c r="D3383" t="n">
        <v>55.79329</v>
      </c>
      <c r="E3383" t="n">
        <v>37.79151</v>
      </c>
      <c r="F3383" t="inlineStr"/>
      <c r="G3383" t="inlineStr"/>
      <c r="H3383" t="inlineStr"/>
    </row>
    <row r="3384">
      <c r="A3384" t="inlineStr">
        <is>
          <t>da8db0e6-a69c-45cf-8e17-8777eddc5b76.jpg</t>
        </is>
      </c>
      <c r="B3384">
        <f>HYPERLINK("Объекты недвижимости, не соответствующие градостроительным нормам_00-022_Август/da8db0e6-a69c-45cf-8e17-8777eddc5b76.jpg","open")</f>
        <v/>
      </c>
      <c r="C3384" t="inlineStr">
        <is>
          <t>cbf95b01-f708-45a3-9ec0-3603469b538e</t>
        </is>
      </c>
      <c r="D3384" t="n">
        <v>56.12757</v>
      </c>
      <c r="E3384" t="n">
        <v>40.00122</v>
      </c>
      <c r="F3384" t="inlineStr"/>
      <c r="G3384" t="inlineStr"/>
      <c r="H3384" t="inlineStr"/>
    </row>
    <row r="3385">
      <c r="A3385" t="inlineStr">
        <is>
          <t>43fbbe29-7d32-4c90-853e-e98fb828af46.jpg</t>
        </is>
      </c>
      <c r="B3385">
        <f>HYPERLINK("Объекты недвижимости, не соответствующие градостроительным нормам_00-022_Август/43fbbe29-7d32-4c90-853e-e98fb828af46.jpg","open")</f>
        <v/>
      </c>
      <c r="C3385" t="inlineStr">
        <is>
          <t>cbf95b01-f708-45a3-9ec0-3603469b538e</t>
        </is>
      </c>
      <c r="D3385" t="n">
        <v>55.74043</v>
      </c>
      <c r="E3385" t="n">
        <v>37.6544</v>
      </c>
      <c r="F3385" t="inlineStr"/>
      <c r="G3385" t="inlineStr"/>
      <c r="H3385" t="inlineStr"/>
    </row>
    <row r="3386">
      <c r="A3386" t="inlineStr">
        <is>
          <t>5c51904b-b3d3-461c-8baa-f3160edfc635.jpg</t>
        </is>
      </c>
      <c r="B3386">
        <f>HYPERLINK("Объекты недвижимости, не соответствующие градостроительным нормам_00-022_Август/5c51904b-b3d3-461c-8baa-f3160edfc635.jpg","open")</f>
        <v/>
      </c>
      <c r="C3386" t="inlineStr">
        <is>
          <t>b0b7ea82-53be-40d0-b992-e2fd18611d5c</t>
        </is>
      </c>
      <c r="D3386" t="n">
        <v>55.65844</v>
      </c>
      <c r="E3386" t="n">
        <v>37.7611</v>
      </c>
      <c r="F3386" t="inlineStr"/>
      <c r="G3386" t="inlineStr"/>
      <c r="H3386" t="inlineStr"/>
    </row>
    <row r="3387">
      <c r="A3387" t="inlineStr">
        <is>
          <t>4d2b3d4b-d7a6-48f5-bcbc-0027b627b871.jpg</t>
        </is>
      </c>
      <c r="B3387">
        <f>HYPERLINK("Объекты недвижимости, не соответствующие градостроительным нормам_00-022_Август/4d2b3d4b-d7a6-48f5-bcbc-0027b627b871.jpg","open")</f>
        <v/>
      </c>
      <c r="C3387" t="inlineStr">
        <is>
          <t>8cde1fd0-eca1-4510-86ab-3c743b65fdfc</t>
        </is>
      </c>
      <c r="D3387" t="n">
        <v>55.79734</v>
      </c>
      <c r="E3387" t="n">
        <v>37.79507</v>
      </c>
      <c r="F3387" t="inlineStr"/>
      <c r="G3387" t="inlineStr"/>
      <c r="H3387" t="inlineStr"/>
    </row>
    <row r="3388">
      <c r="A3388" t="inlineStr">
        <is>
          <t>ee3d0bbc-8710-4d10-a610-e31bfdfd795f.jpg</t>
        </is>
      </c>
      <c r="B3388">
        <f>HYPERLINK("Объекты недвижимости, не соответствующие градостроительным нормам_00-022_Август/ee3d0bbc-8710-4d10-a610-e31bfdfd795f.jpg","open")</f>
        <v/>
      </c>
      <c r="C3388" t="inlineStr">
        <is>
          <t>1c951e11-4940-43c6-a447-394097e5609a</t>
        </is>
      </c>
      <c r="D3388" t="n">
        <v>55.79735</v>
      </c>
      <c r="E3388" t="n">
        <v>37.79496</v>
      </c>
      <c r="F3388" t="inlineStr"/>
      <c r="G3388" t="inlineStr"/>
      <c r="H3388" t="inlineStr"/>
    </row>
    <row r="3389">
      <c r="A3389" t="inlineStr">
        <is>
          <t>83135ca8-94cf-4f33-9e64-b89e69f5e8ac.jpg</t>
        </is>
      </c>
      <c r="B3389">
        <f>HYPERLINK("Объекты недвижимости, не соответствующие градостроительным нормам_00-022_Август/83135ca8-94cf-4f33-9e64-b89e69f5e8ac.jpg","open")</f>
        <v/>
      </c>
      <c r="C3389" t="inlineStr">
        <is>
          <t>1c951e11-4940-43c6-a447-394097e5609a</t>
        </is>
      </c>
      <c r="D3389" t="n">
        <v>55.79736</v>
      </c>
      <c r="E3389" t="n">
        <v>37.79477</v>
      </c>
      <c r="F3389" t="inlineStr"/>
      <c r="G3389" t="inlineStr"/>
      <c r="H3389" t="inlineStr"/>
    </row>
    <row r="3390">
      <c r="A3390" t="inlineStr">
        <is>
          <t>5d2e15f0-0e71-4a11-a41c-cf2ce101caaf.jpg</t>
        </is>
      </c>
      <c r="B3390">
        <f>HYPERLINK("Объекты недвижимости, не соответствующие градостроительным нормам_00-022_Август/5d2e15f0-0e71-4a11-a41c-cf2ce101caaf.jpg","open")</f>
        <v/>
      </c>
      <c r="C3390" t="inlineStr">
        <is>
          <t>8cde1fd0-eca1-4510-86ab-3c743b65fdfc</t>
        </is>
      </c>
      <c r="D3390" t="n">
        <v>55.79779</v>
      </c>
      <c r="E3390" t="n">
        <v>37.79461</v>
      </c>
      <c r="F3390" t="inlineStr"/>
      <c r="G3390" t="inlineStr"/>
      <c r="H3390" t="inlineStr"/>
    </row>
    <row r="3391">
      <c r="A3391" t="inlineStr">
        <is>
          <t>10f6f34b-54d2-48d0-ad51-5273c64bbc83.jpg</t>
        </is>
      </c>
      <c r="B3391">
        <f>HYPERLINK("Объекты недвижимости, не соответствующие градостроительным нормам_00-022_Август/10f6f34b-54d2-48d0-ad51-5273c64bbc83.jpg","open")</f>
        <v/>
      </c>
      <c r="C3391" t="inlineStr">
        <is>
          <t>ad64e6b9-1ed5-44d7-a101-4945a1f9dec6</t>
        </is>
      </c>
      <c r="D3391" t="n">
        <v>55.63457</v>
      </c>
      <c r="E3391" t="n">
        <v>37.52636</v>
      </c>
      <c r="F3391" t="inlineStr"/>
      <c r="G3391" t="inlineStr"/>
      <c r="H3391" t="inlineStr"/>
    </row>
    <row r="3392">
      <c r="A3392" t="inlineStr">
        <is>
          <t>37214258-c96e-496f-8897-58100a5abc66.jpg</t>
        </is>
      </c>
      <c r="B3392">
        <f>HYPERLINK("Объекты недвижимости, не соответствующие градостроительным нормам_00-022_Август/37214258-c96e-496f-8897-58100a5abc66.jpg","open")</f>
        <v/>
      </c>
      <c r="C3392" t="inlineStr">
        <is>
          <t>cbf95b01-f708-45a3-9ec0-3603469b538e</t>
        </is>
      </c>
      <c r="D3392" t="n">
        <v>55.74004</v>
      </c>
      <c r="E3392" t="n">
        <v>37.65497</v>
      </c>
      <c r="F3392" t="inlineStr"/>
      <c r="G3392" t="inlineStr"/>
      <c r="H3392" t="inlineStr"/>
    </row>
    <row r="3393">
      <c r="A3393" t="inlineStr">
        <is>
          <t>5c82a67d-e443-445a-aef7-6e4a284c4472.jpg</t>
        </is>
      </c>
      <c r="B3393">
        <f>HYPERLINK("Объекты недвижимости, не соответствующие градостроительным нормам_00-022_Август/5c82a67d-e443-445a-aef7-6e4a284c4472.jpg","open")</f>
        <v/>
      </c>
      <c r="C3393" t="inlineStr">
        <is>
          <t>cbf95b01-f708-45a3-9ec0-3603469b538e</t>
        </is>
      </c>
      <c r="D3393" t="n">
        <v>55.74004</v>
      </c>
      <c r="E3393" t="n">
        <v>37.65497</v>
      </c>
      <c r="F3393" t="inlineStr"/>
      <c r="G3393" t="inlineStr"/>
      <c r="H3393" t="inlineStr"/>
    </row>
    <row r="3394">
      <c r="A3394" t="inlineStr">
        <is>
          <t>539a9862-1bb2-47df-8558-0eec89776aab.jpg</t>
        </is>
      </c>
      <c r="B3394">
        <f>HYPERLINK("Объекты недвижимости, не соответствующие градостроительным нормам_00-022_Август/539a9862-1bb2-47df-8558-0eec89776aab.jpg","open")</f>
        <v/>
      </c>
      <c r="C3394" t="inlineStr">
        <is>
          <t>a1a9db89-3f74-42ef-8fad-ad69705102cd</t>
        </is>
      </c>
      <c r="D3394" t="n">
        <v>55.7542</v>
      </c>
      <c r="E3394" t="n">
        <v>37.66246</v>
      </c>
      <c r="F3394" t="inlineStr"/>
      <c r="G3394" t="inlineStr"/>
      <c r="H3394" t="inlineStr"/>
    </row>
    <row r="3395">
      <c r="A3395" t="inlineStr">
        <is>
          <t>f4aa500c-ba9e-42b3-a8af-d81196715bc0.jpg</t>
        </is>
      </c>
      <c r="B3395">
        <f>HYPERLINK("Объекты недвижимости, не соответствующие градостроительным нормам_00-022_Август/f4aa500c-ba9e-42b3-a8af-d81196715bc0.jpg","open")</f>
        <v/>
      </c>
      <c r="C3395" t="inlineStr">
        <is>
          <t>1231bbc5-e64c-4dc7-9acc-77710f47607a</t>
        </is>
      </c>
      <c r="D3395" t="n">
        <v>55.65167</v>
      </c>
      <c r="E3395" t="n">
        <v>37.57325</v>
      </c>
      <c r="F3395" t="inlineStr"/>
      <c r="G3395" t="inlineStr"/>
      <c r="H3395" t="inlineStr"/>
    </row>
    <row r="3396">
      <c r="A3396" t="inlineStr">
        <is>
          <t>a2a5d009-c1d0-48de-9458-6bc06c72c38e.jpg</t>
        </is>
      </c>
      <c r="B3396">
        <f>HYPERLINK("Объекты недвижимости, не соответствующие градостроительным нормам_00-022_Август/a2a5d009-c1d0-48de-9458-6bc06c72c38e.jpg","open")</f>
        <v/>
      </c>
      <c r="C3396" t="inlineStr">
        <is>
          <t>1231bbc5-e64c-4dc7-9acc-77710f47607a</t>
        </is>
      </c>
      <c r="D3396" t="n">
        <v>55.65183</v>
      </c>
      <c r="E3396" t="n">
        <v>37.57258</v>
      </c>
      <c r="F3396" t="inlineStr"/>
      <c r="G3396" t="inlineStr"/>
      <c r="H3396" t="inlineStr"/>
    </row>
    <row r="3397">
      <c r="A3397" t="inlineStr">
        <is>
          <t>9ebf1ffc-ffca-47bc-8ed1-456ded0b12c7.jpg</t>
        </is>
      </c>
      <c r="B3397">
        <f>HYPERLINK("Объекты недвижимости, не соответствующие градостроительным нормам_00-022_Август/9ebf1ffc-ffca-47bc-8ed1-456ded0b12c7.jpg","open")</f>
        <v/>
      </c>
      <c r="C3397" t="inlineStr">
        <is>
          <t>685d9054-b74f-49ab-857b-109fd2cec80d</t>
        </is>
      </c>
      <c r="D3397" t="n">
        <v>55.6519</v>
      </c>
      <c r="E3397" t="n">
        <v>37.57248</v>
      </c>
      <c r="F3397" t="inlineStr"/>
      <c r="G3397" t="inlineStr"/>
      <c r="H3397" t="inlineStr"/>
    </row>
    <row r="3398">
      <c r="A3398" t="inlineStr">
        <is>
          <t>c7b83be1-05f8-471d-93c7-38a04160f1ae.jpg</t>
        </is>
      </c>
      <c r="B3398">
        <f>HYPERLINK("Объекты недвижимости, не соответствующие градостроительным нормам_00-022_Август/c7b83be1-05f8-471d-93c7-38a04160f1ae.jpg","open")</f>
        <v/>
      </c>
      <c r="C3398" t="inlineStr">
        <is>
          <t>cbf95b01-f708-45a3-9ec0-3603469b538e</t>
        </is>
      </c>
      <c r="D3398" t="n">
        <v>55.75312</v>
      </c>
      <c r="E3398" t="n">
        <v>37.64895</v>
      </c>
      <c r="F3398" t="inlineStr"/>
      <c r="G3398" t="inlineStr"/>
      <c r="H3398" t="inlineStr"/>
    </row>
    <row r="3399">
      <c r="A3399" t="inlineStr">
        <is>
          <t>666a2291-fe3e-43cd-806a-d755bf8d50e1.jpg</t>
        </is>
      </c>
      <c r="B3399">
        <f>HYPERLINK("Объекты недвижимости, не соответствующие градостроительным нормам_00-022_Август/666a2291-fe3e-43cd-806a-d755bf8d50e1.jpg","open")</f>
        <v/>
      </c>
      <c r="C3399" t="inlineStr">
        <is>
          <t>a1a9db89-3f74-42ef-8fad-ad69705102cd</t>
        </is>
      </c>
      <c r="D3399" t="n">
        <v>55.75312</v>
      </c>
      <c r="E3399" t="n">
        <v>37.64895</v>
      </c>
      <c r="F3399" t="inlineStr"/>
      <c r="G3399" t="inlineStr"/>
      <c r="H3399" t="inlineStr"/>
    </row>
    <row r="3400">
      <c r="A3400" t="inlineStr">
        <is>
          <t>96dc7318-0577-48d1-a821-82fa2fd05051.jpg</t>
        </is>
      </c>
      <c r="B3400">
        <f>HYPERLINK("Объекты недвижимости, не соответствующие градостроительным нормам_00-022_Август/96dc7318-0577-48d1-a821-82fa2fd05051.jpg","open")</f>
        <v/>
      </c>
      <c r="C3400" t="inlineStr">
        <is>
          <t>cbf95b01-f708-45a3-9ec0-3603469b538e</t>
        </is>
      </c>
      <c r="D3400" t="n">
        <v>55.75312</v>
      </c>
      <c r="E3400" t="n">
        <v>37.64895</v>
      </c>
      <c r="F3400" t="inlineStr"/>
      <c r="G3400" t="inlineStr"/>
      <c r="H3400" t="inlineStr"/>
    </row>
    <row r="3401">
      <c r="A3401" t="inlineStr">
        <is>
          <t>17ea57f0-2d4b-414d-9d09-d794a815fdc2.jpg</t>
        </is>
      </c>
      <c r="B3401">
        <f>HYPERLINK("Объекты недвижимости, не соответствующие градостроительным нормам_00-022_Август/17ea57f0-2d4b-414d-9d09-d794a815fdc2.jpg","open")</f>
        <v/>
      </c>
      <c r="C3401" t="inlineStr">
        <is>
          <t>cbf95b01-f708-45a3-9ec0-3603469b538e</t>
        </is>
      </c>
      <c r="D3401" t="n">
        <v>55.75312</v>
      </c>
      <c r="E3401" t="n">
        <v>37.64895</v>
      </c>
      <c r="F3401" t="inlineStr"/>
      <c r="G3401" t="inlineStr"/>
      <c r="H3401" t="inlineStr"/>
    </row>
    <row r="3402">
      <c r="A3402" t="inlineStr">
        <is>
          <t>d5961e06-0fe3-43fd-a2b0-7e63dce37c53.jpg</t>
        </is>
      </c>
      <c r="B3402">
        <f>HYPERLINK("Объекты недвижимости, не соответствующие градостроительным нормам_00-022_Август/d5961e06-0fe3-43fd-a2b0-7e63dce37c53.jpg","open")</f>
        <v/>
      </c>
      <c r="C3402" t="inlineStr">
        <is>
          <t>cbf95b01-f708-45a3-9ec0-3603469b538e</t>
        </is>
      </c>
      <c r="D3402" t="n">
        <v>55.75312</v>
      </c>
      <c r="E3402" t="n">
        <v>37.64895</v>
      </c>
      <c r="F3402" t="inlineStr"/>
      <c r="G3402" t="inlineStr"/>
      <c r="H3402" t="inlineStr"/>
    </row>
    <row r="3403">
      <c r="A3403" t="inlineStr">
        <is>
          <t>a8f0c30f-9058-4177-a1a3-2882b727c718.jpg</t>
        </is>
      </c>
      <c r="B3403">
        <f>HYPERLINK("Объекты недвижимости, не соответствующие градостроительным нормам_00-022_Август/a8f0c30f-9058-4177-a1a3-2882b727c718.jpg","open")</f>
        <v/>
      </c>
      <c r="C3403" t="inlineStr">
        <is>
          <t>cbf95b01-f708-45a3-9ec0-3603469b538e</t>
        </is>
      </c>
      <c r="D3403" t="n">
        <v>55.75312</v>
      </c>
      <c r="E3403" t="n">
        <v>37.64895</v>
      </c>
      <c r="F3403" t="inlineStr"/>
      <c r="G3403" t="inlineStr"/>
      <c r="H3403" t="inlineStr"/>
    </row>
    <row r="3404">
      <c r="A3404" t="inlineStr">
        <is>
          <t>b7111218-92d2-4aac-9727-5ef3d4e4b37f.jpg</t>
        </is>
      </c>
      <c r="B3404">
        <f>HYPERLINK("Объекты недвижимости, не соответствующие градостроительным нормам_00-022_Август/b7111218-92d2-4aac-9727-5ef3d4e4b37f.jpg","open")</f>
        <v/>
      </c>
      <c r="C3404" t="inlineStr">
        <is>
          <t>cbf95b01-f708-45a3-9ec0-3603469b538e</t>
        </is>
      </c>
      <c r="D3404" t="n">
        <v>55.75312</v>
      </c>
      <c r="E3404" t="n">
        <v>37.64895</v>
      </c>
      <c r="F3404" t="inlineStr"/>
      <c r="G3404" t="inlineStr"/>
      <c r="H3404" t="inlineStr"/>
    </row>
    <row r="3405">
      <c r="A3405" t="inlineStr">
        <is>
          <t>cca1a45a-b3ff-41c6-8bc7-ab59d774c0e3.jpg</t>
        </is>
      </c>
      <c r="B3405">
        <f>HYPERLINK("Объекты недвижимости, не соответствующие градостроительным нормам_00-022_Август/cca1a45a-b3ff-41c6-8bc7-ab59d774c0e3.jpg","open")</f>
        <v/>
      </c>
      <c r="C3405" t="inlineStr">
        <is>
          <t>cbf95b01-f708-45a3-9ec0-3603469b538e</t>
        </is>
      </c>
      <c r="D3405" t="n">
        <v>55.75312</v>
      </c>
      <c r="E3405" t="n">
        <v>37.64895</v>
      </c>
      <c r="F3405" t="inlineStr"/>
      <c r="G3405" t="inlineStr"/>
      <c r="H3405" t="inlineStr"/>
    </row>
    <row r="3406">
      <c r="A3406" t="inlineStr">
        <is>
          <t>85c99cca-468a-4540-8188-fb2dc0b0c508.jpg</t>
        </is>
      </c>
      <c r="B3406">
        <f>HYPERLINK("Объекты недвижимости, не соответствующие градостроительным нормам_00-022_Август/85c99cca-468a-4540-8188-fb2dc0b0c508.jpg","open")</f>
        <v/>
      </c>
      <c r="C3406" t="inlineStr">
        <is>
          <t>cbf95b01-f708-45a3-9ec0-3603469b538e</t>
        </is>
      </c>
      <c r="D3406" t="n">
        <v>55.75312</v>
      </c>
      <c r="E3406" t="n">
        <v>37.64895</v>
      </c>
      <c r="F3406" t="inlineStr"/>
      <c r="G3406" t="inlineStr"/>
      <c r="H3406" t="inlineStr"/>
    </row>
    <row r="3407">
      <c r="A3407" t="inlineStr">
        <is>
          <t>cb5aecee-ccfc-4a13-bf94-dd900446a319.jpg</t>
        </is>
      </c>
      <c r="B3407">
        <f>HYPERLINK("Объекты недвижимости, не соответствующие градостроительным нормам_00-022_Август/cb5aecee-ccfc-4a13-bf94-dd900446a319.jpg","open")</f>
        <v/>
      </c>
      <c r="C3407" t="inlineStr">
        <is>
          <t>cbf95b01-f708-45a3-9ec0-3603469b538e</t>
        </is>
      </c>
      <c r="D3407" t="n">
        <v>55.75312</v>
      </c>
      <c r="E3407" t="n">
        <v>37.64895</v>
      </c>
      <c r="F3407" t="inlineStr"/>
      <c r="G3407" t="inlineStr"/>
      <c r="H3407" t="inlineStr"/>
    </row>
    <row r="3408">
      <c r="A3408" t="inlineStr">
        <is>
          <t>7c04db4c-9b11-4b4d-9d11-d8a76288da08.jpg</t>
        </is>
      </c>
      <c r="B3408">
        <f>HYPERLINK("Объекты недвижимости, не соответствующие градостроительным нормам_00-022_Август/7c04db4c-9b11-4b4d-9d11-d8a76288da08.jpg","open")</f>
        <v/>
      </c>
      <c r="C3408" t="inlineStr">
        <is>
          <t>cbf95b01-f708-45a3-9ec0-3603469b538e</t>
        </is>
      </c>
      <c r="D3408" t="n">
        <v>55.75312</v>
      </c>
      <c r="E3408" t="n">
        <v>37.64895</v>
      </c>
      <c r="F3408" t="inlineStr"/>
      <c r="G3408" t="inlineStr"/>
      <c r="H3408" t="inlineStr"/>
    </row>
    <row r="3409">
      <c r="A3409" t="inlineStr">
        <is>
          <t>f11c129b-9a60-4ab4-8ccf-b33d0268cbf9.jpg</t>
        </is>
      </c>
      <c r="B3409">
        <f>HYPERLINK("Объекты недвижимости, не соответствующие градостроительным нормам_00-022_Август/f11c129b-9a60-4ab4-8ccf-b33d0268cbf9.jpg","open")</f>
        <v/>
      </c>
      <c r="C3409" t="inlineStr">
        <is>
          <t>685d9054-b74f-49ab-857b-109fd2cec80d</t>
        </is>
      </c>
      <c r="D3409" t="n">
        <v>55.65263</v>
      </c>
      <c r="E3409" t="n">
        <v>37.57197</v>
      </c>
      <c r="F3409" t="inlineStr"/>
      <c r="G3409" t="inlineStr"/>
      <c r="H3409" t="inlineStr"/>
    </row>
    <row r="3410">
      <c r="A3410" t="inlineStr">
        <is>
          <t>ff966312-a3ca-45a4-be38-7dad781a6de4.jpg</t>
        </is>
      </c>
      <c r="B3410">
        <f>HYPERLINK("Объекты недвижимости, не соответствующие градостроительным нормам_00-022_Август/ff966312-a3ca-45a4-be38-7dad781a6de4.jpg","open")</f>
        <v/>
      </c>
      <c r="C3410" t="inlineStr">
        <is>
          <t>cbf95b01-f708-45a3-9ec0-3603469b538e</t>
        </is>
      </c>
      <c r="D3410" t="n">
        <v>55.75312</v>
      </c>
      <c r="E3410" t="n">
        <v>37.64895</v>
      </c>
      <c r="F3410" t="inlineStr"/>
      <c r="G3410" t="inlineStr"/>
      <c r="H3410" t="inlineStr"/>
    </row>
    <row r="3411">
      <c r="A3411" t="inlineStr">
        <is>
          <t>9c102077-a4a3-497a-8311-a15adde75130.jpg</t>
        </is>
      </c>
      <c r="B3411">
        <f>HYPERLINK("Объекты недвижимости, не соответствующие градостроительным нормам_00-022_Август/9c102077-a4a3-497a-8311-a15adde75130.jpg","open")</f>
        <v/>
      </c>
      <c r="C3411" t="inlineStr">
        <is>
          <t>1231bbc5-e64c-4dc7-9acc-77710f47607a</t>
        </is>
      </c>
      <c r="D3411" t="n">
        <v>55.65285</v>
      </c>
      <c r="E3411" t="n">
        <v>37.57199</v>
      </c>
      <c r="F3411" t="inlineStr"/>
      <c r="G3411" t="inlineStr"/>
      <c r="H3411" t="inlineStr"/>
    </row>
    <row r="3412">
      <c r="A3412" t="inlineStr">
        <is>
          <t>06cc79c3-617e-4012-b96f-669b3ea35630.jpg</t>
        </is>
      </c>
      <c r="B3412">
        <f>HYPERLINK("Объекты недвижимости, не соответствующие градостроительным нормам_00-022_Август/06cc79c3-617e-4012-b96f-669b3ea35630.jpg","open")</f>
        <v/>
      </c>
      <c r="C3412" t="inlineStr">
        <is>
          <t>a1a9db89-3f74-42ef-8fad-ad69705102cd</t>
        </is>
      </c>
      <c r="D3412" t="n">
        <v>55.7626</v>
      </c>
      <c r="E3412" t="n">
        <v>37.67943</v>
      </c>
      <c r="F3412" t="inlineStr"/>
      <c r="G3412" t="inlineStr"/>
      <c r="H3412" t="inlineStr"/>
    </row>
    <row r="3413">
      <c r="A3413" t="inlineStr">
        <is>
          <t>909077f9-58ec-4e38-9159-77ae777f4349.jpg</t>
        </is>
      </c>
      <c r="B3413">
        <f>HYPERLINK("Объекты недвижимости, не соответствующие градостроительным нормам_00-022_Август/909077f9-58ec-4e38-9159-77ae777f4349.jpg","open")</f>
        <v/>
      </c>
      <c r="C3413" t="inlineStr">
        <is>
          <t>685d9054-b74f-49ab-857b-109fd2cec80d</t>
        </is>
      </c>
      <c r="D3413" t="n">
        <v>55.6528</v>
      </c>
      <c r="E3413" t="n">
        <v>37.57193</v>
      </c>
      <c r="F3413" t="inlineStr"/>
      <c r="G3413" t="inlineStr"/>
      <c r="H3413" t="inlineStr"/>
    </row>
    <row r="3414">
      <c r="A3414" t="inlineStr">
        <is>
          <t>4914eeb0-4844-4a0b-9e01-7ab16d3a5669.jpg</t>
        </is>
      </c>
      <c r="B3414">
        <f>HYPERLINK("Объекты недвижимости, не соответствующие градостроительным нормам_00-022_Август/4914eeb0-4844-4a0b-9e01-7ab16d3a5669.jpg","open")</f>
        <v/>
      </c>
      <c r="C3414" t="inlineStr">
        <is>
          <t>a1a9db89-3f74-42ef-8fad-ad69705102cd</t>
        </is>
      </c>
      <c r="D3414" t="n">
        <v>55.7626</v>
      </c>
      <c r="E3414" t="n">
        <v>37.67943</v>
      </c>
      <c r="F3414" t="inlineStr"/>
      <c r="G3414" t="inlineStr"/>
      <c r="H3414" t="inlineStr"/>
    </row>
    <row r="3415">
      <c r="A3415" t="inlineStr">
        <is>
          <t>eac0aabd-046b-4b63-b876-ae07f348d7ca.jpg</t>
        </is>
      </c>
      <c r="B3415">
        <f>HYPERLINK("Объекты недвижимости, не соответствующие градостроительным нормам_00-022_Август/eac0aabd-046b-4b63-b876-ae07f348d7ca.jpg","open")</f>
        <v/>
      </c>
      <c r="C3415" t="inlineStr">
        <is>
          <t>a1a9db89-3f74-42ef-8fad-ad69705102cd</t>
        </is>
      </c>
      <c r="D3415" t="n">
        <v>55.7626</v>
      </c>
      <c r="E3415" t="n">
        <v>37.67943</v>
      </c>
      <c r="F3415" t="inlineStr"/>
      <c r="G3415" t="inlineStr"/>
      <c r="H3415" t="inlineStr"/>
    </row>
    <row r="3416">
      <c r="A3416" t="inlineStr">
        <is>
          <t>969e4442-905b-48cb-9f66-b7d1423b59b4.jpg</t>
        </is>
      </c>
      <c r="B3416">
        <f>HYPERLINK("Объекты недвижимости, не соответствующие градостроительным нормам_00-022_Август/969e4442-905b-48cb-9f66-b7d1423b59b4.jpg","open")</f>
        <v/>
      </c>
      <c r="C3416" t="inlineStr">
        <is>
          <t>cbf95b01-f708-45a3-9ec0-3603469b538e</t>
        </is>
      </c>
      <c r="D3416" t="n">
        <v>55.7626</v>
      </c>
      <c r="E3416" t="n">
        <v>37.67943</v>
      </c>
      <c r="F3416" t="inlineStr"/>
      <c r="G3416" t="inlineStr"/>
      <c r="H3416" t="inlineStr"/>
    </row>
    <row r="3417">
      <c r="A3417" t="inlineStr">
        <is>
          <t>360842c0-c98c-4c63-b414-af6559e2f1d1.jpg</t>
        </is>
      </c>
      <c r="B3417">
        <f>HYPERLINK("Объекты недвижимости, не соответствующие градостроительным нормам_00-022_Август/360842c0-c98c-4c63-b414-af6559e2f1d1.jpg","open")</f>
        <v/>
      </c>
      <c r="C3417" t="inlineStr">
        <is>
          <t>a1a9db89-3f74-42ef-8fad-ad69705102cd</t>
        </is>
      </c>
      <c r="D3417" t="n">
        <v>55.7626</v>
      </c>
      <c r="E3417" t="n">
        <v>37.67943</v>
      </c>
      <c r="F3417" t="inlineStr"/>
      <c r="G3417" t="inlineStr"/>
      <c r="H3417" t="inlineStr"/>
    </row>
    <row r="3418">
      <c r="A3418" t="inlineStr">
        <is>
          <t>cdbb0d0a-b401-42be-9f03-b2bd77be9dd7.jpg</t>
        </is>
      </c>
      <c r="B3418">
        <f>HYPERLINK("Объекты недвижимости, не соответствующие градостроительным нормам_00-022_Август/cdbb0d0a-b401-42be-9f03-b2bd77be9dd7.jpg","open")</f>
        <v/>
      </c>
      <c r="C3418" t="inlineStr">
        <is>
          <t>cbf95b01-f708-45a3-9ec0-3603469b538e</t>
        </is>
      </c>
      <c r="D3418" t="n">
        <v>55.7626</v>
      </c>
      <c r="E3418" t="n">
        <v>37.67943</v>
      </c>
      <c r="F3418" t="inlineStr"/>
      <c r="G3418" t="inlineStr"/>
      <c r="H3418" t="inlineStr"/>
    </row>
    <row r="3419">
      <c r="A3419" t="inlineStr">
        <is>
          <t>c12d994a-1bc7-4142-b391-e3ffbedcf654.jpg</t>
        </is>
      </c>
      <c r="B3419">
        <f>HYPERLINK("Объекты недвижимости, не соответствующие градостроительным нормам_00-022_Август/c12d994a-1bc7-4142-b391-e3ffbedcf654.jpg","open")</f>
        <v/>
      </c>
      <c r="C3419" t="inlineStr">
        <is>
          <t>685d9054-b74f-49ab-857b-109fd2cec80d</t>
        </is>
      </c>
      <c r="D3419" t="n">
        <v>55.65057</v>
      </c>
      <c r="E3419" t="n">
        <v>37.57598</v>
      </c>
      <c r="F3419" t="inlineStr"/>
      <c r="G3419" t="inlineStr"/>
      <c r="H3419" t="inlineStr"/>
    </row>
    <row r="3420">
      <c r="A3420" t="inlineStr">
        <is>
          <t>56773f0a-15f4-48ea-8283-62c637980fdc.jpg</t>
        </is>
      </c>
      <c r="B3420">
        <f>HYPERLINK("Объекты недвижимости, не соответствующие градостроительным нормам_00-022_Август/56773f0a-15f4-48ea-8283-62c637980fdc.jpg","open")</f>
        <v/>
      </c>
      <c r="C3420" t="inlineStr">
        <is>
          <t>685d9054-b74f-49ab-857b-109fd2cec80d</t>
        </is>
      </c>
      <c r="D3420" t="n">
        <v>55.65086</v>
      </c>
      <c r="E3420" t="n">
        <v>37.57629</v>
      </c>
      <c r="F3420" t="inlineStr"/>
      <c r="G3420" t="inlineStr"/>
      <c r="H3420" t="inlineStr"/>
    </row>
    <row r="3421">
      <c r="A3421" t="inlineStr">
        <is>
          <t>377aaa02-6e12-4fa6-9ca9-edd77926fbad.jpg</t>
        </is>
      </c>
      <c r="B3421">
        <f>HYPERLINK("Объекты недвижимости, не соответствующие градостроительным нормам_00-022_Август/377aaa02-6e12-4fa6-9ca9-edd77926fbad.jpg","open")</f>
        <v/>
      </c>
      <c r="C3421" t="inlineStr">
        <is>
          <t>cbf95b01-f708-45a3-9ec0-3603469b538e</t>
        </is>
      </c>
      <c r="D3421" t="n">
        <v>55.7626</v>
      </c>
      <c r="E3421" t="n">
        <v>37.67943</v>
      </c>
      <c r="F3421" t="inlineStr"/>
      <c r="G3421" t="inlineStr"/>
      <c r="H3421" t="inlineStr"/>
    </row>
    <row r="3422">
      <c r="A3422" t="inlineStr">
        <is>
          <t>a781a2c5-3379-4e0c-a4d7-ae69f5e8ecdd.jpg</t>
        </is>
      </c>
      <c r="B3422">
        <f>HYPERLINK("Объекты недвижимости, не соответствующие градостроительным нормам_00-022_Август/a781a2c5-3379-4e0c-a4d7-ae69f5e8ecdd.jpg","open")</f>
        <v/>
      </c>
      <c r="C3422" t="inlineStr">
        <is>
          <t>685d9054-b74f-49ab-857b-109fd2cec80d</t>
        </is>
      </c>
      <c r="D3422" t="n">
        <v>55.65065</v>
      </c>
      <c r="E3422" t="n">
        <v>37.5761</v>
      </c>
      <c r="F3422" t="inlineStr"/>
      <c r="G3422" t="inlineStr"/>
      <c r="H3422" t="inlineStr"/>
    </row>
    <row r="3423">
      <c r="A3423" t="inlineStr">
        <is>
          <t>4eea4655-c359-4ee6-9b7a-8c73cb6b48d5.jpg</t>
        </is>
      </c>
      <c r="B3423">
        <f>HYPERLINK("Объекты недвижимости, не соответствующие градостроительным нормам_00-022_Август/4eea4655-c359-4ee6-9b7a-8c73cb6b48d5.jpg","open")</f>
        <v/>
      </c>
      <c r="C3423" t="inlineStr">
        <is>
          <t>685d9054-b74f-49ab-857b-109fd2cec80d</t>
        </is>
      </c>
      <c r="D3423" t="n">
        <v>55.65045</v>
      </c>
      <c r="E3423" t="n">
        <v>37.57583</v>
      </c>
      <c r="F3423" t="inlineStr"/>
      <c r="G3423" t="inlineStr"/>
      <c r="H3423" t="inlineStr"/>
    </row>
    <row r="3424">
      <c r="A3424" t="inlineStr">
        <is>
          <t>64c7403c-67e8-446e-a9ae-96a886fc6be3.jpg</t>
        </is>
      </c>
      <c r="B3424">
        <f>HYPERLINK("Объекты недвижимости, не соответствующие градостроительным нормам_00-022_Август/64c7403c-67e8-446e-a9ae-96a886fc6be3.jpg","open")</f>
        <v/>
      </c>
      <c r="C3424" t="inlineStr">
        <is>
          <t>31a713a9-b910-424b-b847-e0eaa2f70c70</t>
        </is>
      </c>
      <c r="D3424" t="n">
        <v>55.90606</v>
      </c>
      <c r="E3424" t="n">
        <v>37.54905</v>
      </c>
      <c r="F3424" t="inlineStr"/>
      <c r="G3424" t="inlineStr"/>
      <c r="H3424" t="inlineStr"/>
    </row>
    <row r="3425">
      <c r="A3425" t="inlineStr">
        <is>
          <t>66d19207-196b-4e9d-b32e-6734d2fc3664.jpg</t>
        </is>
      </c>
      <c r="B3425">
        <f>HYPERLINK("Объекты недвижимости, не соответствующие градостроительным нормам_00-022_Август/66d19207-196b-4e9d-b32e-6734d2fc3664.jpg","open")</f>
        <v/>
      </c>
      <c r="C3425" t="inlineStr">
        <is>
          <t>1c951e11-4940-43c6-a447-394097e5609a</t>
        </is>
      </c>
      <c r="D3425" t="n">
        <v>55.79318</v>
      </c>
      <c r="E3425" t="n">
        <v>37.7901</v>
      </c>
      <c r="F3425" t="inlineStr"/>
      <c r="G3425" t="inlineStr"/>
      <c r="H3425" t="inlineStr"/>
    </row>
    <row r="3426">
      <c r="A3426" t="inlineStr">
        <is>
          <t>666447af-42b1-460d-bb54-57ca1328d6ca.jpg</t>
        </is>
      </c>
      <c r="B3426">
        <f>HYPERLINK("Объекты недвижимости, не соответствующие градостроительным нормам_00-022_Август/666447af-42b1-460d-bb54-57ca1328d6ca.jpg","open")</f>
        <v/>
      </c>
      <c r="C3426" t="inlineStr">
        <is>
          <t>6e2567a0-1fb9-40d5-a0e7-0adb480d2965</t>
        </is>
      </c>
      <c r="D3426" t="n">
        <v>55.78252</v>
      </c>
      <c r="E3426" t="n">
        <v>37.67098</v>
      </c>
      <c r="F3426" t="inlineStr"/>
      <c r="G3426" t="inlineStr"/>
      <c r="H3426" t="inlineStr"/>
    </row>
    <row r="3427">
      <c r="A3427" t="inlineStr">
        <is>
          <t>ae3e82a1-59fa-43b8-a376-ea5612c34e3b.jpg</t>
        </is>
      </c>
      <c r="B3427">
        <f>HYPERLINK("Объекты недвижимости, не соответствующие градостроительным нормам_00-022_Август/ae3e82a1-59fa-43b8-a376-ea5612c34e3b.jpg","open")</f>
        <v/>
      </c>
      <c r="C3427" t="inlineStr">
        <is>
          <t>685d9054-b74f-49ab-857b-109fd2cec80d</t>
        </is>
      </c>
      <c r="D3427" t="n">
        <v>55.65053</v>
      </c>
      <c r="E3427" t="n">
        <v>37.57837</v>
      </c>
      <c r="F3427" t="inlineStr"/>
      <c r="G3427" t="inlineStr"/>
      <c r="H3427" t="inlineStr"/>
    </row>
    <row r="3428">
      <c r="A3428" t="inlineStr">
        <is>
          <t>faca7698-2522-493a-8796-72a79b10560c.jpg</t>
        </is>
      </c>
      <c r="B3428">
        <f>HYPERLINK("Объекты недвижимости, не соответствующие градостроительным нормам_00-022_Август/faca7698-2522-493a-8796-72a79b10560c.jpg","open")</f>
        <v/>
      </c>
      <c r="C3428" t="inlineStr">
        <is>
          <t>ad64e6b9-1ed5-44d7-a101-4945a1f9dec6</t>
        </is>
      </c>
      <c r="D3428" t="n">
        <v>55.63262</v>
      </c>
      <c r="E3428" t="n">
        <v>37.53756</v>
      </c>
      <c r="F3428" t="inlineStr"/>
      <c r="G3428" t="inlineStr"/>
      <c r="H3428" t="inlineStr"/>
    </row>
    <row r="3429">
      <c r="A3429" t="inlineStr">
        <is>
          <t>b3c90706-6081-4fd2-8e1e-03c325bec48c.jpg</t>
        </is>
      </c>
      <c r="B3429">
        <f>HYPERLINK("Объекты недвижимости, не соответствующие градостроительным нормам_00-022_Август/b3c90706-6081-4fd2-8e1e-03c325bec48c.jpg","open")</f>
        <v/>
      </c>
      <c r="C3429" t="inlineStr">
        <is>
          <t>1231bbc5-e64c-4dc7-9acc-77710f47607a</t>
        </is>
      </c>
      <c r="D3429" t="n">
        <v>55.65143</v>
      </c>
      <c r="E3429" t="n">
        <v>37.57922</v>
      </c>
      <c r="F3429" t="inlineStr"/>
      <c r="G3429" t="inlineStr"/>
      <c r="H3429" t="inlineStr"/>
    </row>
    <row r="3430">
      <c r="A3430" t="inlineStr">
        <is>
          <t>234d1f39-45b2-4f00-be3c-be0bc7675205.jpg</t>
        </is>
      </c>
      <c r="B3430">
        <f>HYPERLINK("Объекты недвижимости, не соответствующие градостроительным нормам_00-022_Август/234d1f39-45b2-4f00-be3c-be0bc7675205.jpg","open")</f>
        <v/>
      </c>
      <c r="C3430" t="inlineStr">
        <is>
          <t>685d9054-b74f-49ab-857b-109fd2cec80d</t>
        </is>
      </c>
      <c r="D3430" t="n">
        <v>55.65141</v>
      </c>
      <c r="E3430" t="n">
        <v>37.57945</v>
      </c>
      <c r="F3430" t="inlineStr"/>
      <c r="G3430" t="inlineStr"/>
      <c r="H3430" t="inlineStr"/>
    </row>
    <row r="3431">
      <c r="A3431" t="inlineStr">
        <is>
          <t>95dae23f-e4b8-4cd3-aace-9673f53db665.jpg</t>
        </is>
      </c>
      <c r="B3431">
        <f>HYPERLINK("Объекты недвижимости, не соответствующие градостроительным нормам_00-022_Август/95dae23f-e4b8-4cd3-aace-9673f53db665.jpg","open")</f>
        <v/>
      </c>
      <c r="C3431" t="inlineStr">
        <is>
          <t>99f3abba-c55b-49f0-9de5-9f88e9597cc0</t>
        </is>
      </c>
      <c r="D3431" t="n">
        <v>55.64087</v>
      </c>
      <c r="E3431" t="n">
        <v>37.65869</v>
      </c>
      <c r="F3431" t="inlineStr"/>
      <c r="G3431" t="inlineStr"/>
      <c r="H3431" t="inlineStr"/>
    </row>
    <row r="3432">
      <c r="A3432" t="inlineStr">
        <is>
          <t>f7534e75-2c81-4959-8c7d-9880ab3cef4b.jpg</t>
        </is>
      </c>
      <c r="B3432">
        <f>HYPERLINK("Объекты недвижимости, не соответствующие градостроительным нормам_00-022_Август/f7534e75-2c81-4959-8c7d-9880ab3cef4b.jpg","open")</f>
        <v/>
      </c>
      <c r="C3432" t="inlineStr">
        <is>
          <t>fb9a37cc-57a6-447c-98bb-0b299f09c809</t>
        </is>
      </c>
      <c r="D3432" t="n">
        <v>45.05057</v>
      </c>
      <c r="E3432" t="n">
        <v>33.97643</v>
      </c>
      <c r="F3432" t="inlineStr"/>
      <c r="G3432" t="inlineStr"/>
      <c r="H3432" t="inlineStr"/>
    </row>
    <row r="3433">
      <c r="A3433" t="inlineStr">
        <is>
          <t>24bcf67b-fa87-459b-99ac-c5858ce6379c.jpg</t>
        </is>
      </c>
      <c r="B3433">
        <f>HYPERLINK("Объекты недвижимости, не соответствующие градостроительным нормам_00-022_Август/24bcf67b-fa87-459b-99ac-c5858ce6379c.jpg","open")</f>
        <v/>
      </c>
      <c r="C3433" t="inlineStr">
        <is>
          <t>ffd931da-542f-43e9-979f-5552b17fe3dc</t>
        </is>
      </c>
      <c r="D3433" t="n">
        <v>55.74762</v>
      </c>
      <c r="E3433" t="n">
        <v>37.80273</v>
      </c>
      <c r="F3433" t="inlineStr"/>
      <c r="G3433" t="inlineStr"/>
      <c r="H3433" t="inlineStr"/>
    </row>
    <row r="3434">
      <c r="A3434" t="inlineStr">
        <is>
          <t>523552e7-a463-4ee7-81ab-cf82894f15f6.jpg</t>
        </is>
      </c>
      <c r="B3434">
        <f>HYPERLINK("Объекты недвижимости, не соответствующие градостроительным нормам_00-022_Август/523552e7-a463-4ee7-81ab-cf82894f15f6.jpg","open")</f>
        <v/>
      </c>
      <c r="C3434" t="inlineStr">
        <is>
          <t>dd48f742-b338-42e2-bbaf-b3a9701b437c</t>
        </is>
      </c>
      <c r="D3434" t="n">
        <v>55.84035</v>
      </c>
      <c r="E3434" t="n">
        <v>37.66314</v>
      </c>
      <c r="F3434" t="inlineStr"/>
      <c r="G3434" t="inlineStr"/>
      <c r="H3434" t="inlineStr"/>
    </row>
    <row r="3435">
      <c r="A3435" t="inlineStr">
        <is>
          <t>68a957cb-7bdc-4b71-9771-f5d8e7d65154.jpg</t>
        </is>
      </c>
      <c r="B3435">
        <f>HYPERLINK("Объекты недвижимости, не соответствующие градостроительным нормам_00-022_Август/68a957cb-7bdc-4b71-9771-f5d8e7d65154.jpg","open")</f>
        <v/>
      </c>
      <c r="C3435" t="inlineStr">
        <is>
          <t>dd48f742-b338-42e2-bbaf-b3a9701b437c</t>
        </is>
      </c>
      <c r="D3435" t="n">
        <v>55.84489</v>
      </c>
      <c r="E3435" t="n">
        <v>37.67013</v>
      </c>
      <c r="F3435" t="inlineStr"/>
      <c r="G3435" t="inlineStr"/>
      <c r="H3435" t="inlineStr"/>
    </row>
    <row r="3436">
      <c r="A3436" t="inlineStr">
        <is>
          <t>554bf8aa-111f-4021-b859-ac41d1c0f481.jpg</t>
        </is>
      </c>
      <c r="B3436">
        <f>HYPERLINK("Объекты недвижимости, не соответствующие градостроительным нормам_00-022_Август/554bf8aa-111f-4021-b859-ac41d1c0f481.jpg","open")</f>
        <v/>
      </c>
      <c r="C3436" t="inlineStr">
        <is>
          <t>9c930d0e-e445-452d-a046-325646b21ab7</t>
        </is>
      </c>
      <c r="D3436" t="n">
        <v>55.84552</v>
      </c>
      <c r="E3436" t="n">
        <v>37.67062</v>
      </c>
      <c r="F3436" t="inlineStr"/>
      <c r="G3436" t="inlineStr"/>
      <c r="H3436" t="inlineStr"/>
    </row>
    <row r="3437">
      <c r="A3437" t="inlineStr">
        <is>
          <t>796a1002-89b0-47e2-ad79-d969564da180.jpg</t>
        </is>
      </c>
      <c r="B3437">
        <f>HYPERLINK("Объекты недвижимости, не соответствующие градостроительным нормам_00-022_Август/796a1002-89b0-47e2-ad79-d969564da180.jpg","open")</f>
        <v/>
      </c>
      <c r="C3437" t="inlineStr">
        <is>
          <t>685d9054-b74f-49ab-857b-109fd2cec80d</t>
        </is>
      </c>
      <c r="D3437" t="n">
        <v>55.65366</v>
      </c>
      <c r="E3437" t="n">
        <v>37.57058</v>
      </c>
      <c r="F3437" t="inlineStr"/>
      <c r="G3437" t="inlineStr"/>
      <c r="H3437" t="inlineStr"/>
    </row>
    <row r="3438">
      <c r="A3438" t="inlineStr">
        <is>
          <t>76aedc5f-27d3-4831-a979-9e782d4ac401.jpg</t>
        </is>
      </c>
      <c r="B3438">
        <f>HYPERLINK("Объекты недвижимости, не соответствующие градостроительным нормам_00-022_Август/76aedc5f-27d3-4831-a979-9e782d4ac401.jpg","open")</f>
        <v/>
      </c>
      <c r="C3438" t="inlineStr">
        <is>
          <t>1231bbc5-e64c-4dc7-9acc-77710f47607a</t>
        </is>
      </c>
      <c r="D3438" t="n">
        <v>55.65366</v>
      </c>
      <c r="E3438" t="n">
        <v>37.57058</v>
      </c>
      <c r="F3438" t="inlineStr"/>
      <c r="G3438" t="inlineStr"/>
      <c r="H3438" t="inlineStr"/>
    </row>
    <row r="3439">
      <c r="A3439" t="inlineStr">
        <is>
          <t>270392cd-f35f-4fbd-b192-cddf9389ab57.jpg</t>
        </is>
      </c>
      <c r="B3439">
        <f>HYPERLINK("Объекты недвижимости, не соответствующие градостроительным нормам_00-022_Август/270392cd-f35f-4fbd-b192-cddf9389ab57.jpg","open")</f>
        <v/>
      </c>
      <c r="C3439" t="inlineStr">
        <is>
          <t>cb4060b2-34d3-44a4-9f60-115fb1e9278e</t>
        </is>
      </c>
      <c r="D3439" t="n">
        <v>55.75245</v>
      </c>
      <c r="E3439" t="n">
        <v>37.65648</v>
      </c>
      <c r="F3439" t="inlineStr"/>
      <c r="G3439" t="inlineStr"/>
      <c r="H3439" t="inlineStr"/>
    </row>
    <row r="3440">
      <c r="A3440" t="inlineStr">
        <is>
          <t>d8c01cc6-6776-4137-b1ba-d892124657d0.jpg</t>
        </is>
      </c>
      <c r="B3440">
        <f>HYPERLINK("Объекты недвижимости, не соответствующие градостроительным нормам_00-022_Август/d8c01cc6-6776-4137-b1ba-d892124657d0.jpg","open")</f>
        <v/>
      </c>
      <c r="C3440" t="inlineStr">
        <is>
          <t>6e2567a0-1fb9-40d5-a0e7-0adb480d2965</t>
        </is>
      </c>
      <c r="D3440" t="n">
        <v>55.75245</v>
      </c>
      <c r="E3440" t="n">
        <v>37.65648</v>
      </c>
      <c r="F3440" t="inlineStr"/>
      <c r="G3440" t="inlineStr"/>
      <c r="H3440" t="inlineStr"/>
    </row>
    <row r="3441">
      <c r="A3441" t="inlineStr">
        <is>
          <t>ffbb89e1-00d7-4529-ba39-6b20c5ff009f.jpg</t>
        </is>
      </c>
      <c r="B3441">
        <f>HYPERLINK("Объекты недвижимости, не соответствующие градостроительным нормам_00-022_Август/ffbb89e1-00d7-4529-ba39-6b20c5ff009f.jpg","open")</f>
        <v/>
      </c>
      <c r="C3441" t="inlineStr">
        <is>
          <t>2acfb2da-e3f6-464c-bd17-4b713522c142</t>
        </is>
      </c>
      <c r="D3441" t="n">
        <v>55.89124</v>
      </c>
      <c r="E3441" t="n">
        <v>37.6787</v>
      </c>
      <c r="F3441" t="inlineStr"/>
      <c r="G3441" t="inlineStr"/>
      <c r="H3441" t="inlineStr"/>
    </row>
    <row r="3442">
      <c r="A3442" t="inlineStr">
        <is>
          <t>ecd3168d-ce28-4754-85b1-a8f7e9a516a3.jpg</t>
        </is>
      </c>
      <c r="B3442">
        <f>HYPERLINK("Объекты недвижимости, не соответствующие градостроительным нормам_00-022_Август/ecd3168d-ce28-4754-85b1-a8f7e9a516a3.jpg","open")</f>
        <v/>
      </c>
      <c r="C3442" t="inlineStr">
        <is>
          <t>789f6c51-64ee-4078-b7bd-443af8b8b68a</t>
        </is>
      </c>
      <c r="D3442" t="n">
        <v>55.89127</v>
      </c>
      <c r="E3442" t="n">
        <v>37.6787</v>
      </c>
      <c r="F3442" t="inlineStr"/>
      <c r="G3442" t="inlineStr"/>
      <c r="H3442" t="inlineStr"/>
    </row>
    <row r="3443">
      <c r="A3443" t="inlineStr">
        <is>
          <t>db1eae24-7c67-402c-87ca-47c8dee75e6f.jpg</t>
        </is>
      </c>
      <c r="B3443">
        <f>HYPERLINK("Объекты недвижимости, не соответствующие градостроительным нормам_00-022_Август/db1eae24-7c67-402c-87ca-47c8dee75e6f.jpg","open")</f>
        <v/>
      </c>
      <c r="C3443" t="inlineStr">
        <is>
          <t>6e2567a0-1fb9-40d5-a0e7-0adb480d2965</t>
        </is>
      </c>
      <c r="D3443" t="n">
        <v>55.75245</v>
      </c>
      <c r="E3443" t="n">
        <v>37.65648</v>
      </c>
      <c r="F3443" t="inlineStr"/>
      <c r="G3443" t="inlineStr"/>
      <c r="H3443" t="inlineStr"/>
    </row>
    <row r="3444">
      <c r="A3444" t="inlineStr">
        <is>
          <t>1ddd429b-56e6-4f5b-96b7-34d30bfe5698.jpg</t>
        </is>
      </c>
      <c r="B3444">
        <f>HYPERLINK("Объекты недвижимости, не соответствующие градостроительным нормам_00-022_Август/1ddd429b-56e6-4f5b-96b7-34d30bfe5698.jpg","open")</f>
        <v/>
      </c>
      <c r="C3444" t="inlineStr">
        <is>
          <t>936502dd-24a4-4256-9fdf-0d8fb72af3ed</t>
        </is>
      </c>
      <c r="D3444" t="n">
        <v>55.61342</v>
      </c>
      <c r="E3444" t="n">
        <v>37.70895</v>
      </c>
      <c r="F3444" t="inlineStr"/>
      <c r="G3444" t="inlineStr"/>
      <c r="H3444" t="inlineStr"/>
    </row>
    <row r="3445">
      <c r="A3445" t="inlineStr">
        <is>
          <t>c67e29cd-3cc2-4e01-9296-8bf3571954a8.jpg</t>
        </is>
      </c>
      <c r="B3445">
        <f>HYPERLINK("Объекты недвижимости, не соответствующие градостроительным нормам_00-022_Август/c67e29cd-3cc2-4e01-9296-8bf3571954a8.jpg","open")</f>
        <v/>
      </c>
      <c r="C3445" t="inlineStr">
        <is>
          <t>1231bbc5-e64c-4dc7-9acc-77710f47607a</t>
        </is>
      </c>
      <c r="D3445" t="n">
        <v>55.65491</v>
      </c>
      <c r="E3445" t="n">
        <v>37.57119</v>
      </c>
      <c r="F3445" t="inlineStr"/>
      <c r="G3445" t="inlineStr"/>
      <c r="H3445" t="inlineStr"/>
    </row>
    <row r="3446">
      <c r="A3446" t="inlineStr">
        <is>
          <t>5754c7a3-8535-4135-99be-eb58c78f8899.jpg</t>
        </is>
      </c>
      <c r="B3446">
        <f>HYPERLINK("Объекты недвижимости, не соответствующие градостроительным нормам_00-022_Август/5754c7a3-8535-4135-99be-eb58c78f8899.jpg","open")</f>
        <v/>
      </c>
      <c r="C3446" t="inlineStr">
        <is>
          <t>a1a9db89-3f74-42ef-8fad-ad69705102cd</t>
        </is>
      </c>
      <c r="D3446" t="n">
        <v>55.7626</v>
      </c>
      <c r="E3446" t="n">
        <v>37.67943</v>
      </c>
      <c r="F3446" t="inlineStr"/>
      <c r="G3446" t="inlineStr"/>
      <c r="H3446" t="inlineStr"/>
    </row>
    <row r="3447">
      <c r="A3447" t="inlineStr">
        <is>
          <t>ae20b478-ec39-4cd7-ae19-9fa23b5588b6.jpg</t>
        </is>
      </c>
      <c r="B3447">
        <f>HYPERLINK("Объекты недвижимости, не соответствующие градостроительным нормам_00-022_Август/ae20b478-ec39-4cd7-ae19-9fa23b5588b6.jpg","open")</f>
        <v/>
      </c>
      <c r="C3447" t="inlineStr">
        <is>
          <t>cbf95b01-f708-45a3-9ec0-3603469b538e</t>
        </is>
      </c>
      <c r="D3447" t="n">
        <v>55.7626</v>
      </c>
      <c r="E3447" t="n">
        <v>37.67943</v>
      </c>
      <c r="F3447" t="inlineStr"/>
      <c r="G3447" t="inlineStr"/>
      <c r="H3447" t="inlineStr"/>
    </row>
    <row r="3448">
      <c r="A3448" t="inlineStr">
        <is>
          <t>28d0a755-1335-449a-9255-49e857545668.jpg</t>
        </is>
      </c>
      <c r="B3448">
        <f>HYPERLINK("Объекты недвижимости, не соответствующие градостроительным нормам_00-022_Август/28d0a755-1335-449a-9255-49e857545668.jpg","open")</f>
        <v/>
      </c>
      <c r="C3448" t="inlineStr">
        <is>
          <t>a1a9db89-3f74-42ef-8fad-ad69705102cd</t>
        </is>
      </c>
      <c r="D3448" t="n">
        <v>55.7626</v>
      </c>
      <c r="E3448" t="n">
        <v>37.67943</v>
      </c>
      <c r="F3448" t="inlineStr"/>
      <c r="G3448" t="inlineStr"/>
      <c r="H3448" t="inlineStr"/>
    </row>
    <row r="3449">
      <c r="A3449" t="inlineStr">
        <is>
          <t>94900547-2d72-425f-84ca-5873b8608d06.jpg</t>
        </is>
      </c>
      <c r="B3449">
        <f>HYPERLINK("Объекты недвижимости, не соответствующие градостроительным нормам_00-022_Август/94900547-2d72-425f-84ca-5873b8608d06.jpg","open")</f>
        <v/>
      </c>
      <c r="C3449" t="inlineStr">
        <is>
          <t>a1a9db89-3f74-42ef-8fad-ad69705102cd</t>
        </is>
      </c>
      <c r="D3449" t="n">
        <v>55.7626</v>
      </c>
      <c r="E3449" t="n">
        <v>37.67943</v>
      </c>
      <c r="F3449" t="inlineStr"/>
      <c r="G3449" t="inlineStr"/>
      <c r="H3449" t="inlineStr"/>
    </row>
    <row r="3450">
      <c r="A3450" t="inlineStr">
        <is>
          <t>a9a5d03f-52bb-443b-8af4-1d47b65e3493.jpg</t>
        </is>
      </c>
      <c r="B3450">
        <f>HYPERLINK("Объекты недвижимости, не соответствующие градостроительным нормам_00-022_Август/a9a5d03f-52bb-443b-8af4-1d47b65e3493.jpg","open")</f>
        <v/>
      </c>
      <c r="C3450" t="inlineStr">
        <is>
          <t>cbf95b01-f708-45a3-9ec0-3603469b538e</t>
        </is>
      </c>
      <c r="D3450" t="n">
        <v>55.7626</v>
      </c>
      <c r="E3450" t="n">
        <v>37.67943</v>
      </c>
      <c r="F3450" t="inlineStr"/>
      <c r="G3450" t="inlineStr"/>
      <c r="H3450" t="inlineStr"/>
    </row>
    <row r="3451">
      <c r="A3451" t="inlineStr">
        <is>
          <t>43d9320e-1b41-4737-b94f-11b0c13bc87e.jpg</t>
        </is>
      </c>
      <c r="B3451">
        <f>HYPERLINK("Объекты недвижимости, не соответствующие градостроительным нормам_00-022_Август/43d9320e-1b41-4737-b94f-11b0c13bc87e.jpg","open")</f>
        <v/>
      </c>
      <c r="C3451" t="inlineStr">
        <is>
          <t>cbf95b01-f708-45a3-9ec0-3603469b538e</t>
        </is>
      </c>
      <c r="D3451" t="n">
        <v>55.7626</v>
      </c>
      <c r="E3451" t="n">
        <v>37.67943</v>
      </c>
      <c r="F3451" t="inlineStr"/>
      <c r="G3451" t="inlineStr"/>
      <c r="H3451" t="inlineStr"/>
    </row>
    <row r="3452">
      <c r="A3452" t="inlineStr">
        <is>
          <t>c112aa2d-6799-4884-ae59-a831b33e7a78.jpg</t>
        </is>
      </c>
      <c r="B3452">
        <f>HYPERLINK("Объекты недвижимости, не соответствующие градостроительным нормам_00-022_Август/c112aa2d-6799-4884-ae59-a831b33e7a78.jpg","open")</f>
        <v/>
      </c>
      <c r="C3452" t="inlineStr">
        <is>
          <t>cbf95b01-f708-45a3-9ec0-3603469b538e</t>
        </is>
      </c>
      <c r="D3452" t="n">
        <v>55.7626</v>
      </c>
      <c r="E3452" t="n">
        <v>37.67943</v>
      </c>
      <c r="F3452" t="inlineStr"/>
      <c r="G3452" t="inlineStr"/>
      <c r="H3452" t="inlineStr"/>
    </row>
    <row r="3453">
      <c r="A3453" t="inlineStr">
        <is>
          <t>40984a07-25ad-4664-a6e8-9f5763ba9575.jpg</t>
        </is>
      </c>
      <c r="B3453">
        <f>HYPERLINK("Объекты недвижимости, не соответствующие градостроительным нормам_00-022_Август/40984a07-25ad-4664-a6e8-9f5763ba9575.jpg","open")</f>
        <v/>
      </c>
      <c r="C3453" t="inlineStr">
        <is>
          <t>cbf95b01-f708-45a3-9ec0-3603469b538e</t>
        </is>
      </c>
      <c r="D3453" t="n">
        <v>55.7626</v>
      </c>
      <c r="E3453" t="n">
        <v>37.67943</v>
      </c>
      <c r="F3453" t="inlineStr"/>
      <c r="G3453" t="inlineStr"/>
      <c r="H3453" t="inlineStr"/>
    </row>
    <row r="3454">
      <c r="A3454" t="inlineStr">
        <is>
          <t>d0ad0114-1dd3-4427-8157-a102dd02e9d8.jpg</t>
        </is>
      </c>
      <c r="B3454">
        <f>HYPERLINK("Объекты недвижимости, не соответствующие градостроительным нормам_00-022_Август/d0ad0114-1dd3-4427-8157-a102dd02e9d8.jpg","open")</f>
        <v/>
      </c>
      <c r="C3454" t="inlineStr">
        <is>
          <t>685d9054-b74f-49ab-857b-109fd2cec80d</t>
        </is>
      </c>
      <c r="D3454" t="n">
        <v>55.65382</v>
      </c>
      <c r="E3454" t="n">
        <v>37.57458</v>
      </c>
      <c r="F3454" t="inlineStr"/>
      <c r="G3454" t="inlineStr"/>
      <c r="H3454" t="inlineStr"/>
    </row>
    <row r="3455">
      <c r="A3455" t="inlineStr">
        <is>
          <t>e78565d9-308f-49af-bad9-e42e41159980.jpg</t>
        </is>
      </c>
      <c r="B3455">
        <f>HYPERLINK("Объекты недвижимости, не соответствующие градостроительным нормам_00-022_Август/e78565d9-308f-49af-bad9-e42e41159980.jpg","open")</f>
        <v/>
      </c>
      <c r="C3455" t="inlineStr">
        <is>
          <t>cbf95b01-f708-45a3-9ec0-3603469b538e</t>
        </is>
      </c>
      <c r="D3455" t="n">
        <v>55.7626</v>
      </c>
      <c r="E3455" t="n">
        <v>37.67943</v>
      </c>
      <c r="F3455" t="inlineStr"/>
      <c r="G3455" t="inlineStr"/>
      <c r="H3455" t="inlineStr"/>
    </row>
    <row r="3456">
      <c r="A3456" t="inlineStr">
        <is>
          <t>ae0798cd-60af-4f58-b9f4-c00e17869eee.jpg</t>
        </is>
      </c>
      <c r="B3456">
        <f>HYPERLINK("Объекты недвижимости, не соответствующие градостроительным нормам_00-022_Август/ae0798cd-60af-4f58-b9f4-c00e17869eee.jpg","open")</f>
        <v/>
      </c>
      <c r="C3456" t="inlineStr">
        <is>
          <t>cbf95b01-f708-45a3-9ec0-3603469b538e</t>
        </is>
      </c>
      <c r="D3456" t="n">
        <v>55.7626</v>
      </c>
      <c r="E3456" t="n">
        <v>37.67943</v>
      </c>
      <c r="F3456" t="inlineStr"/>
      <c r="G3456" t="inlineStr"/>
      <c r="H3456" t="inlineStr"/>
    </row>
    <row r="3457">
      <c r="A3457" t="inlineStr">
        <is>
          <t>80f00ba9-19a4-4f97-a9d4-fd4d1527c541.jpg</t>
        </is>
      </c>
      <c r="B3457">
        <f>HYPERLINK("Объекты недвижимости, не соответствующие градостроительным нормам_00-022_Август/80f00ba9-19a4-4f97-a9d4-fd4d1527c541.jpg","open")</f>
        <v/>
      </c>
      <c r="C3457" t="inlineStr">
        <is>
          <t>cbf95b01-f708-45a3-9ec0-3603469b538e</t>
        </is>
      </c>
      <c r="D3457" t="n">
        <v>55.7626</v>
      </c>
      <c r="E3457" t="n">
        <v>37.67943</v>
      </c>
      <c r="F3457" t="inlineStr"/>
      <c r="G3457" t="inlineStr"/>
      <c r="H3457" t="inlineStr"/>
    </row>
    <row r="3458">
      <c r="A3458" t="inlineStr">
        <is>
          <t>5a30b7a3-1009-46b6-85fb-bdc7c928ab3b.jpg</t>
        </is>
      </c>
      <c r="B3458">
        <f>HYPERLINK("Объекты недвижимости, не соответствующие градостроительным нормам_00-022_Август/5a30b7a3-1009-46b6-85fb-bdc7c928ab3b.jpg","open")</f>
        <v/>
      </c>
      <c r="C3458" t="inlineStr">
        <is>
          <t>cbf95b01-f708-45a3-9ec0-3603469b538e</t>
        </is>
      </c>
      <c r="D3458" t="n">
        <v>55.7626</v>
      </c>
      <c r="E3458" t="n">
        <v>37.67943</v>
      </c>
      <c r="F3458" t="inlineStr"/>
      <c r="G3458" t="inlineStr"/>
      <c r="H3458" t="inlineStr"/>
    </row>
    <row r="3459">
      <c r="A3459" t="inlineStr">
        <is>
          <t>5b6863cb-b38e-4bf8-beec-bff2e4cb2d60.jpg</t>
        </is>
      </c>
      <c r="B3459">
        <f>HYPERLINK("Объекты недвижимости, не соответствующие градостроительным нормам_00-022_Август/5b6863cb-b38e-4bf8-beec-bff2e4cb2d60.jpg","open")</f>
        <v/>
      </c>
      <c r="C3459" t="inlineStr">
        <is>
          <t>b0b7ea82-53be-40d0-b992-e2fd18611d5c</t>
        </is>
      </c>
      <c r="D3459" t="n">
        <v>55.65585</v>
      </c>
      <c r="E3459" t="n">
        <v>37.76569</v>
      </c>
      <c r="F3459" t="inlineStr"/>
      <c r="G3459" t="inlineStr"/>
      <c r="H3459" t="inlineStr"/>
    </row>
    <row r="3460">
      <c r="A3460" t="inlineStr">
        <is>
          <t>d1c09a74-4507-4561-9622-6646567511e5.jpg</t>
        </is>
      </c>
      <c r="B3460">
        <f>HYPERLINK("Объекты недвижимости, не соответствующие градостроительным нормам_00-022_Август/d1c09a74-4507-4561-9622-6646567511e5.jpg","open")</f>
        <v/>
      </c>
      <c r="C3460" t="inlineStr">
        <is>
          <t>18a5c468-d9e6-4814-8477-1caf4a2e1fe9</t>
        </is>
      </c>
      <c r="D3460" t="n">
        <v>55.98158</v>
      </c>
      <c r="E3460" t="n">
        <v>37.40747</v>
      </c>
      <c r="F3460" t="inlineStr"/>
      <c r="G3460" t="inlineStr"/>
      <c r="H3460" t="inlineStr"/>
    </row>
    <row r="3461">
      <c r="A3461" t="inlineStr">
        <is>
          <t>9cf90aa0-12dd-4335-a34f-90990813c00f.jpg</t>
        </is>
      </c>
      <c r="B3461">
        <f>HYPERLINK("Объекты недвижимости, не соответствующие градостроительным нормам_00-022_Август/9cf90aa0-12dd-4335-a34f-90990813c00f.jpg","open")</f>
        <v/>
      </c>
      <c r="C3461" t="inlineStr">
        <is>
          <t>d2c4eccd-3e4b-406c-a903-0f5e43d0be35</t>
        </is>
      </c>
      <c r="D3461" t="n">
        <v>55.98158</v>
      </c>
      <c r="E3461" t="n">
        <v>37.40747</v>
      </c>
      <c r="F3461" t="inlineStr"/>
      <c r="G3461" t="inlineStr"/>
      <c r="H3461" t="inlineStr"/>
    </row>
    <row r="3462">
      <c r="A3462" t="inlineStr">
        <is>
          <t>59a89948-beb6-4769-bd43-720f7a153d37.jpg</t>
        </is>
      </c>
      <c r="B3462">
        <f>HYPERLINK("Объекты недвижимости, не соответствующие градостроительным нормам_00-022_Август/59a89948-beb6-4769-bd43-720f7a153d37.jpg","open")</f>
        <v/>
      </c>
      <c r="C3462" t="inlineStr">
        <is>
          <t>cbf95b01-f708-45a3-9ec0-3603469b538e</t>
        </is>
      </c>
      <c r="D3462" t="n">
        <v>55.7626</v>
      </c>
      <c r="E3462" t="n">
        <v>37.67943</v>
      </c>
      <c r="F3462" t="inlineStr"/>
      <c r="G3462" t="inlineStr"/>
      <c r="H3462" t="inlineStr"/>
    </row>
    <row r="3463">
      <c r="A3463" t="inlineStr">
        <is>
          <t>ff4d6758-c284-4cb2-8642-fe1a6a48eac6.jpg</t>
        </is>
      </c>
      <c r="B3463">
        <f>HYPERLINK("Объекты недвижимости, не соответствующие градостроительным нормам_00-022_Август/ff4d6758-c284-4cb2-8642-fe1a6a48eac6.jpg","open")</f>
        <v/>
      </c>
      <c r="C3463" t="inlineStr">
        <is>
          <t>e26f5fc2-1353-4f29-85f3-87c56419161c</t>
        </is>
      </c>
      <c r="D3463" t="n">
        <v>55.78638</v>
      </c>
      <c r="E3463" t="n">
        <v>37.66162</v>
      </c>
      <c r="F3463" t="inlineStr"/>
      <c r="G3463" t="inlineStr"/>
      <c r="H3463" t="inlineStr"/>
    </row>
    <row r="3464">
      <c r="A3464" t="inlineStr">
        <is>
          <t>6d6cd860-6a89-46c4-b242-567255abbc75.jpg</t>
        </is>
      </c>
      <c r="B3464">
        <f>HYPERLINK("Объекты недвижимости, не соответствующие градостроительным нормам_00-022_Август/6d6cd860-6a89-46c4-b242-567255abbc75.jpg","open")</f>
        <v/>
      </c>
      <c r="C3464" t="inlineStr">
        <is>
          <t>18a5c468-d9e6-4814-8477-1caf4a2e1fe9</t>
        </is>
      </c>
      <c r="D3464" t="n">
        <v>55.98158</v>
      </c>
      <c r="E3464" t="n">
        <v>37.40747</v>
      </c>
      <c r="F3464" t="inlineStr"/>
      <c r="G3464" t="inlineStr"/>
      <c r="H3464" t="inlineStr"/>
    </row>
    <row r="3465">
      <c r="A3465" t="inlineStr">
        <is>
          <t>58465ca8-10b2-4b1c-ba4c-7e486c17cb55.jpg</t>
        </is>
      </c>
      <c r="B3465">
        <f>HYPERLINK("Объекты недвижимости, не соответствующие градостроительным нормам_00-022_Август/58465ca8-10b2-4b1c-ba4c-7e486c17cb55.jpg","open")</f>
        <v/>
      </c>
      <c r="C3465" t="inlineStr">
        <is>
          <t>cbf95b01-f708-45a3-9ec0-3603469b538e</t>
        </is>
      </c>
      <c r="D3465" t="n">
        <v>55.7626</v>
      </c>
      <c r="E3465" t="n">
        <v>37.67943</v>
      </c>
      <c r="F3465" t="inlineStr"/>
      <c r="G3465" t="inlineStr"/>
      <c r="H3465" t="inlineStr"/>
    </row>
    <row r="3466">
      <c r="A3466" t="inlineStr">
        <is>
          <t>17eda981-aa75-4b4d-8e62-935077b922b8.jpg</t>
        </is>
      </c>
      <c r="B3466">
        <f>HYPERLINK("Объекты недвижимости, не соответствующие градостроительным нормам_00-022_Август/17eda981-aa75-4b4d-8e62-935077b922b8.jpg","open")</f>
        <v/>
      </c>
      <c r="C3466" t="inlineStr">
        <is>
          <t>18a5c468-d9e6-4814-8477-1caf4a2e1fe9</t>
        </is>
      </c>
      <c r="D3466" t="n">
        <v>55.98158</v>
      </c>
      <c r="E3466" t="n">
        <v>37.40747</v>
      </c>
      <c r="F3466" t="inlineStr"/>
      <c r="G3466" t="inlineStr"/>
      <c r="H3466" t="inlineStr"/>
    </row>
    <row r="3467">
      <c r="A3467" t="inlineStr">
        <is>
          <t>dec273fd-716b-4132-a8f5-26ebe00ca364.jpg</t>
        </is>
      </c>
      <c r="B3467">
        <f>HYPERLINK("Объекты недвижимости, не соответствующие градостроительным нормам_00-022_Август/dec273fd-716b-4132-a8f5-26ebe00ca364.jpg","open")</f>
        <v/>
      </c>
      <c r="C3467" t="inlineStr">
        <is>
          <t>18a5c468-d9e6-4814-8477-1caf4a2e1fe9</t>
        </is>
      </c>
      <c r="D3467" t="n">
        <v>55.98158</v>
      </c>
      <c r="E3467" t="n">
        <v>37.40747</v>
      </c>
      <c r="F3467" t="inlineStr"/>
      <c r="G3467" t="inlineStr"/>
      <c r="H3467" t="inlineStr"/>
    </row>
    <row r="3468">
      <c r="A3468" t="inlineStr">
        <is>
          <t>3d14539e-a32b-4a42-b7d1-835f020807c4.jpg</t>
        </is>
      </c>
      <c r="B3468">
        <f>HYPERLINK("Объекты недвижимости, не соответствующие градостроительным нормам_00-022_Август/3d14539e-a32b-4a42-b7d1-835f020807c4.jpg","open")</f>
        <v/>
      </c>
      <c r="C3468" t="inlineStr">
        <is>
          <t>a1a9db89-3f74-42ef-8fad-ad69705102cd</t>
        </is>
      </c>
      <c r="D3468" t="n">
        <v>55.7626</v>
      </c>
      <c r="E3468" t="n">
        <v>37.67943</v>
      </c>
      <c r="F3468" t="inlineStr"/>
      <c r="G3468" t="inlineStr"/>
      <c r="H3468" t="inlineStr"/>
    </row>
    <row r="3469">
      <c r="A3469" t="inlineStr">
        <is>
          <t>5947fbdf-e3c5-4bcc-8aed-bfcbf1c4d06a.jpg</t>
        </is>
      </c>
      <c r="B3469">
        <f>HYPERLINK("Объекты недвижимости, не соответствующие градостроительным нормам_00-022_Август/5947fbdf-e3c5-4bcc-8aed-bfcbf1c4d06a.jpg","open")</f>
        <v/>
      </c>
      <c r="C3469" t="inlineStr">
        <is>
          <t>cbf95b01-f708-45a3-9ec0-3603469b538e</t>
        </is>
      </c>
      <c r="D3469" t="n">
        <v>55.7626</v>
      </c>
      <c r="E3469" t="n">
        <v>37.67943</v>
      </c>
      <c r="F3469" t="inlineStr"/>
      <c r="G3469" t="inlineStr"/>
      <c r="H3469" t="inlineStr"/>
    </row>
    <row r="3470">
      <c r="A3470" t="inlineStr">
        <is>
          <t>b8ecab3a-c8a3-481f-8313-5a7a4834a32c.jpg</t>
        </is>
      </c>
      <c r="B3470">
        <f>HYPERLINK("Объекты недвижимости, не соответствующие градостроительным нормам_00-022_Август/b8ecab3a-c8a3-481f-8313-5a7a4834a32c.jpg","open")</f>
        <v/>
      </c>
      <c r="C3470" t="inlineStr">
        <is>
          <t>a1a9db89-3f74-42ef-8fad-ad69705102cd</t>
        </is>
      </c>
      <c r="D3470" t="n">
        <v>55.7626</v>
      </c>
      <c r="E3470" t="n">
        <v>37.67943</v>
      </c>
      <c r="F3470" t="inlineStr"/>
      <c r="G3470" t="inlineStr"/>
      <c r="H3470" t="inlineStr"/>
    </row>
    <row r="3471">
      <c r="A3471" t="inlineStr">
        <is>
          <t>4df053ab-22bf-4c60-9ec6-047c6c64502a.jpg</t>
        </is>
      </c>
      <c r="B3471">
        <f>HYPERLINK("Объекты недвижимости, не соответствующие градостроительным нормам_00-022_Август/4df053ab-22bf-4c60-9ec6-047c6c64502a.jpg","open")</f>
        <v/>
      </c>
      <c r="C3471" t="inlineStr">
        <is>
          <t>cbf95b01-f708-45a3-9ec0-3603469b538e</t>
        </is>
      </c>
      <c r="D3471" t="n">
        <v>55.7626</v>
      </c>
      <c r="E3471" t="n">
        <v>37.67943</v>
      </c>
      <c r="F3471" t="inlineStr"/>
      <c r="G3471" t="inlineStr"/>
      <c r="H3471" t="inlineStr"/>
    </row>
    <row r="3472">
      <c r="A3472" t="inlineStr">
        <is>
          <t>34f29e73-747c-44c4-9946-c7b9f022fb0d.jpg</t>
        </is>
      </c>
      <c r="B3472">
        <f>HYPERLINK("Объекты недвижимости, не соответствующие градостроительным нормам_00-022_Август/34f29e73-747c-44c4-9946-c7b9f022fb0d.jpg","open")</f>
        <v/>
      </c>
      <c r="C3472" t="inlineStr">
        <is>
          <t>e26f5fc2-1353-4f29-85f3-87c56419161c</t>
        </is>
      </c>
      <c r="D3472" t="n">
        <v>55.74924</v>
      </c>
      <c r="E3472" t="n">
        <v>37.66367</v>
      </c>
      <c r="F3472" t="inlineStr"/>
      <c r="G3472" t="inlineStr"/>
      <c r="H3472" t="inlineStr"/>
    </row>
    <row r="3473">
      <c r="A3473" t="inlineStr">
        <is>
          <t>047fe403-a2df-44d7-9366-790483e27280.jpg</t>
        </is>
      </c>
      <c r="B3473">
        <f>HYPERLINK("Объекты недвижимости, не соответствующие градостроительным нормам_00-022_Август/047fe403-a2df-44d7-9366-790483e27280.jpg","open")</f>
        <v/>
      </c>
      <c r="C3473" t="inlineStr">
        <is>
          <t>18a5c468-d9e6-4814-8477-1caf4a2e1fe9</t>
        </is>
      </c>
      <c r="D3473" t="n">
        <v>55.98158</v>
      </c>
      <c r="E3473" t="n">
        <v>37.40747</v>
      </c>
      <c r="F3473" t="inlineStr"/>
      <c r="G3473" t="inlineStr"/>
      <c r="H3473" t="inlineStr"/>
    </row>
    <row r="3474">
      <c r="A3474" t="inlineStr">
        <is>
          <t>1813f923-96c1-427e-ab39-e59c415b7c7f.jpg</t>
        </is>
      </c>
      <c r="B3474">
        <f>HYPERLINK("Объекты недвижимости, не соответствующие градостроительным нормам_00-022_Август/1813f923-96c1-427e-ab39-e59c415b7c7f.jpg","open")</f>
        <v/>
      </c>
      <c r="C3474" t="inlineStr">
        <is>
          <t>e26f5fc2-1353-4f29-85f3-87c56419161c</t>
        </is>
      </c>
      <c r="D3474" t="n">
        <v>55.74924</v>
      </c>
      <c r="E3474" t="n">
        <v>37.66367</v>
      </c>
      <c r="F3474" t="inlineStr"/>
      <c r="G3474" t="inlineStr"/>
      <c r="H3474" t="inlineStr"/>
    </row>
    <row r="3475">
      <c r="A3475" t="inlineStr">
        <is>
          <t>b2a64fa0-6018-48ac-a44d-19ad3a0e8a6a.jpg</t>
        </is>
      </c>
      <c r="B3475">
        <f>HYPERLINK("Объекты недвижимости, не соответствующие градостроительным нормам_00-022_Август/b2a64fa0-6018-48ac-a44d-19ad3a0e8a6a.jpg","open")</f>
        <v/>
      </c>
      <c r="C3475" t="inlineStr">
        <is>
          <t>e26f5fc2-1353-4f29-85f3-87c56419161c</t>
        </is>
      </c>
      <c r="D3475" t="n">
        <v>55.74924</v>
      </c>
      <c r="E3475" t="n">
        <v>37.66367</v>
      </c>
      <c r="F3475" t="inlineStr"/>
      <c r="G3475" t="inlineStr"/>
      <c r="H3475" t="inlineStr"/>
    </row>
    <row r="3476">
      <c r="A3476" t="inlineStr">
        <is>
          <t>42dc7736-26a8-4020-83a2-6a3672475213.jpg</t>
        </is>
      </c>
      <c r="B3476">
        <f>HYPERLINK("Объекты недвижимости, не соответствующие градостроительным нормам_00-022_Август/42dc7736-26a8-4020-83a2-6a3672475213.jpg","open")</f>
        <v/>
      </c>
      <c r="C3476" t="inlineStr">
        <is>
          <t>e26f5fc2-1353-4f29-85f3-87c56419161c</t>
        </is>
      </c>
      <c r="D3476" t="n">
        <v>55.74924</v>
      </c>
      <c r="E3476" t="n">
        <v>37.66367</v>
      </c>
      <c r="F3476" t="inlineStr"/>
      <c r="G3476" t="inlineStr"/>
      <c r="H3476" t="inlineStr"/>
    </row>
    <row r="3477">
      <c r="A3477" t="inlineStr">
        <is>
          <t>8eed29e9-3fb3-404c-accc-e4d7b750c497.jpg</t>
        </is>
      </c>
      <c r="B3477">
        <f>HYPERLINK("Объекты недвижимости, не соответствующие градостроительным нормам_00-022_Август/8eed29e9-3fb3-404c-accc-e4d7b750c497.jpg","open")</f>
        <v/>
      </c>
      <c r="C3477" t="inlineStr">
        <is>
          <t>685d9054-b74f-49ab-857b-109fd2cec80d</t>
        </is>
      </c>
      <c r="D3477" t="n">
        <v>55.65855</v>
      </c>
      <c r="E3477" t="n">
        <v>37.57547</v>
      </c>
      <c r="F3477" t="inlineStr"/>
      <c r="G3477" t="inlineStr"/>
      <c r="H3477" t="inlineStr"/>
    </row>
    <row r="3478">
      <c r="A3478" t="inlineStr">
        <is>
          <t>6bab7424-4aa2-4d20-84d6-4320050ce7f3.jpg</t>
        </is>
      </c>
      <c r="B3478">
        <f>HYPERLINK("Объекты недвижимости, не соответствующие градостроительным нормам_00-022_Август/6bab7424-4aa2-4d20-84d6-4320050ce7f3.jpg","open")</f>
        <v/>
      </c>
      <c r="C3478" t="inlineStr">
        <is>
          <t>8cde1fd0-eca1-4510-86ab-3c743b65fdfc</t>
        </is>
      </c>
      <c r="D3478" t="n">
        <v>55.79312</v>
      </c>
      <c r="E3478" t="n">
        <v>37.79146</v>
      </c>
      <c r="F3478" t="inlineStr"/>
      <c r="G3478" t="inlineStr"/>
      <c r="H3478" t="inlineStr"/>
    </row>
    <row r="3479">
      <c r="A3479" t="inlineStr">
        <is>
          <t>f45eb802-a2cc-4391-9aa4-152d942d4299.jpg</t>
        </is>
      </c>
      <c r="B3479">
        <f>HYPERLINK("Объекты недвижимости, не соответствующие градостроительным нормам_00-022_Август/f45eb802-a2cc-4391-9aa4-152d942d4299.jpg","open")</f>
        <v/>
      </c>
      <c r="C3479" t="inlineStr">
        <is>
          <t>685d9054-b74f-49ab-857b-109fd2cec80d</t>
        </is>
      </c>
      <c r="D3479" t="n">
        <v>55.65795</v>
      </c>
      <c r="E3479" t="n">
        <v>37.57821</v>
      </c>
      <c r="F3479" t="inlineStr"/>
      <c r="G3479" t="inlineStr"/>
      <c r="H3479" t="inlineStr"/>
    </row>
    <row r="3480">
      <c r="A3480" t="inlineStr">
        <is>
          <t>b1ff70d6-4361-438c-90ae-068f4e5f5dce.jpg</t>
        </is>
      </c>
      <c r="B3480">
        <f>HYPERLINK("Объекты недвижимости, не соответствующие градостроительным нормам_00-022_Август/b1ff70d6-4361-438c-90ae-068f4e5f5dce.jpg","open")</f>
        <v/>
      </c>
      <c r="C3480" t="inlineStr">
        <is>
          <t>789f6c51-64ee-4078-b7bd-443af8b8b68a</t>
        </is>
      </c>
      <c r="D3480" t="n">
        <v>55.8928</v>
      </c>
      <c r="E3480" t="n">
        <v>37.66833</v>
      </c>
      <c r="F3480" t="inlineStr"/>
      <c r="G3480" t="inlineStr"/>
      <c r="H3480" t="inlineStr"/>
    </row>
    <row r="3481">
      <c r="A3481" t="inlineStr">
        <is>
          <t>f1a8b999-82d8-49c0-bf10-1b9a3fae509d.jpg</t>
        </is>
      </c>
      <c r="B3481">
        <f>HYPERLINK("Объекты недвижимости, не соответствующие градостроительным нормам_00-022_Август/f1a8b999-82d8-49c0-bf10-1b9a3fae509d.jpg","open")</f>
        <v/>
      </c>
      <c r="C3481" t="inlineStr">
        <is>
          <t>31a713a9-b910-424b-b847-e0eaa2f70c70</t>
        </is>
      </c>
      <c r="D3481" t="n">
        <v>55.78167</v>
      </c>
      <c r="E3481" t="n">
        <v>37.66833</v>
      </c>
      <c r="F3481" t="inlineStr"/>
      <c r="G3481" t="inlineStr"/>
      <c r="H3481" t="inlineStr"/>
    </row>
    <row r="3482">
      <c r="A3482" t="inlineStr">
        <is>
          <t>265b5a48-6043-4777-be0f-c713e1676711.jpg</t>
        </is>
      </c>
      <c r="B3482">
        <f>HYPERLINK("Объекты недвижимости, не соответствующие градостроительным нормам_00-022_Август/265b5a48-6043-4777-be0f-c713e1676711.jpg","open")</f>
        <v/>
      </c>
      <c r="C3482" t="inlineStr">
        <is>
          <t>685d9054-b74f-49ab-857b-109fd2cec80d</t>
        </is>
      </c>
      <c r="D3482" t="n">
        <v>55.65748</v>
      </c>
      <c r="E3482" t="n">
        <v>37.57676</v>
      </c>
      <c r="F3482" t="inlineStr"/>
      <c r="G3482" t="inlineStr"/>
      <c r="H3482" t="inlineStr"/>
    </row>
    <row r="3483">
      <c r="A3483" t="inlineStr">
        <is>
          <t>75df4309-de21-4419-ad8d-639414553c55.jpg</t>
        </is>
      </c>
      <c r="B3483">
        <f>HYPERLINK("Объекты недвижимости, не соответствующие градостроительным нормам_00-022_Август/75df4309-de21-4419-ad8d-639414553c55.jpg","open")</f>
        <v/>
      </c>
      <c r="C3483" t="inlineStr">
        <is>
          <t>9fb3d110-951f-48da-9d90-cfd7e1b5800d</t>
        </is>
      </c>
      <c r="D3483" t="n">
        <v>55.70359</v>
      </c>
      <c r="E3483" t="n">
        <v>37.49559</v>
      </c>
      <c r="F3483" t="inlineStr"/>
      <c r="G3483" t="inlineStr"/>
      <c r="H3483" t="inlineStr"/>
    </row>
    <row r="3484">
      <c r="A3484" t="inlineStr">
        <is>
          <t>576d959e-3b84-40f9-8d30-01db131b3ae3.jpg</t>
        </is>
      </c>
      <c r="B3484">
        <f>HYPERLINK("Объекты недвижимости, не соответствующие градостроительным нормам_00-022_Август/576d959e-3b84-40f9-8d30-01db131b3ae3.jpg","open")</f>
        <v/>
      </c>
      <c r="C3484" t="inlineStr">
        <is>
          <t>b0429a31-0c70-4b9f-8ea5-73929d82f89e</t>
        </is>
      </c>
      <c r="D3484" t="n">
        <v>55.64381</v>
      </c>
      <c r="E3484" t="n">
        <v>37.65002</v>
      </c>
      <c r="F3484" t="inlineStr"/>
      <c r="G3484" t="inlineStr"/>
      <c r="H3484" t="inlineStr"/>
    </row>
    <row r="3485">
      <c r="A3485" t="inlineStr">
        <is>
          <t>3a48a99e-791d-4e20-af7e-095cd70f38a4.jpg</t>
        </is>
      </c>
      <c r="B3485">
        <f>HYPERLINK("Объекты недвижимости, не соответствующие градостроительным нормам_00-022_Август/3a48a99e-791d-4e20-af7e-095cd70f38a4.jpg","open")</f>
        <v/>
      </c>
      <c r="C3485" t="inlineStr">
        <is>
          <t>31a713a9-b910-424b-b847-e0eaa2f70c70</t>
        </is>
      </c>
      <c r="D3485" t="n">
        <v>55.77925</v>
      </c>
      <c r="E3485" t="n">
        <v>37.66959</v>
      </c>
      <c r="F3485" t="inlineStr"/>
      <c r="G3485" t="inlineStr"/>
      <c r="H3485" t="inlineStr"/>
    </row>
    <row r="3486">
      <c r="A3486" t="inlineStr">
        <is>
          <t>e289dbe8-ef82-44a2-9454-b6c08a486f77.jpg</t>
        </is>
      </c>
      <c r="B3486">
        <f>HYPERLINK("Объекты недвижимости, не соответствующие градостроительным нормам_00-022_Август/e289dbe8-ef82-44a2-9454-b6c08a486f77.jpg","open")</f>
        <v/>
      </c>
      <c r="C3486" t="inlineStr">
        <is>
          <t>750bf7e4-0f0f-4f1a-96af-607dc8c1f1c9</t>
        </is>
      </c>
      <c r="D3486" t="n">
        <v>55.77848</v>
      </c>
      <c r="E3486" t="n">
        <v>37.66803</v>
      </c>
      <c r="F3486" t="inlineStr"/>
      <c r="G3486" t="inlineStr"/>
      <c r="H3486" t="inlineStr"/>
    </row>
    <row r="3487">
      <c r="A3487" t="inlineStr">
        <is>
          <t>60cd83ab-e76a-48a7-967c-7f14da71e217.jpg</t>
        </is>
      </c>
      <c r="B3487">
        <f>HYPERLINK("Объекты недвижимости, не соответствующие градостроительным нормам_00-022_Август/60cd83ab-e76a-48a7-967c-7f14da71e217.jpg","open")</f>
        <v/>
      </c>
      <c r="C3487" t="inlineStr">
        <is>
          <t>1c951e11-4940-43c6-a447-394097e5609a</t>
        </is>
      </c>
      <c r="D3487" t="n">
        <v>55.79032</v>
      </c>
      <c r="E3487" t="n">
        <v>37.77183</v>
      </c>
      <c r="F3487" t="inlineStr"/>
      <c r="G3487" t="inlineStr"/>
      <c r="H3487" t="inlineStr"/>
    </row>
    <row r="3488">
      <c r="A3488" t="inlineStr">
        <is>
          <t>3da89ef1-36c7-4589-95a8-25044b006672.jpg</t>
        </is>
      </c>
      <c r="B3488">
        <f>HYPERLINK("Объекты недвижимости, не соответствующие градостроительным нормам_00-022_Август/3da89ef1-36c7-4589-95a8-25044b006672.jpg","open")</f>
        <v/>
      </c>
      <c r="C3488" t="inlineStr">
        <is>
          <t>685d9054-b74f-49ab-857b-109fd2cec80d</t>
        </is>
      </c>
      <c r="D3488" t="n">
        <v>55.65629</v>
      </c>
      <c r="E3488" t="n">
        <v>37.58118</v>
      </c>
      <c r="F3488" t="inlineStr"/>
      <c r="G3488" t="inlineStr"/>
      <c r="H3488" t="inlineStr"/>
    </row>
    <row r="3489">
      <c r="A3489" t="inlineStr">
        <is>
          <t>a2d50f89-b375-4d03-8f1c-ea6009299313.jpg</t>
        </is>
      </c>
      <c r="B3489">
        <f>HYPERLINK("Объекты недвижимости, не соответствующие градостроительным нормам_00-022_Август/a2d50f89-b375-4d03-8f1c-ea6009299313.jpg","open")</f>
        <v/>
      </c>
      <c r="C3489" t="inlineStr">
        <is>
          <t>1231bbc5-e64c-4dc7-9acc-77710f47607a</t>
        </is>
      </c>
      <c r="D3489" t="n">
        <v>55.65567</v>
      </c>
      <c r="E3489" t="n">
        <v>37.58212</v>
      </c>
      <c r="F3489" t="inlineStr"/>
      <c r="G3489" t="inlineStr"/>
      <c r="H3489" t="inlineStr"/>
    </row>
    <row r="3490">
      <c r="A3490" t="inlineStr">
        <is>
          <t>17116e99-49f4-4dfe-8736-cf01eb84e8d8.jpg</t>
        </is>
      </c>
      <c r="B3490">
        <f>HYPERLINK("Объекты недвижимости, не соответствующие градостроительным нормам_00-022_Август/17116e99-49f4-4dfe-8736-cf01eb84e8d8.jpg","open")</f>
        <v/>
      </c>
      <c r="C3490" t="inlineStr">
        <is>
          <t>12e795ad-2aa7-49de-b2da-2c6aa35a4559</t>
        </is>
      </c>
      <c r="D3490" t="n">
        <v>55.63896</v>
      </c>
      <c r="E3490" t="n">
        <v>37.52673</v>
      </c>
      <c r="F3490" t="inlineStr"/>
      <c r="G3490" t="inlineStr"/>
      <c r="H3490" t="inlineStr"/>
    </row>
    <row r="3491">
      <c r="A3491" t="inlineStr">
        <is>
          <t>4475c4ae-7acb-40ef-b059-2827d5d0564e.jpg</t>
        </is>
      </c>
      <c r="B3491">
        <f>HYPERLINK("Объекты недвижимости, не соответствующие градостроительным нормам_00-022_Август/4475c4ae-7acb-40ef-b059-2827d5d0564e.jpg","open")</f>
        <v/>
      </c>
      <c r="C3491" t="inlineStr">
        <is>
          <t>8cde1fd0-eca1-4510-86ab-3c743b65fdfc</t>
        </is>
      </c>
      <c r="D3491" t="n">
        <v>55.78963</v>
      </c>
      <c r="E3491" t="n">
        <v>37.78284</v>
      </c>
      <c r="F3491" t="inlineStr"/>
      <c r="G3491" t="inlineStr"/>
      <c r="H3491" t="inlineStr"/>
    </row>
    <row r="3492">
      <c r="A3492" t="inlineStr">
        <is>
          <t>00aaa6a8-716b-42ff-99aa-24be5c953d0a.jpg</t>
        </is>
      </c>
      <c r="B3492">
        <f>HYPERLINK("Объекты недвижимости, не соответствующие градостроительным нормам_00-022_Август/00aaa6a8-716b-42ff-99aa-24be5c953d0a.jpg","open")</f>
        <v/>
      </c>
      <c r="C3492" t="inlineStr">
        <is>
          <t>61936922-4d4b-458e-80ea-6d4c450aa1d5</t>
        </is>
      </c>
      <c r="D3492" t="n">
        <v>55.69643</v>
      </c>
      <c r="E3492" t="n">
        <v>37.4943</v>
      </c>
      <c r="F3492" t="inlineStr"/>
      <c r="G3492" t="inlineStr"/>
      <c r="H3492" t="inlineStr"/>
    </row>
    <row r="3493">
      <c r="A3493" t="inlineStr">
        <is>
          <t>8aafe625-44c9-45ce-8e0f-9a871fa925e5.jpg</t>
        </is>
      </c>
      <c r="B3493">
        <f>HYPERLINK("Объекты недвижимости, не соответствующие градостроительным нормам_00-022_Август/8aafe625-44c9-45ce-8e0f-9a871fa925e5.jpg","open")</f>
        <v/>
      </c>
      <c r="C3493" t="inlineStr">
        <is>
          <t>8cde1fd0-eca1-4510-86ab-3c743b65fdfc</t>
        </is>
      </c>
      <c r="D3493" t="n">
        <v>55.7912</v>
      </c>
      <c r="E3493" t="n">
        <v>37.78031</v>
      </c>
      <c r="F3493" t="inlineStr"/>
      <c r="G3493" t="inlineStr"/>
      <c r="H3493" t="inlineStr"/>
    </row>
    <row r="3494">
      <c r="A3494" t="inlineStr">
        <is>
          <t>f1f8c11d-ac45-4204-8ce1-d6ce39456e39.jpg</t>
        </is>
      </c>
      <c r="B3494">
        <f>HYPERLINK("Объекты недвижимости, не соответствующие градостроительным нормам_00-022_Август/f1f8c11d-ac45-4204-8ce1-d6ce39456e39.jpg","open")</f>
        <v/>
      </c>
      <c r="C3494" t="inlineStr">
        <is>
          <t>b0429a31-0c70-4b9f-8ea5-73929d82f89e</t>
        </is>
      </c>
      <c r="D3494" t="n">
        <v>55.64617</v>
      </c>
      <c r="E3494" t="n">
        <v>37.65503</v>
      </c>
      <c r="F3494" t="inlineStr"/>
      <c r="G3494" t="inlineStr"/>
      <c r="H3494" t="inlineStr"/>
    </row>
    <row r="3495">
      <c r="A3495" t="inlineStr">
        <is>
          <t>3396f24b-93f0-4f39-b4b4-7273ff4ff6c0.jpg</t>
        </is>
      </c>
      <c r="B3495">
        <f>HYPERLINK("Объекты недвижимости, не соответствующие градостроительным нормам_00-022_Август/3396f24b-93f0-4f39-b4b4-7273ff4ff6c0.jpg","open")</f>
        <v/>
      </c>
      <c r="C3495" t="inlineStr">
        <is>
          <t>99f3abba-c55b-49f0-9de5-9f88e9597cc0</t>
        </is>
      </c>
      <c r="D3495" t="n">
        <v>55.64618</v>
      </c>
      <c r="E3495" t="n">
        <v>37.65504</v>
      </c>
      <c r="F3495" t="inlineStr"/>
      <c r="G3495" t="inlineStr"/>
      <c r="H3495" t="inlineStr"/>
    </row>
    <row r="3496">
      <c r="A3496" t="inlineStr">
        <is>
          <t>d600f154-18ce-4723-9aa8-5a42dcfd2b83.jpg</t>
        </is>
      </c>
      <c r="B3496">
        <f>HYPERLINK("Объекты недвижимости, не соответствующие градостроительным нормам_00-022_Август/d600f154-18ce-4723-9aa8-5a42dcfd2b83.jpg","open")</f>
        <v/>
      </c>
      <c r="C3496" t="inlineStr">
        <is>
          <t>99f3abba-c55b-49f0-9de5-9f88e9597cc0</t>
        </is>
      </c>
      <c r="D3496" t="n">
        <v>55.6461</v>
      </c>
      <c r="E3496" t="n">
        <v>37.65551</v>
      </c>
      <c r="F3496" t="inlineStr"/>
      <c r="G3496" t="inlineStr"/>
      <c r="H3496" t="inlineStr"/>
    </row>
    <row r="3497">
      <c r="A3497" t="inlineStr">
        <is>
          <t>43873eaf-ddd9-461f-9c07-d3c814d3c5e9.jpg</t>
        </is>
      </c>
      <c r="B3497">
        <f>HYPERLINK("Объекты недвижимости, не соответствующие градостроительным нормам_00-022_Август/43873eaf-ddd9-461f-9c07-d3c814d3c5e9.jpg","open")</f>
        <v/>
      </c>
      <c r="C3497" t="inlineStr">
        <is>
          <t>685d9054-b74f-49ab-857b-109fd2cec80d</t>
        </is>
      </c>
      <c r="D3497" t="n">
        <v>55.66066</v>
      </c>
      <c r="E3497" t="n">
        <v>37.57734</v>
      </c>
      <c r="F3497" t="inlineStr"/>
      <c r="G3497" t="inlineStr"/>
      <c r="H3497" t="inlineStr"/>
    </row>
    <row r="3498">
      <c r="A3498" t="inlineStr">
        <is>
          <t>e2dc28bc-199d-4183-97fd-5648e0ce7b2b.jpg</t>
        </is>
      </c>
      <c r="B3498">
        <f>HYPERLINK("Объекты недвижимости, не соответствующие градостроительным нормам_00-022_Август/e2dc28bc-199d-4183-97fd-5648e0ce7b2b.jpg","open")</f>
        <v/>
      </c>
      <c r="C3498" t="inlineStr">
        <is>
          <t>8cde1fd0-eca1-4510-86ab-3c743b65fdfc</t>
        </is>
      </c>
      <c r="D3498" t="n">
        <v>55.79292</v>
      </c>
      <c r="E3498" t="n">
        <v>37.78537</v>
      </c>
      <c r="F3498" t="inlineStr"/>
      <c r="G3498" t="inlineStr"/>
      <c r="H3498" t="inlineStr"/>
    </row>
    <row r="3499">
      <c r="A3499" t="inlineStr">
        <is>
          <t>377eb2d7-57f8-4a90-a992-dc4af9afcab6.jpg</t>
        </is>
      </c>
      <c r="B3499">
        <f>HYPERLINK("Объекты недвижимости, не соответствующие градостроительным нормам_00-022_Август/377eb2d7-57f8-4a90-a992-dc4af9afcab6.jpg","open")</f>
        <v/>
      </c>
      <c r="C3499" t="inlineStr">
        <is>
          <t>99f3abba-c55b-49f0-9de5-9f88e9597cc0</t>
        </is>
      </c>
      <c r="D3499" t="n">
        <v>55.64615</v>
      </c>
      <c r="E3499" t="n">
        <v>37.65506</v>
      </c>
      <c r="F3499" t="inlineStr"/>
      <c r="G3499" t="inlineStr"/>
      <c r="H3499" t="inlineStr"/>
    </row>
    <row r="3500">
      <c r="A3500" t="inlineStr">
        <is>
          <t>0e04d66b-799f-4c6b-843d-95140aaa2ddc.jpg</t>
        </is>
      </c>
      <c r="B3500">
        <f>HYPERLINK("Объекты недвижимости, не соответствующие градостроительным нормам_00-022_Август/0e04d66b-799f-4c6b-843d-95140aaa2ddc.jpg","open")</f>
        <v/>
      </c>
      <c r="C3500" t="inlineStr">
        <is>
          <t>685d9054-b74f-49ab-857b-109fd2cec80d</t>
        </is>
      </c>
      <c r="D3500" t="n">
        <v>55.66105</v>
      </c>
      <c r="E3500" t="n">
        <v>37.57769</v>
      </c>
      <c r="F3500" t="inlineStr"/>
      <c r="G3500" t="inlineStr"/>
      <c r="H3500" t="inlineStr"/>
    </row>
    <row r="3501">
      <c r="A3501" t="inlineStr">
        <is>
          <t>bf437e55-4a82-4255-9eac-7c34804607c7.jpg</t>
        </is>
      </c>
      <c r="B3501">
        <f>HYPERLINK("Объекты недвижимости, не соответствующие градостроительным нормам_00-022_Август/bf437e55-4a82-4255-9eac-7c34804607c7.jpg","open")</f>
        <v/>
      </c>
      <c r="C3501" t="inlineStr">
        <is>
          <t>8cde1fd0-eca1-4510-86ab-3c743b65fdfc</t>
        </is>
      </c>
      <c r="D3501" t="n">
        <v>55.78975</v>
      </c>
      <c r="E3501" t="n">
        <v>37.7885</v>
      </c>
      <c r="F3501" t="inlineStr"/>
      <c r="G3501" t="inlineStr"/>
      <c r="H3501" t="inlineStr"/>
    </row>
    <row r="3502">
      <c r="A3502" t="inlineStr">
        <is>
          <t>7d865b33-e2e9-4c09-b00a-54c015ee361a.jpg</t>
        </is>
      </c>
      <c r="B3502">
        <f>HYPERLINK("Объекты недвижимости, не соответствующие градостроительным нормам_00-022_Август/7d865b33-e2e9-4c09-b00a-54c015ee361a.jpg","open")</f>
        <v/>
      </c>
      <c r="C3502" t="inlineStr">
        <is>
          <t>1231bbc5-e64c-4dc7-9acc-77710f47607a</t>
        </is>
      </c>
      <c r="D3502" t="n">
        <v>55.66224</v>
      </c>
      <c r="E3502" t="n">
        <v>37.58041</v>
      </c>
      <c r="F3502" t="inlineStr"/>
      <c r="G3502" t="inlineStr"/>
      <c r="H3502" t="inlineStr"/>
    </row>
    <row r="3503">
      <c r="A3503" t="inlineStr">
        <is>
          <t>94cb5dac-4290-498f-9f7e-9569d42e70a0.jpg</t>
        </is>
      </c>
      <c r="B3503">
        <f>HYPERLINK("Объекты недвижимости, не соответствующие градостроительным нормам_00-022_Август/94cb5dac-4290-498f-9f7e-9569d42e70a0.jpg","open")</f>
        <v/>
      </c>
      <c r="C3503" t="inlineStr">
        <is>
          <t>b0429a31-0c70-4b9f-8ea5-73929d82f89e</t>
        </is>
      </c>
      <c r="D3503" t="n">
        <v>55.64737</v>
      </c>
      <c r="E3503" t="n">
        <v>37.65454</v>
      </c>
      <c r="F3503" t="inlineStr"/>
      <c r="G3503" t="inlineStr"/>
      <c r="H3503" t="inlineStr"/>
    </row>
    <row r="3504">
      <c r="A3504" t="inlineStr">
        <is>
          <t>0f2a3213-8fe4-4e05-bb38-a8b3a58dbf3c.jpg</t>
        </is>
      </c>
      <c r="B3504">
        <f>HYPERLINK("Объекты недвижимости, не соответствующие градостроительным нормам_00-022_Август/0f2a3213-8fe4-4e05-bb38-a8b3a58dbf3c.jpg","open")</f>
        <v/>
      </c>
      <c r="C3504" t="inlineStr">
        <is>
          <t>ffd931da-542f-43e9-979f-5552b17fe3dc</t>
        </is>
      </c>
      <c r="D3504" t="n">
        <v>55.74782</v>
      </c>
      <c r="E3504" t="n">
        <v>37.8142</v>
      </c>
      <c r="F3504" t="inlineStr"/>
      <c r="G3504" t="inlineStr"/>
      <c r="H3504" t="inlineStr"/>
    </row>
    <row r="3505">
      <c r="A3505" t="inlineStr">
        <is>
          <t>b7aca860-ec53-4b7d-8f6b-fb667734ef51.jpg</t>
        </is>
      </c>
      <c r="B3505">
        <f>HYPERLINK("Объекты недвижимости, не соответствующие градостроительным нормам_00-022_Август/b7aca860-ec53-4b7d-8f6b-fb667734ef51.jpg","open")</f>
        <v/>
      </c>
      <c r="C3505" t="inlineStr">
        <is>
          <t>f60286ac-55e7-4099-85bd-cc599a7a0c65</t>
        </is>
      </c>
      <c r="D3505" t="n">
        <v>55.74783</v>
      </c>
      <c r="E3505" t="n">
        <v>37.81419</v>
      </c>
      <c r="F3505" t="inlineStr"/>
      <c r="G3505" t="inlineStr"/>
      <c r="H3505" t="inlineStr"/>
    </row>
    <row r="3506">
      <c r="A3506" t="inlineStr">
        <is>
          <t>5595cbe9-5aef-4cff-852d-5288ac82ff38.jpg</t>
        </is>
      </c>
      <c r="B3506">
        <f>HYPERLINK("Объекты недвижимости, не соответствующие градостроительным нормам_00-022_Август/5595cbe9-5aef-4cff-852d-5288ac82ff38.jpg","open")</f>
        <v/>
      </c>
      <c r="C3506" t="inlineStr">
        <is>
          <t>1c951e11-4940-43c6-a447-394097e5609a</t>
        </is>
      </c>
      <c r="D3506" t="n">
        <v>55.79297</v>
      </c>
      <c r="E3506" t="n">
        <v>37.7905</v>
      </c>
      <c r="F3506" t="inlineStr"/>
      <c r="G3506" t="inlineStr"/>
      <c r="H3506" t="inlineStr"/>
    </row>
    <row r="3507">
      <c r="A3507" t="inlineStr">
        <is>
          <t>dd147ab7-28e5-4a3c-b3de-b27c7de15c88.jpg</t>
        </is>
      </c>
      <c r="B3507">
        <f>HYPERLINK("Объекты недвижимости, не соответствующие градостроительным нормам_00-022_Август/dd147ab7-28e5-4a3c-b3de-b27c7de15c88.jpg","open")</f>
        <v/>
      </c>
      <c r="C3507" t="inlineStr">
        <is>
          <t>ffd931da-542f-43e9-979f-5552b17fe3dc</t>
        </is>
      </c>
      <c r="D3507" t="n">
        <v>55.74604</v>
      </c>
      <c r="E3507" t="n">
        <v>37.81648</v>
      </c>
      <c r="F3507" t="inlineStr"/>
      <c r="G3507" t="inlineStr"/>
      <c r="H3507" t="inlineStr"/>
    </row>
    <row r="3508">
      <c r="A3508" t="inlineStr">
        <is>
          <t>41c9fc5e-32a0-4cad-95cf-33d563e167e0.jpg</t>
        </is>
      </c>
      <c r="B3508">
        <f>HYPERLINK("Объекты недвижимости, не соответствующие градостроительным нормам_00-022_Август/41c9fc5e-32a0-4cad-95cf-33d563e167e0.jpg","open")</f>
        <v/>
      </c>
      <c r="C3508" t="inlineStr">
        <is>
          <t>12e795ad-2aa7-49de-b2da-2c6aa35a4559</t>
        </is>
      </c>
      <c r="D3508" t="n">
        <v>55.64162</v>
      </c>
      <c r="E3508" t="n">
        <v>37.53304</v>
      </c>
      <c r="F3508" t="inlineStr"/>
      <c r="G3508" t="inlineStr"/>
      <c r="H3508" t="inlineStr"/>
    </row>
    <row r="3509">
      <c r="A3509" t="inlineStr">
        <is>
          <t>5750b826-9962-4b0a-a669-3372803aefd2.jpg</t>
        </is>
      </c>
      <c r="B3509">
        <f>HYPERLINK("Объекты недвижимости, не соответствующие градостроительным нормам_00-022_Август/5750b826-9962-4b0a-a669-3372803aefd2.jpg","open")</f>
        <v/>
      </c>
      <c r="C3509" t="inlineStr">
        <is>
          <t>1c951e11-4940-43c6-a447-394097e5609a</t>
        </is>
      </c>
      <c r="D3509" t="n">
        <v>55.79278</v>
      </c>
      <c r="E3509" t="n">
        <v>37.79669</v>
      </c>
      <c r="F3509" t="inlineStr"/>
      <c r="G3509" t="inlineStr"/>
      <c r="H3509" t="inlineStr"/>
    </row>
    <row r="3510">
      <c r="A3510" t="inlineStr">
        <is>
          <t>ea7f3bf0-d5e2-4e46-849b-c1faf843dac8.jpg</t>
        </is>
      </c>
      <c r="B3510">
        <f>HYPERLINK("Объекты недвижимости, не соответствующие градостроительным нормам_00-022_Август/ea7f3bf0-d5e2-4e46-849b-c1faf843dac8.jpg","open")</f>
        <v/>
      </c>
      <c r="C3510" t="inlineStr">
        <is>
          <t>1a55986c-2c3f-40c0-b3d1-014dce77832e</t>
        </is>
      </c>
      <c r="D3510" t="n">
        <v>55.88092</v>
      </c>
      <c r="E3510" t="n">
        <v>37.69107</v>
      </c>
      <c r="F3510" t="inlineStr"/>
      <c r="G3510" t="inlineStr"/>
      <c r="H3510" t="inlineStr"/>
    </row>
    <row r="3511">
      <c r="A3511" t="inlineStr">
        <is>
          <t>a4f4b27c-7dcf-46ef-ba1d-f47bc23412ef.jpg</t>
        </is>
      </c>
      <c r="B3511">
        <f>HYPERLINK("Объекты недвижимости, не соответствующие градостроительным нормам_00-022_Август/a4f4b27c-7dcf-46ef-ba1d-f47bc23412ef.jpg","open")</f>
        <v/>
      </c>
      <c r="C3511" t="inlineStr">
        <is>
          <t>789f6c51-64ee-4078-b7bd-443af8b8b68a</t>
        </is>
      </c>
      <c r="D3511" t="n">
        <v>55.89047</v>
      </c>
      <c r="E3511" t="n">
        <v>37.66829</v>
      </c>
      <c r="F3511" t="inlineStr"/>
      <c r="G3511" t="inlineStr"/>
      <c r="H3511" t="inlineStr"/>
    </row>
    <row r="3512">
      <c r="A3512" t="inlineStr">
        <is>
          <t>f5b5d166-7d96-4f5d-a3a2-ac163bf78bca.jpg</t>
        </is>
      </c>
      <c r="B3512">
        <f>HYPERLINK("Объекты недвижимости, не соответствующие градостроительным нормам_00-022_Август/f5b5d166-7d96-4f5d-a3a2-ac163bf78bca.jpg","open")</f>
        <v/>
      </c>
      <c r="C3512" t="inlineStr">
        <is>
          <t>1a55986c-2c3f-40c0-b3d1-014dce77832e</t>
        </is>
      </c>
      <c r="D3512" t="n">
        <v>55.87914</v>
      </c>
      <c r="E3512" t="n">
        <v>37.68379</v>
      </c>
      <c r="F3512" t="inlineStr"/>
      <c r="G3512" t="inlineStr"/>
      <c r="H3512" t="inlineStr"/>
    </row>
    <row r="3513">
      <c r="A3513" t="inlineStr">
        <is>
          <t>3fc177b0-e2f6-4cb0-a7c4-41b25c7188e3.jpg</t>
        </is>
      </c>
      <c r="B3513">
        <f>HYPERLINK("Объекты недвижимости, не соответствующие градостроительным нормам_00-022_Август/3fc177b0-e2f6-4cb0-a7c4-41b25c7188e3.jpg","open")</f>
        <v/>
      </c>
      <c r="C3513" t="inlineStr">
        <is>
          <t>1a55986c-2c3f-40c0-b3d1-014dce77832e</t>
        </is>
      </c>
      <c r="D3513" t="n">
        <v>55.87946</v>
      </c>
      <c r="E3513" t="n">
        <v>37.684</v>
      </c>
      <c r="F3513" t="inlineStr"/>
      <c r="G3513" t="inlineStr"/>
      <c r="H3513" t="inlineStr"/>
    </row>
    <row r="3514">
      <c r="A3514" t="inlineStr">
        <is>
          <t>0c931dc6-094a-4329-b1cf-cfaf8f630454.jpg</t>
        </is>
      </c>
      <c r="B3514">
        <f>HYPERLINK("Объекты недвижимости, не соответствующие градостроительным нормам_00-022_Август/0c931dc6-094a-4329-b1cf-cfaf8f630454.jpg","open")</f>
        <v/>
      </c>
      <c r="C3514" t="inlineStr">
        <is>
          <t>91248771-2c4d-44f3-b3cf-d536bd4ae73c</t>
        </is>
      </c>
      <c r="D3514" t="n">
        <v>55.78284</v>
      </c>
      <c r="E3514" t="n">
        <v>37.69842</v>
      </c>
      <c r="F3514" t="inlineStr"/>
      <c r="G3514" t="inlineStr"/>
      <c r="H3514" t="inlineStr"/>
    </row>
    <row r="3515">
      <c r="A3515" t="inlineStr">
        <is>
          <t>5deeaa3e-16cd-435c-8e97-8f69329382dd.jpg</t>
        </is>
      </c>
      <c r="B3515">
        <f>HYPERLINK("Объекты недвижимости, не соответствующие градостроительным нормам_00-022_Август/5deeaa3e-16cd-435c-8e97-8f69329382dd.jpg","open")</f>
        <v/>
      </c>
      <c r="C3515" t="inlineStr">
        <is>
          <t>b0429a31-0c70-4b9f-8ea5-73929d82f89e</t>
        </is>
      </c>
      <c r="D3515" t="n">
        <v>55.64812</v>
      </c>
      <c r="E3515" t="n">
        <v>37.63157</v>
      </c>
      <c r="F3515" t="inlineStr"/>
      <c r="G3515" t="inlineStr"/>
      <c r="H3515" t="inlineStr"/>
    </row>
    <row r="3516">
      <c r="A3516" t="inlineStr">
        <is>
          <t>a7670285-9108-482b-ac90-05c8a17bfd68.jpg</t>
        </is>
      </c>
      <c r="B3516">
        <f>HYPERLINK("Объекты недвижимости, не соответствующие градостроительным нормам_00-022_Август/a7670285-9108-482b-ac90-05c8a17bfd68.jpg","open")</f>
        <v/>
      </c>
      <c r="C3516" t="inlineStr">
        <is>
          <t>99f3abba-c55b-49f0-9de5-9f88e9597cc0</t>
        </is>
      </c>
      <c r="D3516" t="n">
        <v>55.6449</v>
      </c>
      <c r="E3516" t="n">
        <v>37.63533</v>
      </c>
      <c r="F3516" t="inlineStr"/>
      <c r="G3516" t="inlineStr"/>
      <c r="H3516" t="inlineStr"/>
    </row>
    <row r="3517">
      <c r="A3517" t="inlineStr">
        <is>
          <t>4db2db5c-1ba0-40cf-8fa6-6ec2a72ffdc8.jpg</t>
        </is>
      </c>
      <c r="B3517">
        <f>HYPERLINK("Объекты недвижимости, не соответствующие градостроительным нормам_00-022_Август/4db2db5c-1ba0-40cf-8fa6-6ec2a72ffdc8.jpg","open")</f>
        <v/>
      </c>
      <c r="C3517" t="inlineStr">
        <is>
          <t>8cde1fd0-eca1-4510-86ab-3c743b65fdfc</t>
        </is>
      </c>
      <c r="D3517" t="n">
        <v>55.79156</v>
      </c>
      <c r="E3517" t="n">
        <v>37.80335</v>
      </c>
      <c r="F3517" t="inlineStr"/>
      <c r="G3517" t="inlineStr"/>
      <c r="H3517" t="inlineStr"/>
    </row>
    <row r="3518">
      <c r="A3518" t="inlineStr">
        <is>
          <t>6e54d6cd-4c24-4b09-a108-7e4024095bfb.jpg</t>
        </is>
      </c>
      <c r="B3518">
        <f>HYPERLINK("Объекты недвижимости, не соответствующие градостроительным нормам_00-022_Август/6e54d6cd-4c24-4b09-a108-7e4024095bfb.jpg","open")</f>
        <v/>
      </c>
      <c r="C3518" t="inlineStr">
        <is>
          <t>b0429a31-0c70-4b9f-8ea5-73929d82f89e</t>
        </is>
      </c>
      <c r="D3518" t="n">
        <v>55.64455</v>
      </c>
      <c r="E3518" t="n">
        <v>37.64059</v>
      </c>
      <c r="F3518" t="inlineStr"/>
      <c r="G3518" t="inlineStr"/>
      <c r="H3518" t="inlineStr"/>
    </row>
    <row r="3519">
      <c r="A3519" t="inlineStr">
        <is>
          <t>f044d704-f9bf-444e-ae51-765319982a49.jpg</t>
        </is>
      </c>
      <c r="B3519">
        <f>HYPERLINK("Объекты недвижимости, не соответствующие градостроительным нормам_00-022_Август/f044d704-f9bf-444e-ae51-765319982a49.jpg","open")</f>
        <v/>
      </c>
      <c r="C3519" t="inlineStr">
        <is>
          <t>8cde1fd0-eca1-4510-86ab-3c743b65fdfc</t>
        </is>
      </c>
      <c r="D3519" t="n">
        <v>55.79156</v>
      </c>
      <c r="E3519" t="n">
        <v>37.80335</v>
      </c>
      <c r="F3519" t="inlineStr"/>
      <c r="G3519" t="inlineStr"/>
      <c r="H3519" t="inlineStr"/>
    </row>
    <row r="3520">
      <c r="A3520" t="inlineStr">
        <is>
          <t>4cdd0677-e630-497e-85a8-9a022e0ccff0.jpg</t>
        </is>
      </c>
      <c r="B3520">
        <f>HYPERLINK("Объекты недвижимости, не соответствующие градостроительным нормам_00-022_Август/4cdd0677-e630-497e-85a8-9a022e0ccff0.jpg","open")</f>
        <v/>
      </c>
      <c r="C3520" t="inlineStr">
        <is>
          <t>8cde1fd0-eca1-4510-86ab-3c743b65fdfc</t>
        </is>
      </c>
      <c r="D3520" t="n">
        <v>55.79148</v>
      </c>
      <c r="E3520" t="n">
        <v>37.80315</v>
      </c>
      <c r="F3520" t="inlineStr"/>
      <c r="G3520" t="inlineStr"/>
      <c r="H3520" t="inlineStr"/>
    </row>
    <row r="3521">
      <c r="A3521" t="inlineStr">
        <is>
          <t>8f7eceff-d454-402d-8d91-abad348acb55.jpg</t>
        </is>
      </c>
      <c r="B3521">
        <f>HYPERLINK("Объекты недвижимости, не соответствующие градостроительным нормам_00-022_Август/8f7eceff-d454-402d-8d91-abad348acb55.jpg","open")</f>
        <v/>
      </c>
      <c r="C3521" t="inlineStr">
        <is>
          <t>8cde1fd0-eca1-4510-86ab-3c743b65fdfc</t>
        </is>
      </c>
      <c r="D3521" t="n">
        <v>55.79148</v>
      </c>
      <c r="E3521" t="n">
        <v>37.80314</v>
      </c>
      <c r="F3521" t="inlineStr"/>
      <c r="G3521" t="inlineStr"/>
      <c r="H3521" t="inlineStr"/>
    </row>
    <row r="3522">
      <c r="A3522" t="inlineStr">
        <is>
          <t>fe680aee-f973-4126-8406-e0eceb2efa22.jpg</t>
        </is>
      </c>
      <c r="B3522">
        <f>HYPERLINK("Объекты недвижимости, не соответствующие градостроительным нормам_00-022_Август/fe680aee-f973-4126-8406-e0eceb2efa22.jpg","open")</f>
        <v/>
      </c>
      <c r="C3522" t="inlineStr">
        <is>
          <t>8cde1fd0-eca1-4510-86ab-3c743b65fdfc</t>
        </is>
      </c>
      <c r="D3522" t="n">
        <v>55.79142</v>
      </c>
      <c r="E3522" t="n">
        <v>37.80312</v>
      </c>
      <c r="F3522" t="inlineStr"/>
      <c r="G3522" t="inlineStr"/>
      <c r="H3522" t="inlineStr"/>
    </row>
    <row r="3523">
      <c r="A3523" t="inlineStr">
        <is>
          <t>ab0828d3-2704-45f5-b2fb-2defd88fe0d7.jpg</t>
        </is>
      </c>
      <c r="B3523">
        <f>HYPERLINK("Объекты недвижимости, не соответствующие градостроительным нормам_00-022_Август/ab0828d3-2704-45f5-b2fb-2defd88fe0d7.jpg","open")</f>
        <v/>
      </c>
      <c r="C3523" t="inlineStr">
        <is>
          <t>acedacc2-0d8b-4fc1-9622-25621a89d071</t>
        </is>
      </c>
      <c r="D3523" t="n">
        <v>55.78244</v>
      </c>
      <c r="E3523" t="n">
        <v>37.69893</v>
      </c>
      <c r="F3523" t="inlineStr"/>
      <c r="G3523" t="inlineStr"/>
      <c r="H3523" t="inlineStr"/>
    </row>
    <row r="3524">
      <c r="A3524" t="inlineStr">
        <is>
          <t>f460243b-29ed-48b2-bebd-a4549282f305.jpg</t>
        </is>
      </c>
      <c r="B3524">
        <f>HYPERLINK("Объекты недвижимости, не соответствующие градостроительным нормам_00-022_Август/f460243b-29ed-48b2-bebd-a4549282f305.jpg","open")</f>
        <v/>
      </c>
      <c r="C3524" t="inlineStr">
        <is>
          <t>f9ad0a8f-1e33-4fca-bdfe-5b844d3ee381</t>
        </is>
      </c>
      <c r="D3524" t="n">
        <v>55.75277</v>
      </c>
      <c r="E3524" t="n">
        <v>37.58359</v>
      </c>
      <c r="F3524" t="inlineStr"/>
      <c r="G3524" t="inlineStr"/>
      <c r="H3524" t="inlineStr"/>
    </row>
    <row r="3525">
      <c r="A3525" t="inlineStr">
        <is>
          <t>c55c0d37-464c-40f7-98ef-e0493254b37d.jpg</t>
        </is>
      </c>
      <c r="B3525">
        <f>HYPERLINK("Объекты недвижимости, не соответствующие градостроительным нормам_00-022_Август/c55c0d37-464c-40f7-98ef-e0493254b37d.jpg","open")</f>
        <v/>
      </c>
      <c r="C3525" t="inlineStr">
        <is>
          <t>ab4e767f-65c0-455b-af20-a5527124fd21</t>
        </is>
      </c>
      <c r="D3525" t="n">
        <v>55.75277</v>
      </c>
      <c r="E3525" t="n">
        <v>37.58359</v>
      </c>
      <c r="F3525" t="inlineStr"/>
      <c r="G3525" t="inlineStr"/>
      <c r="H3525" t="inlineStr"/>
    </row>
    <row r="3526">
      <c r="A3526" t="inlineStr">
        <is>
          <t>3cbbb116-19ca-4989-b804-69ddbccfc70e.jpg</t>
        </is>
      </c>
      <c r="B3526">
        <f>HYPERLINK("Объекты недвижимости, не соответствующие градостроительным нормам_00-022_Август/3cbbb116-19ca-4989-b804-69ddbccfc70e.jpg","open")</f>
        <v/>
      </c>
      <c r="C3526" t="inlineStr">
        <is>
          <t>ab4e767f-65c0-455b-af20-a5527124fd21</t>
        </is>
      </c>
      <c r="D3526" t="n">
        <v>55.75277</v>
      </c>
      <c r="E3526" t="n">
        <v>37.58359</v>
      </c>
      <c r="F3526" t="inlineStr"/>
      <c r="G3526" t="inlineStr"/>
      <c r="H3526" t="inlineStr"/>
    </row>
    <row r="3527">
      <c r="A3527" t="inlineStr">
        <is>
          <t>09a7d092-70c3-4ab5-a31b-88b2a1bcf81c.jpg</t>
        </is>
      </c>
      <c r="B3527">
        <f>HYPERLINK("Объекты недвижимости, не соответствующие градостроительным нормам_00-022_Август/09a7d092-70c3-4ab5-a31b-88b2a1bcf81c.jpg","open")</f>
        <v/>
      </c>
      <c r="C3527" t="inlineStr">
        <is>
          <t>ab4e767f-65c0-455b-af20-a5527124fd21</t>
        </is>
      </c>
      <c r="D3527" t="n">
        <v>55.75277</v>
      </c>
      <c r="E3527" t="n">
        <v>37.58359</v>
      </c>
      <c r="F3527" t="inlineStr"/>
      <c r="G3527" t="inlineStr"/>
      <c r="H3527" t="inlineStr"/>
    </row>
    <row r="3528">
      <c r="A3528" t="inlineStr">
        <is>
          <t>857d6d12-0c49-452f-b169-cfa6bab1b929.jpg</t>
        </is>
      </c>
      <c r="B3528">
        <f>HYPERLINK("Объекты недвижимости, не соответствующие градостроительным нормам_00-022_Август/857d6d12-0c49-452f-b169-cfa6bab1b929.jpg","open")</f>
        <v/>
      </c>
      <c r="C3528" t="inlineStr">
        <is>
          <t>ab4e767f-65c0-455b-af20-a5527124fd21</t>
        </is>
      </c>
      <c r="D3528" t="n">
        <v>55.75277</v>
      </c>
      <c r="E3528" t="n">
        <v>37.58359</v>
      </c>
      <c r="F3528" t="inlineStr"/>
      <c r="G3528" t="inlineStr"/>
      <c r="H3528" t="inlineStr"/>
    </row>
    <row r="3529">
      <c r="A3529" t="inlineStr">
        <is>
          <t>f5d76f0a-986c-4c09-9844-ca7a75088250.jpg</t>
        </is>
      </c>
      <c r="B3529">
        <f>HYPERLINK("Объекты недвижимости, не соответствующие градостроительным нормам_00-022_Август/f5d76f0a-986c-4c09-9844-ca7a75088250.jpg","open")</f>
        <v/>
      </c>
      <c r="C3529" t="inlineStr">
        <is>
          <t>ab4e767f-65c0-455b-af20-a5527124fd21</t>
        </is>
      </c>
      <c r="D3529" t="n">
        <v>55.75277</v>
      </c>
      <c r="E3529" t="n">
        <v>37.58359</v>
      </c>
      <c r="F3529" t="inlineStr"/>
      <c r="G3529" t="inlineStr"/>
      <c r="H3529" t="inlineStr"/>
    </row>
    <row r="3530">
      <c r="A3530" t="inlineStr">
        <is>
          <t>49df27f8-6f96-4162-8367-1e9f2898924e.jpg</t>
        </is>
      </c>
      <c r="B3530">
        <f>HYPERLINK("Объекты недвижимости, не соответствующие градостроительным нормам_00-022_Август/49df27f8-6f96-4162-8367-1e9f2898924e.jpg","open")</f>
        <v/>
      </c>
      <c r="C3530" t="inlineStr">
        <is>
          <t>57812597-37e6-414c-8b11-8c661dbfeb70</t>
        </is>
      </c>
      <c r="D3530" t="n">
        <v>55.77033</v>
      </c>
      <c r="E3530" t="n">
        <v>37.64367</v>
      </c>
      <c r="F3530" t="inlineStr"/>
      <c r="G3530" t="inlineStr"/>
      <c r="H3530" t="inlineStr"/>
    </row>
    <row r="3531">
      <c r="A3531" t="inlineStr">
        <is>
          <t>80cd074d-f091-46b4-acd6-76d187b2bae2.jpg</t>
        </is>
      </c>
      <c r="B3531">
        <f>HYPERLINK("Объекты недвижимости, не соответствующие градостроительным нормам_00-022_Август/80cd074d-f091-46b4-acd6-76d187b2bae2.jpg","open")</f>
        <v/>
      </c>
      <c r="C3531" t="inlineStr">
        <is>
          <t>ab4e767f-65c0-455b-af20-a5527124fd21</t>
        </is>
      </c>
      <c r="D3531" t="n">
        <v>55.75277</v>
      </c>
      <c r="E3531" t="n">
        <v>37.58359</v>
      </c>
      <c r="F3531" t="inlineStr"/>
      <c r="G3531" t="inlineStr"/>
      <c r="H3531" t="inlineStr"/>
    </row>
    <row r="3532">
      <c r="A3532" t="inlineStr">
        <is>
          <t>130881cb-be73-4b55-8107-8e511d1614f0.jpg</t>
        </is>
      </c>
      <c r="B3532">
        <f>HYPERLINK("Объекты недвижимости, не соответствующие градостроительным нормам_00-022_Август/130881cb-be73-4b55-8107-8e511d1614f0.jpg","open")</f>
        <v/>
      </c>
      <c r="C3532" t="inlineStr">
        <is>
          <t>ab4e767f-65c0-455b-af20-a5527124fd21</t>
        </is>
      </c>
      <c r="D3532" t="n">
        <v>55.75277</v>
      </c>
      <c r="E3532" t="n">
        <v>37.58359</v>
      </c>
      <c r="F3532" t="inlineStr"/>
      <c r="G3532" t="inlineStr"/>
      <c r="H3532" t="inlineStr"/>
    </row>
    <row r="3533">
      <c r="A3533" t="inlineStr">
        <is>
          <t>a6ce6552-e6a0-402f-a0e4-83cc3ae7e914.jpg</t>
        </is>
      </c>
      <c r="B3533">
        <f>HYPERLINK("Объекты недвижимости, не соответствующие градостроительным нормам_00-022_Август/a6ce6552-e6a0-402f-a0e4-83cc3ae7e914.jpg","open")</f>
        <v/>
      </c>
      <c r="C3533" t="inlineStr">
        <is>
          <t>ab4e767f-65c0-455b-af20-a5527124fd21</t>
        </is>
      </c>
      <c r="D3533" t="n">
        <v>55.75277</v>
      </c>
      <c r="E3533" t="n">
        <v>37.58359</v>
      </c>
      <c r="F3533" t="inlineStr"/>
      <c r="G3533" t="inlineStr"/>
      <c r="H3533" t="inlineStr"/>
    </row>
    <row r="3534">
      <c r="A3534" t="inlineStr">
        <is>
          <t>bf07fc4c-6525-4645-a844-6f50f84d567a.jpg</t>
        </is>
      </c>
      <c r="B3534">
        <f>HYPERLINK("Объекты недвижимости, не соответствующие градостроительным нормам_00-022_Август/bf07fc4c-6525-4645-a844-6f50f84d567a.jpg","open")</f>
        <v/>
      </c>
      <c r="C3534" t="inlineStr">
        <is>
          <t>ab4e767f-65c0-455b-af20-a5527124fd21</t>
        </is>
      </c>
      <c r="D3534" t="n">
        <v>55.75277</v>
      </c>
      <c r="E3534" t="n">
        <v>37.58359</v>
      </c>
      <c r="F3534" t="inlineStr"/>
      <c r="G3534" t="inlineStr"/>
      <c r="H3534" t="inlineStr"/>
    </row>
    <row r="3535">
      <c r="A3535" t="inlineStr">
        <is>
          <t>a7420fb1-32b0-4d18-99d4-1d37c440b3a4.jpg</t>
        </is>
      </c>
      <c r="B3535">
        <f>HYPERLINK("Объекты недвижимости, не соответствующие градостроительным нормам_00-022_Август/a7420fb1-32b0-4d18-99d4-1d37c440b3a4.jpg","open")</f>
        <v/>
      </c>
      <c r="C3535" t="inlineStr">
        <is>
          <t>ffd931da-542f-43e9-979f-5552b17fe3dc</t>
        </is>
      </c>
      <c r="D3535" t="n">
        <v>55.74807</v>
      </c>
      <c r="E3535" t="n">
        <v>37.78103</v>
      </c>
      <c r="F3535" t="inlineStr"/>
      <c r="G3535" t="inlineStr"/>
      <c r="H3535" t="inlineStr"/>
    </row>
    <row r="3536">
      <c r="A3536" t="inlineStr">
        <is>
          <t>dd360621-2a76-4324-971e-6419e40e1da8.jpg</t>
        </is>
      </c>
      <c r="B3536">
        <f>HYPERLINK("Объекты недвижимости, не соответствующие градостроительным нормам_00-022_Август/dd360621-2a76-4324-971e-6419e40e1da8.jpg","open")</f>
        <v/>
      </c>
      <c r="C3536" t="inlineStr">
        <is>
          <t>57aae8a4-582b-4309-8045-c8127a9f86ae</t>
        </is>
      </c>
      <c r="D3536" t="n">
        <v>55.75039</v>
      </c>
      <c r="E3536" t="n">
        <v>37.66907</v>
      </c>
      <c r="F3536" t="inlineStr"/>
      <c r="G3536" t="inlineStr"/>
      <c r="H3536" t="inlineStr"/>
    </row>
    <row r="3537">
      <c r="A3537" t="inlineStr">
        <is>
          <t>e5cbd2a8-11f0-4415-adf7-c5661c0e5fc4.jpg</t>
        </is>
      </c>
      <c r="B3537">
        <f>HYPERLINK("Объекты недвижимости, не соответствующие градостроительным нормам_00-022_Август/e5cbd2a8-11f0-4415-adf7-c5661c0e5fc4.jpg","open")</f>
        <v/>
      </c>
      <c r="C3537" t="inlineStr">
        <is>
          <t>f6f80c84-5569-48fd-b627-6f41ce4c61c4</t>
        </is>
      </c>
      <c r="D3537" t="n">
        <v>55.38456</v>
      </c>
      <c r="E3537" t="n">
        <v>37.51773</v>
      </c>
      <c r="F3537" t="inlineStr"/>
      <c r="G3537" t="inlineStr"/>
      <c r="H3537" t="inlineStr"/>
    </row>
    <row r="3538">
      <c r="A3538" t="inlineStr">
        <is>
          <t>1f885d1d-2380-4439-888a-7d30e7ce8ba9.jpg</t>
        </is>
      </c>
      <c r="B3538">
        <f>HYPERLINK("Объекты недвижимости, не соответствующие градостроительным нормам_00-022_Август/1f885d1d-2380-4439-888a-7d30e7ce8ba9.jpg","open")</f>
        <v/>
      </c>
      <c r="C3538" t="inlineStr">
        <is>
          <t>685d9054-b74f-49ab-857b-109fd2cec80d</t>
        </is>
      </c>
      <c r="D3538" t="n">
        <v>55.74148</v>
      </c>
      <c r="E3538" t="n">
        <v>37.69764</v>
      </c>
      <c r="F3538" t="inlineStr"/>
      <c r="G3538" t="inlineStr"/>
      <c r="H3538" t="inlineStr"/>
    </row>
    <row r="3539">
      <c r="A3539" t="inlineStr">
        <is>
          <t>2bfb59b2-787f-4396-8667-b63fee899778.jpg</t>
        </is>
      </c>
      <c r="B3539">
        <f>HYPERLINK("Объекты недвижимости, не соответствующие градостроительным нормам_00-022_Август/2bfb59b2-787f-4396-8667-b63fee899778.jpg","open")</f>
        <v/>
      </c>
      <c r="C3539" t="inlineStr">
        <is>
          <t>685d9054-b74f-49ab-857b-109fd2cec80d</t>
        </is>
      </c>
      <c r="D3539" t="n">
        <v>55.74946</v>
      </c>
      <c r="E3539" t="n">
        <v>37.69788</v>
      </c>
      <c r="F3539" t="inlineStr"/>
      <c r="G3539" t="inlineStr"/>
      <c r="H3539" t="inlineStr"/>
    </row>
    <row r="3540">
      <c r="A3540" t="inlineStr">
        <is>
          <t>5d67802a-1eba-4e73-8d14-4df8faf6f318.jpg</t>
        </is>
      </c>
      <c r="B3540">
        <f>HYPERLINK("Объекты недвижимости, не соответствующие градостроительным нормам_00-022_Август/5d67802a-1eba-4e73-8d14-4df8faf6f318.jpg","open")</f>
        <v/>
      </c>
      <c r="C3540" t="inlineStr">
        <is>
          <t>61936922-4d4b-458e-80ea-6d4c450aa1d5</t>
        </is>
      </c>
      <c r="D3540" t="n">
        <v>55.64595</v>
      </c>
      <c r="E3540" t="n">
        <v>37.58014</v>
      </c>
      <c r="F3540" t="inlineStr"/>
      <c r="G3540" t="inlineStr"/>
      <c r="H3540" t="inlineStr"/>
    </row>
    <row r="3541">
      <c r="A3541" t="inlineStr">
        <is>
          <t>89556b4e-1d5d-43c5-acd0-90ec54350f6f.jpg</t>
        </is>
      </c>
      <c r="B3541">
        <f>HYPERLINK("Объекты недвижимости, не соответствующие градостроительным нормам_00-022_Август/89556b4e-1d5d-43c5-acd0-90ec54350f6f.jpg","open")</f>
        <v/>
      </c>
      <c r="C3541" t="inlineStr">
        <is>
          <t>1c951e11-4940-43c6-a447-394097e5609a</t>
        </is>
      </c>
      <c r="D3541" t="n">
        <v>55.7634</v>
      </c>
      <c r="E3541" t="n">
        <v>37.75117</v>
      </c>
      <c r="F3541" t="inlineStr"/>
      <c r="G3541" t="inlineStr"/>
      <c r="H3541" t="inlineStr"/>
    </row>
    <row r="3542">
      <c r="A3542" t="inlineStr">
        <is>
          <t>2b8136e4-64e2-4c92-8e8a-f82681906b20.jpg</t>
        </is>
      </c>
      <c r="B3542">
        <f>HYPERLINK("Объекты недвижимости, не соответствующие градостроительным нормам_00-022_Август/2b8136e4-64e2-4c92-8e8a-f82681906b20.jpg","open")</f>
        <v/>
      </c>
      <c r="C3542" t="inlineStr">
        <is>
          <t>685d9054-b74f-49ab-857b-109fd2cec80d</t>
        </is>
      </c>
      <c r="D3542" t="n">
        <v>55.71769</v>
      </c>
      <c r="E3542" t="n">
        <v>37.77188</v>
      </c>
      <c r="F3542" t="inlineStr"/>
      <c r="G3542" t="inlineStr"/>
      <c r="H3542" t="inlineStr"/>
    </row>
    <row r="3543">
      <c r="A3543" t="inlineStr">
        <is>
          <t>3724452d-a435-4981-a5a4-8ae999cf338c.jpg</t>
        </is>
      </c>
      <c r="B3543">
        <f>HYPERLINK("Объекты недвижимости, не соответствующие градостроительным нормам_00-022_Август/3724452d-a435-4981-a5a4-8ae999cf338c.jpg","open")</f>
        <v/>
      </c>
      <c r="C3543" t="inlineStr">
        <is>
          <t>8cde1fd0-eca1-4510-86ab-3c743b65fdfc</t>
        </is>
      </c>
      <c r="D3543" t="n">
        <v>55.75395</v>
      </c>
      <c r="E3543" t="n">
        <v>37.72912</v>
      </c>
      <c r="F3543" t="inlineStr"/>
      <c r="G3543" t="inlineStr"/>
      <c r="H3543" t="inlineStr"/>
    </row>
    <row r="3544">
      <c r="A3544" t="inlineStr">
        <is>
          <t>c9b0c607-07e4-4fb9-b684-123ff99bb46a.jpg</t>
        </is>
      </c>
      <c r="B3544">
        <f>HYPERLINK("Объекты недвижимости, не соответствующие градостроительным нормам_00-022_Август/c9b0c607-07e4-4fb9-b684-123ff99bb46a.jpg","open")</f>
        <v/>
      </c>
      <c r="C3544" t="inlineStr">
        <is>
          <t>caa4772d-6278-4484-a046-ee25514bf521</t>
        </is>
      </c>
      <c r="D3544" t="n">
        <v>55.52489</v>
      </c>
      <c r="E3544" t="n">
        <v>37.61018</v>
      </c>
      <c r="F3544" t="inlineStr"/>
      <c r="G3544" t="inlineStr"/>
      <c r="H3544" t="inlineStr"/>
    </row>
    <row r="3545">
      <c r="A3545" t="inlineStr">
        <is>
          <t>acd57532-525f-4bef-8114-6e83a67963de.jpg</t>
        </is>
      </c>
      <c r="B3545">
        <f>HYPERLINK("Объекты недвижимости, не соответствующие градостроительным нормам_00-022_Август/acd57532-525f-4bef-8114-6e83a67963de.jpg","open")</f>
        <v/>
      </c>
      <c r="C3545" t="inlineStr">
        <is>
          <t>8cde1fd0-eca1-4510-86ab-3c743b65fdfc</t>
        </is>
      </c>
      <c r="D3545" t="n">
        <v>55.749</v>
      </c>
      <c r="E3545" t="n">
        <v>37.70389</v>
      </c>
      <c r="F3545" t="inlineStr"/>
      <c r="G3545" t="inlineStr"/>
      <c r="H3545" t="inlineStr"/>
    </row>
    <row r="3546">
      <c r="A3546" t="inlineStr">
        <is>
          <t>8c5de962-7796-4711-8679-4b66bbe03ab6.jpg</t>
        </is>
      </c>
      <c r="B3546">
        <f>HYPERLINK("Объекты недвижимости, не соответствующие градостроительным нормам_00-022_Август/8c5de962-7796-4711-8679-4b66bbe03ab6.jpg","open")</f>
        <v/>
      </c>
      <c r="C3546" t="inlineStr">
        <is>
          <t>8cde1fd0-eca1-4510-86ab-3c743b65fdfc</t>
        </is>
      </c>
      <c r="D3546" t="n">
        <v>55.74864</v>
      </c>
      <c r="E3546" t="n">
        <v>37.69959</v>
      </c>
      <c r="F3546" t="inlineStr"/>
      <c r="G3546" t="inlineStr"/>
      <c r="H3546" t="inlineStr"/>
    </row>
    <row r="3547">
      <c r="A3547" t="inlineStr">
        <is>
          <t>3fb37655-25c2-4268-80fd-19a1d850053d.jpg</t>
        </is>
      </c>
      <c r="B3547">
        <f>HYPERLINK("Объекты недвижимости, не соответствующие градостроительным нормам_00-022_Август/3fb37655-25c2-4268-80fd-19a1d850053d.jpg","open")</f>
        <v/>
      </c>
      <c r="C3547" t="inlineStr">
        <is>
          <t>1c951e11-4940-43c6-a447-394097e5609a</t>
        </is>
      </c>
      <c r="D3547" t="n">
        <v>55.74904</v>
      </c>
      <c r="E3547" t="n">
        <v>37.69956</v>
      </c>
      <c r="F3547" t="inlineStr"/>
      <c r="G3547" t="inlineStr"/>
      <c r="H3547" t="inlineStr"/>
    </row>
    <row r="3548">
      <c r="A3548" t="inlineStr">
        <is>
          <t>5ee3ef49-e738-4527-b535-90c66ee0909b.jpg</t>
        </is>
      </c>
      <c r="B3548">
        <f>HYPERLINK("Объекты недвижимости, не соответствующие градостроительным нормам_00-022_Август/5ee3ef49-e738-4527-b535-90c66ee0909b.jpg","open")</f>
        <v/>
      </c>
      <c r="C3548" t="inlineStr">
        <is>
          <t>8cde1fd0-eca1-4510-86ab-3c743b65fdfc</t>
        </is>
      </c>
      <c r="D3548" t="n">
        <v>55.74907</v>
      </c>
      <c r="E3548" t="n">
        <v>37.69953</v>
      </c>
      <c r="F3548" t="inlineStr"/>
      <c r="G3548" t="inlineStr"/>
      <c r="H3548" t="inlineStr"/>
    </row>
    <row r="3549">
      <c r="A3549" t="inlineStr">
        <is>
          <t>f33ea900-63be-48cf-830a-ea7f2ac315c6.jpg</t>
        </is>
      </c>
      <c r="B3549">
        <f>HYPERLINK("Объекты недвижимости, не соответствующие градостроительным нормам_00-022_Август/f33ea900-63be-48cf-830a-ea7f2ac315c6.jpg","open")</f>
        <v/>
      </c>
      <c r="C3549" t="inlineStr">
        <is>
          <t>8cde1fd0-eca1-4510-86ab-3c743b65fdfc</t>
        </is>
      </c>
      <c r="D3549" t="n">
        <v>55.74918</v>
      </c>
      <c r="E3549" t="n">
        <v>37.69941</v>
      </c>
      <c r="F3549" t="inlineStr"/>
      <c r="G3549" t="inlineStr"/>
      <c r="H3549" t="inlineStr"/>
    </row>
    <row r="3550">
      <c r="A3550" t="inlineStr">
        <is>
          <t>395d01e3-137d-4744-90b2-93be2a622a79.jpg</t>
        </is>
      </c>
      <c r="B3550">
        <f>HYPERLINK("Объекты недвижимости, не соответствующие градостроительным нормам_00-022_Август/395d01e3-137d-4744-90b2-93be2a622a79.jpg","open")</f>
        <v/>
      </c>
      <c r="C3550" t="inlineStr">
        <is>
          <t>8cde1fd0-eca1-4510-86ab-3c743b65fdfc</t>
        </is>
      </c>
      <c r="D3550" t="n">
        <v>55.74962</v>
      </c>
      <c r="E3550" t="n">
        <v>37.69874</v>
      </c>
      <c r="F3550" t="inlineStr"/>
      <c r="G3550" t="inlineStr"/>
      <c r="H3550" t="inlineStr"/>
    </row>
    <row r="3551">
      <c r="A3551" t="inlineStr">
        <is>
          <t>9bfcaad6-8cd1-4a49-b312-eaac77a2bec5.jpg</t>
        </is>
      </c>
      <c r="B3551">
        <f>HYPERLINK("Объекты недвижимости, не соответствующие градостроительным нормам_00-022_Август/9bfcaad6-8cd1-4a49-b312-eaac77a2bec5.jpg","open")</f>
        <v/>
      </c>
      <c r="C3551" t="inlineStr">
        <is>
          <t>8cde1fd0-eca1-4510-86ab-3c743b65fdfc</t>
        </is>
      </c>
      <c r="D3551" t="n">
        <v>55.75034</v>
      </c>
      <c r="E3551" t="n">
        <v>37.69784</v>
      </c>
      <c r="F3551" t="inlineStr"/>
      <c r="G3551" t="inlineStr"/>
      <c r="H3551" t="inlineStr"/>
    </row>
    <row r="3552">
      <c r="A3552" t="inlineStr">
        <is>
          <t>721e8d5f-1d50-44dd-8130-8d911267f03c.jpg</t>
        </is>
      </c>
      <c r="B3552">
        <f>HYPERLINK("Объекты недвижимости, не соответствующие градостроительным нормам_00-022_Август/721e8d5f-1d50-44dd-8130-8d911267f03c.jpg","open")</f>
        <v/>
      </c>
      <c r="C3552" t="inlineStr">
        <is>
          <t>1a55986c-2c3f-40c0-b3d1-014dce77832e</t>
        </is>
      </c>
      <c r="D3552" t="n">
        <v>55.85528</v>
      </c>
      <c r="E3552" t="n">
        <v>37.67218</v>
      </c>
      <c r="F3552" t="inlineStr"/>
      <c r="G3552" t="inlineStr"/>
      <c r="H3552" t="inlineStr"/>
    </row>
    <row r="3553">
      <c r="A3553" t="inlineStr">
        <is>
          <t>64f6a35d-849f-43e4-982e-ae58d25a88e7.jpg</t>
        </is>
      </c>
      <c r="B3553">
        <f>HYPERLINK("Объекты недвижимости, не соответствующие градостроительным нормам_00-022_Август/64f6a35d-849f-43e4-982e-ae58d25a88e7.jpg","open")</f>
        <v/>
      </c>
      <c r="C3553" t="inlineStr">
        <is>
          <t>8cde1fd0-eca1-4510-86ab-3c743b65fdfc</t>
        </is>
      </c>
      <c r="D3553" t="n">
        <v>55.75526</v>
      </c>
      <c r="E3553" t="n">
        <v>37.69154</v>
      </c>
      <c r="F3553" t="inlineStr"/>
      <c r="G3553" t="inlineStr"/>
      <c r="H3553" t="inlineStr"/>
    </row>
    <row r="3554">
      <c r="A3554" t="inlineStr">
        <is>
          <t>330d5473-56bf-40a1-b670-37e294ac671f.jpg</t>
        </is>
      </c>
      <c r="B3554">
        <f>HYPERLINK("Объекты недвижимости, не соответствующие градостроительным нормам_00-022_Август/330d5473-56bf-40a1-b670-37e294ac671f.jpg","open")</f>
        <v/>
      </c>
      <c r="C3554" t="inlineStr">
        <is>
          <t>8cde1fd0-eca1-4510-86ab-3c743b65fdfc</t>
        </is>
      </c>
      <c r="D3554" t="n">
        <v>55.75948</v>
      </c>
      <c r="E3554" t="n">
        <v>37.70777</v>
      </c>
      <c r="F3554" t="inlineStr"/>
      <c r="G3554" t="inlineStr"/>
      <c r="H3554" t="inlineStr"/>
    </row>
    <row r="3555">
      <c r="A3555" t="inlineStr">
        <is>
          <t>65e3ea4c-ee7c-4df4-a4a2-fb54dc44b85b.jpg</t>
        </is>
      </c>
      <c r="B3555">
        <f>HYPERLINK("Объекты недвижимости, не соответствующие градостроительным нормам_00-022_Август/65e3ea4c-ee7c-4df4-a4a2-fb54dc44b85b.jpg","open")</f>
        <v/>
      </c>
      <c r="C3555" t="inlineStr">
        <is>
          <t>b0b7ea82-53be-40d0-b992-e2fd18611d5c</t>
        </is>
      </c>
      <c r="D3555" t="n">
        <v>55.73642</v>
      </c>
      <c r="E3555" t="n">
        <v>37.70454</v>
      </c>
      <c r="F3555" t="inlineStr"/>
      <c r="G3555" t="inlineStr"/>
      <c r="H3555" t="inlineStr"/>
    </row>
    <row r="3556">
      <c r="A3556" t="inlineStr">
        <is>
          <t>c0d5bb11-bc19-4abe-ba78-bea17311a908.jpg</t>
        </is>
      </c>
      <c r="B3556">
        <f>HYPERLINK("Объекты недвижимости, не соответствующие градостроительным нормам_00-022_Август/c0d5bb11-bc19-4abe-ba78-bea17311a908.jpg","open")</f>
        <v/>
      </c>
      <c r="C3556" t="inlineStr">
        <is>
          <t>b0b7ea82-53be-40d0-b992-e2fd18611d5c</t>
        </is>
      </c>
      <c r="D3556" t="n">
        <v>55.74892</v>
      </c>
      <c r="E3556" t="n">
        <v>37.69832</v>
      </c>
      <c r="F3556" t="inlineStr"/>
      <c r="G3556" t="inlineStr"/>
      <c r="H3556" t="inlineStr"/>
    </row>
    <row r="3557">
      <c r="A3557" t="inlineStr">
        <is>
          <t>33fdbe95-6dc5-4caa-a16d-37fa7770cba7.jpg</t>
        </is>
      </c>
      <c r="B3557">
        <f>HYPERLINK("Объекты недвижимости, не соответствующие градостроительным нормам_00-022_Август/33fdbe95-6dc5-4caa-a16d-37fa7770cba7.jpg","open")</f>
        <v/>
      </c>
      <c r="C3557" t="inlineStr">
        <is>
          <t>b0429a31-0c70-4b9f-8ea5-73929d82f89e</t>
        </is>
      </c>
      <c r="D3557" t="n">
        <v>55.74135</v>
      </c>
      <c r="E3557" t="n">
        <v>37.69768</v>
      </c>
      <c r="F3557" t="inlineStr"/>
      <c r="G3557" t="inlineStr"/>
      <c r="H3557" t="inlineStr"/>
    </row>
    <row r="3558">
      <c r="A3558" t="inlineStr">
        <is>
          <t>83574587-46e0-4750-a3b5-551afdea7992.jpg</t>
        </is>
      </c>
      <c r="B3558">
        <f>HYPERLINK("Объекты недвижимости, не соответствующие градостроительным нормам_00-022_Август/83574587-46e0-4750-a3b5-551afdea7992.jpg","open")</f>
        <v/>
      </c>
      <c r="C3558" t="inlineStr">
        <is>
          <t>1a55986c-2c3f-40c0-b3d1-014dce77832e</t>
        </is>
      </c>
      <c r="D3558" t="n">
        <v>55.79462</v>
      </c>
      <c r="E3558" t="n">
        <v>37.63401</v>
      </c>
      <c r="F3558" t="inlineStr"/>
      <c r="G3558" t="inlineStr"/>
      <c r="H3558" t="inlineStr"/>
    </row>
    <row r="3559">
      <c r="A3559" t="inlineStr">
        <is>
          <t>dd9ec729-48a9-472f-bd88-d59d8fd8fb26.jpg</t>
        </is>
      </c>
      <c r="B3559">
        <f>HYPERLINK("Объекты недвижимости, не соответствующие градостроительным нормам_00-022_Август/dd9ec729-48a9-472f-bd88-d59d8fd8fb26.jpg","open")</f>
        <v/>
      </c>
      <c r="C3559" t="inlineStr">
        <is>
          <t>ed2bf0f1-3a66-4913-896e-4420a9796c0b</t>
        </is>
      </c>
      <c r="D3559" t="n">
        <v>55.77746</v>
      </c>
      <c r="E3559" t="n">
        <v>37.67928</v>
      </c>
      <c r="F3559" t="inlineStr"/>
      <c r="G3559" t="inlineStr"/>
      <c r="H3559" t="inlineStr"/>
    </row>
    <row r="3560">
      <c r="A3560" t="inlineStr">
        <is>
          <t>ffbb2fc1-8007-4362-a6db-9543ac7614eb.jpg</t>
        </is>
      </c>
      <c r="B3560">
        <f>HYPERLINK("Объекты недвижимости, не соответствующие градостроительным нормам_00-022_Август/ffbb2fc1-8007-4362-a6db-9543ac7614eb.jpg","open")</f>
        <v/>
      </c>
      <c r="C3560" t="inlineStr">
        <is>
          <t>ed2bf0f1-3a66-4913-896e-4420a9796c0b</t>
        </is>
      </c>
      <c r="D3560" t="n">
        <v>55.77936</v>
      </c>
      <c r="E3560" t="n">
        <v>37.697</v>
      </c>
      <c r="F3560" t="inlineStr"/>
      <c r="G3560" t="inlineStr"/>
      <c r="H3560" t="inlineStr"/>
    </row>
    <row r="3561">
      <c r="A3561" t="inlineStr">
        <is>
          <t>2103c0ca-d171-435b-820d-1c103cb91d8e.jpg</t>
        </is>
      </c>
      <c r="B3561">
        <f>HYPERLINK("Объекты недвижимости, не соответствующие градостроительным нормам_00-022_Август/2103c0ca-d171-435b-820d-1c103cb91d8e.jpg","open")</f>
        <v/>
      </c>
      <c r="C3561" t="inlineStr">
        <is>
          <t>1a55986c-2c3f-40c0-b3d1-014dce77832e</t>
        </is>
      </c>
      <c r="D3561" t="n">
        <v>55.77936</v>
      </c>
      <c r="E3561" t="n">
        <v>37.697</v>
      </c>
      <c r="F3561" t="inlineStr"/>
      <c r="G3561" t="inlineStr"/>
      <c r="H3561" t="inlineStr"/>
    </row>
    <row r="3562">
      <c r="A3562" t="inlineStr">
        <is>
          <t>b23536d1-1fc3-491d-9c7a-e0f1d3ab4887.jpg</t>
        </is>
      </c>
      <c r="B3562">
        <f>HYPERLINK("Объекты недвижимости, не соответствующие градостроительным нормам_00-022_Август/b23536d1-1fc3-491d-9c7a-e0f1d3ab4887.jpg","open")</f>
        <v/>
      </c>
      <c r="C3562" t="inlineStr">
        <is>
          <t>ed2bf0f1-3a66-4913-896e-4420a9796c0b</t>
        </is>
      </c>
      <c r="D3562" t="n">
        <v>55.77936</v>
      </c>
      <c r="E3562" t="n">
        <v>37.697</v>
      </c>
      <c r="F3562" t="inlineStr"/>
      <c r="G3562" t="inlineStr"/>
      <c r="H3562" t="inlineStr"/>
    </row>
    <row r="3563">
      <c r="A3563" t="inlineStr">
        <is>
          <t>40c7bc17-4af9-4aa0-92af-59d5e21930eb.jpg</t>
        </is>
      </c>
      <c r="B3563">
        <f>HYPERLINK("Объекты недвижимости, не соответствующие градостроительным нормам_00-022_Август/40c7bc17-4af9-4aa0-92af-59d5e21930eb.jpg","open")</f>
        <v/>
      </c>
      <c r="C3563" t="inlineStr">
        <is>
          <t>9c930d0e-e445-452d-a046-325646b21ab7</t>
        </is>
      </c>
      <c r="D3563" t="n">
        <v>55.87021</v>
      </c>
      <c r="E3563" t="n">
        <v>37.65389</v>
      </c>
      <c r="F3563" t="inlineStr"/>
      <c r="G3563" t="inlineStr"/>
      <c r="H3563" t="inlineStr"/>
    </row>
    <row r="3564">
      <c r="A3564" t="inlineStr">
        <is>
          <t>da4753f5-b776-458c-b0c3-07691c07a507.jpg</t>
        </is>
      </c>
      <c r="B3564">
        <f>HYPERLINK("Объекты недвижимости, не соответствующие градостроительным нормам_00-022_Август/da4753f5-b776-458c-b0c3-07691c07a507.jpg","open")</f>
        <v/>
      </c>
      <c r="C3564" t="inlineStr">
        <is>
          <t>fb40ed24-21ef-458a-a239-038ab19932cc</t>
        </is>
      </c>
      <c r="D3564" t="n">
        <v>55.81718</v>
      </c>
      <c r="E3564" t="n">
        <v>37.77805</v>
      </c>
      <c r="F3564" t="inlineStr"/>
      <c r="G3564" t="inlineStr"/>
      <c r="H3564" t="inlineStr"/>
    </row>
    <row r="3565">
      <c r="A3565" t="inlineStr">
        <is>
          <t>357b7eed-2d6e-4e78-848d-23497d503ca0.jpg</t>
        </is>
      </c>
      <c r="B3565">
        <f>HYPERLINK("Объекты недвижимости, не соответствующие градостроительным нормам_00-022_Август/357b7eed-2d6e-4e78-848d-23497d503ca0.jpg","open")</f>
        <v/>
      </c>
      <c r="C3565" t="inlineStr">
        <is>
          <t>f389b777-2837-46f0-983f-56af24850601</t>
        </is>
      </c>
      <c r="D3565" t="n">
        <v>55.74641</v>
      </c>
      <c r="E3565" t="n">
        <v>37.65783</v>
      </c>
      <c r="F3565" t="inlineStr"/>
      <c r="G3565" t="inlineStr"/>
      <c r="H3565" t="inlineStr"/>
    </row>
    <row r="3566">
      <c r="A3566" t="inlineStr">
        <is>
          <t>2bee9145-05c5-4428-aee8-5b4045a2f1d8.jpg</t>
        </is>
      </c>
      <c r="B3566">
        <f>HYPERLINK("Объекты недвижимости, не соответствующие градостроительным нормам_00-022_Август/2bee9145-05c5-4428-aee8-5b4045a2f1d8.jpg","open")</f>
        <v/>
      </c>
      <c r="C3566" t="inlineStr">
        <is>
          <t>57812597-37e6-414c-8b11-8c661dbfeb70</t>
        </is>
      </c>
      <c r="D3566" t="n">
        <v>55.74641</v>
      </c>
      <c r="E3566" t="n">
        <v>37.65783</v>
      </c>
      <c r="F3566" t="inlineStr"/>
      <c r="G3566" t="inlineStr"/>
      <c r="H3566" t="inlineStr"/>
    </row>
    <row r="3567">
      <c r="A3567" t="inlineStr">
        <is>
          <t>2c9f7ad6-788f-44f0-8da0-987b6f58aa54.jpg</t>
        </is>
      </c>
      <c r="B3567">
        <f>HYPERLINK("Объекты недвижимости, не соответствующие градостроительным нормам_00-022_Август/2c9f7ad6-788f-44f0-8da0-987b6f58aa54.jpg","open")</f>
        <v/>
      </c>
      <c r="C3567" t="inlineStr">
        <is>
          <t>ab4e767f-65c0-455b-af20-a5527124fd21</t>
        </is>
      </c>
      <c r="D3567" t="n">
        <v>55.67311</v>
      </c>
      <c r="E3567" t="n">
        <v>37.76146</v>
      </c>
      <c r="F3567" t="inlineStr"/>
      <c r="G3567" t="inlineStr"/>
      <c r="H3567" t="inlineStr"/>
    </row>
    <row r="3568">
      <c r="A3568" t="inlineStr">
        <is>
          <t>56d46f80-5164-4b86-bff9-63da2c48e28d.jpg</t>
        </is>
      </c>
      <c r="B3568">
        <f>HYPERLINK("Объекты недвижимости, не соответствующие градостроительным нормам_00-022_Август/56d46f80-5164-4b86-bff9-63da2c48e28d.jpg","open")</f>
        <v/>
      </c>
      <c r="C3568" t="inlineStr">
        <is>
          <t>ab4e767f-65c0-455b-af20-a5527124fd21</t>
        </is>
      </c>
      <c r="D3568" t="n">
        <v>55.67326</v>
      </c>
      <c r="E3568" t="n">
        <v>37.7617</v>
      </c>
      <c r="F3568" t="inlineStr"/>
      <c r="G3568" t="inlineStr"/>
      <c r="H3568" t="inlineStr"/>
    </row>
    <row r="3569">
      <c r="A3569" t="inlineStr">
        <is>
          <t>ab5391c5-521f-4e79-bac3-afa6fa3aa795.jpg</t>
        </is>
      </c>
      <c r="B3569">
        <f>HYPERLINK("Объекты недвижимости, не соответствующие градостроительным нормам_00-022_Август/ab5391c5-521f-4e79-bac3-afa6fa3aa795.jpg","open")</f>
        <v/>
      </c>
      <c r="C3569" t="inlineStr">
        <is>
          <t>f9ad0a8f-1e33-4fca-bdfe-5b844d3ee381</t>
        </is>
      </c>
      <c r="D3569" t="n">
        <v>55.67326</v>
      </c>
      <c r="E3569" t="n">
        <v>37.7617</v>
      </c>
      <c r="F3569" t="inlineStr"/>
      <c r="G3569" t="inlineStr"/>
      <c r="H3569" t="inlineStr"/>
    </row>
    <row r="3570">
      <c r="A3570" t="inlineStr">
        <is>
          <t>987e72a9-c8d9-4420-89ad-6652cf6950a7.jpg</t>
        </is>
      </c>
      <c r="B3570">
        <f>HYPERLINK("Объекты недвижимости, не соответствующие градостроительным нормам_00-022_Август/987e72a9-c8d9-4420-89ad-6652cf6950a7.jpg","open")</f>
        <v/>
      </c>
      <c r="C3570" t="inlineStr">
        <is>
          <t>57812597-37e6-414c-8b11-8c661dbfeb70</t>
        </is>
      </c>
      <c r="D3570" t="n">
        <v>55.74641</v>
      </c>
      <c r="E3570" t="n">
        <v>37.65783</v>
      </c>
      <c r="F3570" t="inlineStr"/>
      <c r="G3570" t="inlineStr"/>
      <c r="H3570" t="inlineStr"/>
    </row>
    <row r="3571">
      <c r="A3571" t="inlineStr">
        <is>
          <t>db132a59-4e5c-4437-84c6-808cb0b6e0e8.jpg</t>
        </is>
      </c>
      <c r="B3571">
        <f>HYPERLINK("Объекты недвижимости, не соответствующие градостроительным нормам_00-022_Август/db132a59-4e5c-4437-84c6-808cb0b6e0e8.jpg","open")</f>
        <v/>
      </c>
      <c r="C3571" t="inlineStr">
        <is>
          <t>57812597-37e6-414c-8b11-8c661dbfeb70</t>
        </is>
      </c>
      <c r="D3571" t="n">
        <v>55.68412</v>
      </c>
      <c r="E3571" t="n">
        <v>37.51956</v>
      </c>
      <c r="F3571" t="inlineStr"/>
      <c r="G3571" t="inlineStr"/>
      <c r="H3571" t="inlineStr"/>
    </row>
    <row r="3572">
      <c r="A3572" t="inlineStr">
        <is>
          <t>95da3b5a-0b1c-421e-b53e-24fd15f760f5.jpg</t>
        </is>
      </c>
      <c r="B3572">
        <f>HYPERLINK("Объекты недвижимости, не соответствующие градостроительным нормам_00-022_Август/95da3b5a-0b1c-421e-b53e-24fd15f760f5.jpg","open")</f>
        <v/>
      </c>
      <c r="C3572" t="inlineStr">
        <is>
          <t>e90a3ac0-5b70-4ede-abeb-382371713306</t>
        </is>
      </c>
      <c r="D3572" t="n">
        <v>55.70586</v>
      </c>
      <c r="E3572" t="n">
        <v>37.61955</v>
      </c>
      <c r="F3572" t="inlineStr"/>
      <c r="G3572" t="inlineStr"/>
      <c r="H3572" t="inlineStr"/>
    </row>
    <row r="3573">
      <c r="A3573" t="inlineStr">
        <is>
          <t>83f004f9-6549-4bca-bfd0-9af43f849efb.jpg</t>
        </is>
      </c>
      <c r="B3573">
        <f>HYPERLINK("Объекты недвижимости, не соответствующие градостроительным нормам_00-022_Август/83f004f9-6549-4bca-bfd0-9af43f849efb.jpg","open")</f>
        <v/>
      </c>
      <c r="C3573" t="inlineStr">
        <is>
          <t>ab4e767f-65c0-455b-af20-a5527124fd21</t>
        </is>
      </c>
      <c r="D3573" t="n">
        <v>55.71309</v>
      </c>
      <c r="E3573" t="n">
        <v>37.71926</v>
      </c>
      <c r="F3573" t="inlineStr"/>
      <c r="G3573" t="inlineStr"/>
      <c r="H3573" t="inlineStr"/>
    </row>
    <row r="3574">
      <c r="A3574" t="inlineStr">
        <is>
          <t>b0042638-a562-4543-8370-fc2394d44b5a.jpg</t>
        </is>
      </c>
      <c r="B3574">
        <f>HYPERLINK("Объекты недвижимости, не соответствующие градостроительным нормам_00-022_Август/b0042638-a562-4543-8370-fc2394d44b5a.jpg","open")</f>
        <v/>
      </c>
      <c r="C3574" t="inlineStr">
        <is>
          <t>db8b536c-32f2-4d9a-ae08-679d227e61f1</t>
        </is>
      </c>
      <c r="D3574" t="n">
        <v>55.68806</v>
      </c>
      <c r="E3574" t="n">
        <v>37.58556</v>
      </c>
      <c r="F3574" t="inlineStr"/>
      <c r="G3574" t="inlineStr"/>
      <c r="H3574" t="inlineStr"/>
    </row>
    <row r="3575">
      <c r="A3575" t="inlineStr">
        <is>
          <t>16f70714-8cd1-4fde-bd20-2fb5cc1a6c0c.jpg</t>
        </is>
      </c>
      <c r="B3575">
        <f>HYPERLINK("Объекты недвижимости, не соответствующие градостроительным нормам_00-022_Август/16f70714-8cd1-4fde-bd20-2fb5cc1a6c0c.jpg","open")</f>
        <v/>
      </c>
      <c r="C3575" t="inlineStr">
        <is>
          <t>ab4e767f-65c0-455b-af20-a5527124fd21</t>
        </is>
      </c>
      <c r="D3575" t="n">
        <v>55.72057</v>
      </c>
      <c r="E3575" t="n">
        <v>37.70086</v>
      </c>
      <c r="F3575" t="inlineStr"/>
      <c r="G3575" t="inlineStr"/>
      <c r="H3575" t="inlineStr"/>
    </row>
    <row r="3576">
      <c r="A3576" t="inlineStr">
        <is>
          <t>8ae18df1-3225-45f1-afed-d3005bbc2639.jpg</t>
        </is>
      </c>
      <c r="B3576">
        <f>HYPERLINK("Объекты недвижимости, не соответствующие градостроительным нормам_00-022_Август/8ae18df1-3225-45f1-afed-d3005bbc2639.jpg","open")</f>
        <v/>
      </c>
      <c r="C3576" t="inlineStr">
        <is>
          <t>fb40ed24-21ef-458a-a239-038ab19932cc</t>
        </is>
      </c>
      <c r="D3576" t="n">
        <v>55.8171</v>
      </c>
      <c r="E3576" t="n">
        <v>37.77818</v>
      </c>
      <c r="F3576" t="inlineStr"/>
      <c r="G3576" t="inlineStr"/>
      <c r="H3576" t="inlineStr"/>
    </row>
    <row r="3577">
      <c r="A3577" t="inlineStr">
        <is>
          <t>d5b34c11-0c36-4d48-a86f-3d554270d790.jpg</t>
        </is>
      </c>
      <c r="B3577">
        <f>HYPERLINK("Объекты недвижимости, не соответствующие градостроительным нормам_00-022_Август/d5b34c11-0c36-4d48-a86f-3d554270d790.jpg","open")</f>
        <v/>
      </c>
      <c r="C3577" t="inlineStr">
        <is>
          <t>31a713a9-b910-424b-b847-e0eaa2f70c70</t>
        </is>
      </c>
      <c r="D3577" t="n">
        <v>55.76857</v>
      </c>
      <c r="E3577" t="n">
        <v>37.66871</v>
      </c>
      <c r="F3577" t="inlineStr"/>
      <c r="G3577" t="inlineStr"/>
      <c r="H3577" t="inlineStr"/>
    </row>
    <row r="3578">
      <c r="A3578" t="inlineStr">
        <is>
          <t>abbb83cb-3f4c-48fd-9ad2-1b561e99dc4e.jpg</t>
        </is>
      </c>
      <c r="B3578">
        <f>HYPERLINK("Объекты недвижимости, не соответствующие градостроительным нормам_00-022_Август/abbb83cb-3f4c-48fd-9ad2-1b561e99dc4e.jpg","open")</f>
        <v/>
      </c>
      <c r="C3578" t="inlineStr">
        <is>
          <t>036c664f-5408-4fd0-b479-342c00468eeb</t>
        </is>
      </c>
      <c r="D3578" t="n">
        <v>55.78426</v>
      </c>
      <c r="E3578" t="n">
        <v>37.53798</v>
      </c>
      <c r="F3578" t="inlineStr"/>
      <c r="G3578" t="inlineStr"/>
      <c r="H3578" t="inlineStr"/>
    </row>
    <row r="3579">
      <c r="A3579" t="inlineStr">
        <is>
          <t>0b264626-ba2f-4335-8532-33a419820494.jpg</t>
        </is>
      </c>
      <c r="B3579">
        <f>HYPERLINK("Объекты недвижимости, не соответствующие градостроительным нормам_00-022_Август/0b264626-ba2f-4335-8532-33a419820494.jpg","open")</f>
        <v/>
      </c>
      <c r="C3579" t="inlineStr">
        <is>
          <t>b6b3590f-f506-4399-8205-e7ac710132e7</t>
        </is>
      </c>
      <c r="D3579" t="n">
        <v>55.81</v>
      </c>
      <c r="E3579" t="n">
        <v>37.53594</v>
      </c>
      <c r="F3579" t="inlineStr"/>
      <c r="G3579" t="inlineStr"/>
      <c r="H3579" t="inlineStr"/>
    </row>
    <row r="3580">
      <c r="A3580" t="inlineStr">
        <is>
          <t>44c6921c-356a-4ab1-accf-c0ef876bbd22.jpg</t>
        </is>
      </c>
      <c r="B3580">
        <f>HYPERLINK("Объекты недвижимости, не соответствующие градостроительным нормам_00-022_Август/44c6921c-356a-4ab1-accf-c0ef876bbd22.jpg","open")</f>
        <v/>
      </c>
      <c r="C3580" t="inlineStr">
        <is>
          <t>1231bbc5-e64c-4dc7-9acc-77710f47607a</t>
        </is>
      </c>
      <c r="D3580" t="n">
        <v>55.8588</v>
      </c>
      <c r="E3580" t="n">
        <v>37.36881</v>
      </c>
      <c r="F3580" t="inlineStr"/>
      <c r="G3580" t="inlineStr"/>
      <c r="H3580" t="inlineStr"/>
    </row>
    <row r="3581">
      <c r="A3581" t="inlineStr">
        <is>
          <t>051f27b9-8ae0-43f4-8539-6e5f175fc91f.jpg</t>
        </is>
      </c>
      <c r="B3581">
        <f>HYPERLINK("Объекты недвижимости, не соответствующие градостроительным нормам_00-022_Август/051f27b9-8ae0-43f4-8539-6e5f175fc91f.jpg","open")</f>
        <v/>
      </c>
      <c r="C3581" t="inlineStr">
        <is>
          <t>12e795ad-2aa7-49de-b2da-2c6aa35a4559</t>
        </is>
      </c>
      <c r="D3581" t="n">
        <v>55.75575</v>
      </c>
      <c r="E3581" t="n">
        <v>37.69318</v>
      </c>
      <c r="F3581" t="inlineStr"/>
      <c r="G3581" t="inlineStr"/>
      <c r="H3581" t="inlineStr"/>
    </row>
    <row r="3582">
      <c r="A3582" t="inlineStr">
        <is>
          <t>373b8793-0e2c-4f51-b043-f5baa84578d6.jpg</t>
        </is>
      </c>
      <c r="B3582">
        <f>HYPERLINK("Объекты недвижимости, не соответствующие градостроительным нормам_00-022_Август/373b8793-0e2c-4f51-b043-f5baa84578d6.jpg","open")</f>
        <v/>
      </c>
      <c r="C3582" t="inlineStr">
        <is>
          <t>12e795ad-2aa7-49de-b2da-2c6aa35a4559</t>
        </is>
      </c>
      <c r="D3582" t="n">
        <v>55.75575</v>
      </c>
      <c r="E3582" t="n">
        <v>37.69318</v>
      </c>
      <c r="F3582" t="inlineStr"/>
      <c r="G3582" t="inlineStr"/>
      <c r="H3582" t="inlineStr"/>
    </row>
    <row r="3583">
      <c r="A3583" t="inlineStr">
        <is>
          <t>22264540-c596-4eb9-80a1-a827d33f0262.jpg</t>
        </is>
      </c>
      <c r="B3583">
        <f>HYPERLINK("Объекты недвижимости, не соответствующие градостроительным нормам_00-022_Август/22264540-c596-4eb9-80a1-a827d33f0262.jpg","open")</f>
        <v/>
      </c>
      <c r="C3583" t="inlineStr">
        <is>
          <t>a28f597e-d1cd-4d3b-b572-c86d033412e9</t>
        </is>
      </c>
      <c r="D3583" t="n">
        <v>55.78426</v>
      </c>
      <c r="E3583" t="n">
        <v>37.53798</v>
      </c>
      <c r="F3583" t="inlineStr"/>
      <c r="G3583" t="inlineStr"/>
      <c r="H3583" t="inlineStr"/>
    </row>
    <row r="3584">
      <c r="A3584" t="inlineStr">
        <is>
          <t>504ce2c0-0821-493e-adf9-e39c5410b196.jpg</t>
        </is>
      </c>
      <c r="B3584">
        <f>HYPERLINK("Объекты недвижимости, не соответствующие градостроительным нормам_00-022_Август/504ce2c0-0821-493e-adf9-e39c5410b196.jpg","open")</f>
        <v/>
      </c>
      <c r="C3584" t="inlineStr">
        <is>
          <t>036c664f-5408-4fd0-b479-342c00468eeb</t>
        </is>
      </c>
      <c r="D3584" t="n">
        <v>55.78426</v>
      </c>
      <c r="E3584" t="n">
        <v>37.53798</v>
      </c>
      <c r="F3584" t="inlineStr"/>
      <c r="G3584" t="inlineStr"/>
      <c r="H3584" t="inlineStr"/>
    </row>
    <row r="3585">
      <c r="A3585" t="inlineStr">
        <is>
          <t>6f533e4a-0105-4c50-8f94-eb68aeaa64ee.jpg</t>
        </is>
      </c>
      <c r="B3585">
        <f>HYPERLINK("Объекты недвижимости, не соответствующие градостроительным нормам_00-022_Август/6f533e4a-0105-4c50-8f94-eb68aeaa64ee.jpg","open")</f>
        <v/>
      </c>
      <c r="C3585" t="inlineStr">
        <is>
          <t>b6b3590f-f506-4399-8205-e7ac710132e7</t>
        </is>
      </c>
      <c r="D3585" t="n">
        <v>55.80642</v>
      </c>
      <c r="E3585" t="n">
        <v>37.53778</v>
      </c>
      <c r="F3585" t="inlineStr"/>
      <c r="G3585" t="inlineStr"/>
      <c r="H3585" t="inlineStr"/>
    </row>
    <row r="3586">
      <c r="A3586" t="inlineStr">
        <is>
          <t>b31c17ef-db3f-4796-9171-f1d03d75af90.jpg</t>
        </is>
      </c>
      <c r="B3586">
        <f>HYPERLINK("Объекты недвижимости, не соответствующие градостроительным нормам_00-022_Август/b31c17ef-db3f-4796-9171-f1d03d75af90.jpg","open")</f>
        <v/>
      </c>
      <c r="C3586" t="inlineStr">
        <is>
          <t>b6b3590f-f506-4399-8205-e7ac710132e7</t>
        </is>
      </c>
      <c r="D3586" t="n">
        <v>55.7986</v>
      </c>
      <c r="E3586" t="n">
        <v>37.55206</v>
      </c>
      <c r="F3586" t="inlineStr"/>
      <c r="G3586" t="inlineStr"/>
      <c r="H3586" t="inlineStr"/>
    </row>
    <row r="3587">
      <c r="A3587" t="inlineStr">
        <is>
          <t>ca76e443-8879-486a-8ae2-6a8bb0747c9b.jpg</t>
        </is>
      </c>
      <c r="B3587">
        <f>HYPERLINK("Объекты недвижимости, не соответствующие градостроительным нормам_00-022_Август/ca76e443-8879-486a-8ae2-6a8bb0747c9b.jpg","open")</f>
        <v/>
      </c>
      <c r="C3587" t="inlineStr">
        <is>
          <t>61936922-4d4b-458e-80ea-6d4c450aa1d5</t>
        </is>
      </c>
      <c r="D3587" t="n">
        <v>55.7552</v>
      </c>
      <c r="E3587" t="n">
        <v>37.68955</v>
      </c>
      <c r="F3587" t="inlineStr"/>
      <c r="G3587" t="inlineStr"/>
      <c r="H3587" t="inlineStr"/>
    </row>
    <row r="3588">
      <c r="A3588" t="inlineStr">
        <is>
          <t>c3c179c4-dce7-4415-9a15-a5745f4a0ee6.jpg</t>
        </is>
      </c>
      <c r="B3588">
        <f>HYPERLINK("Объекты недвижимости, не соответствующие градостроительным нормам_00-022_Август/c3c179c4-dce7-4415-9a15-a5745f4a0ee6.jpg","open")</f>
        <v/>
      </c>
      <c r="C3588" t="inlineStr">
        <is>
          <t>ed2bf0f1-3a66-4913-896e-4420a9796c0b</t>
        </is>
      </c>
      <c r="D3588" t="n">
        <v>55.75028</v>
      </c>
      <c r="E3588" t="n">
        <v>37.70846</v>
      </c>
      <c r="F3588" t="inlineStr"/>
      <c r="G3588" t="inlineStr"/>
      <c r="H3588" t="inlineStr"/>
    </row>
    <row r="3589">
      <c r="A3589" t="inlineStr">
        <is>
          <t>064409e1-cd10-4d1b-96dc-ec2ecb28c848.jpg</t>
        </is>
      </c>
      <c r="B3589">
        <f>HYPERLINK("Объекты недвижимости, не соответствующие градостроительным нормам_00-022_Август/064409e1-cd10-4d1b-96dc-ec2ecb28c848.jpg","open")</f>
        <v/>
      </c>
      <c r="C3589" t="inlineStr">
        <is>
          <t>31a713a9-b910-424b-b847-e0eaa2f70c70</t>
        </is>
      </c>
      <c r="D3589" t="n">
        <v>55.77333</v>
      </c>
      <c r="E3589" t="n">
        <v>37.61148</v>
      </c>
      <c r="F3589" t="inlineStr"/>
      <c r="G3589" t="inlineStr"/>
      <c r="H3589" t="inlineStr"/>
    </row>
    <row r="3590">
      <c r="A3590" t="inlineStr">
        <is>
          <t>6fbd7336-4c5f-475d-9709-b954401167a7.jpg</t>
        </is>
      </c>
      <c r="B3590">
        <f>HYPERLINK("Объекты недвижимости, не соответствующие градостроительным нормам_00-022_Август/6fbd7336-4c5f-475d-9709-b954401167a7.jpg","open")</f>
        <v/>
      </c>
      <c r="C3590" t="inlineStr">
        <is>
          <t>61936922-4d4b-458e-80ea-6d4c450aa1d5</t>
        </is>
      </c>
      <c r="D3590" t="n">
        <v>55.7552</v>
      </c>
      <c r="E3590" t="n">
        <v>37.68955</v>
      </c>
      <c r="F3590" t="inlineStr"/>
      <c r="G3590" t="inlineStr"/>
      <c r="H3590" t="inlineStr"/>
    </row>
    <row r="3591">
      <c r="A3591" t="inlineStr">
        <is>
          <t>2181b591-cbca-47c6-b7c4-cacf7f7875ca.jpg</t>
        </is>
      </c>
      <c r="B3591">
        <f>HYPERLINK("Объекты недвижимости, не соответствующие градостроительным нормам_00-022_Август/2181b591-cbca-47c6-b7c4-cacf7f7875ca.jpg","open")</f>
        <v/>
      </c>
      <c r="C3591" t="inlineStr">
        <is>
          <t>5e5b9944-4f9e-4223-bf96-0bc0c8a93dfa</t>
        </is>
      </c>
      <c r="D3591" t="n">
        <v>55.71003</v>
      </c>
      <c r="E3591" t="n">
        <v>37.66487</v>
      </c>
      <c r="F3591" t="inlineStr"/>
      <c r="G3591" t="inlineStr"/>
      <c r="H3591" t="inlineStr"/>
    </row>
    <row r="3592">
      <c r="A3592" t="inlineStr">
        <is>
          <t>c518a1f2-fbd0-4dd9-a00c-df0063f6fe2d.jpg</t>
        </is>
      </c>
      <c r="B3592">
        <f>HYPERLINK("Объекты недвижимости, не соответствующие градостроительным нормам_00-022_Август/c518a1f2-fbd0-4dd9-a00c-df0063f6fe2d.jpg","open")</f>
        <v/>
      </c>
      <c r="C3592" t="inlineStr">
        <is>
          <t>5e5b9944-4f9e-4223-bf96-0bc0c8a93dfa</t>
        </is>
      </c>
      <c r="D3592" t="n">
        <v>55.71003</v>
      </c>
      <c r="E3592" t="n">
        <v>37.66487</v>
      </c>
      <c r="F3592" t="inlineStr"/>
      <c r="G3592" t="inlineStr"/>
      <c r="H3592" t="inlineStr"/>
    </row>
    <row r="3593">
      <c r="A3593" t="inlineStr">
        <is>
          <t>70c379ba-1955-42b0-a88a-226a45368bf6.jpg</t>
        </is>
      </c>
      <c r="B3593">
        <f>HYPERLINK("Объекты недвижимости, не соответствующие градостроительным нормам_00-022_Август/70c379ba-1955-42b0-a88a-226a45368bf6.jpg","open")</f>
        <v/>
      </c>
      <c r="C3593" t="inlineStr">
        <is>
          <t>5e5b9944-4f9e-4223-bf96-0bc0c8a93dfa</t>
        </is>
      </c>
      <c r="D3593" t="n">
        <v>55.71003</v>
      </c>
      <c r="E3593" t="n">
        <v>37.66487</v>
      </c>
      <c r="F3593" t="inlineStr"/>
      <c r="G3593" t="inlineStr"/>
      <c r="H3593" t="inlineStr"/>
    </row>
    <row r="3594">
      <c r="A3594" t="inlineStr">
        <is>
          <t>4579fb9e-0677-43f8-b1f4-a8a7dad2abc6.jpg</t>
        </is>
      </c>
      <c r="B3594">
        <f>HYPERLINK("Объекты недвижимости, не соответствующие градостроительным нормам_00-022_Август/4579fb9e-0677-43f8-b1f4-a8a7dad2abc6.jpg","open")</f>
        <v/>
      </c>
      <c r="C3594" t="inlineStr">
        <is>
          <t>8cde1fd0-eca1-4510-86ab-3c743b65fdfc</t>
        </is>
      </c>
      <c r="D3594" t="n">
        <v>55.70393</v>
      </c>
      <c r="E3594" t="n">
        <v>37.64277</v>
      </c>
      <c r="F3594" t="inlineStr"/>
      <c r="G3594" t="inlineStr"/>
      <c r="H3594" t="inlineStr"/>
    </row>
    <row r="3595">
      <c r="A3595" t="inlineStr">
        <is>
          <t>19e62ef0-6023-4be6-ae1f-824e03388f94.jpg</t>
        </is>
      </c>
      <c r="B3595">
        <f>HYPERLINK("Объекты недвижимости, не соответствующие градостроительным нормам_00-022_Август/19e62ef0-6023-4be6-ae1f-824e03388f94.jpg","open")</f>
        <v/>
      </c>
      <c r="C3595" t="inlineStr">
        <is>
          <t>99ad831f-cb97-41d7-860c-2a48cf549c05</t>
        </is>
      </c>
      <c r="D3595" t="n">
        <v>55.79723</v>
      </c>
      <c r="E3595" t="n">
        <v>37.54899</v>
      </c>
      <c r="F3595" t="inlineStr"/>
      <c r="G3595" t="inlineStr"/>
      <c r="H3595" t="inlineStr"/>
    </row>
    <row r="3596">
      <c r="A3596" t="inlineStr">
        <is>
          <t>7803352f-4cfc-4459-a11b-f245faf7d67a.jpg</t>
        </is>
      </c>
      <c r="B3596">
        <f>HYPERLINK("Объекты недвижимости, не соответствующие градостроительным нормам_00-022_Август/7803352f-4cfc-4459-a11b-f245faf7d67a.jpg","open")</f>
        <v/>
      </c>
      <c r="C3596" t="inlineStr">
        <is>
          <t>12e795ad-2aa7-49de-b2da-2c6aa35a4559</t>
        </is>
      </c>
      <c r="D3596" t="n">
        <v>55.75575</v>
      </c>
      <c r="E3596" t="n">
        <v>37.69318</v>
      </c>
      <c r="F3596" t="inlineStr"/>
      <c r="G3596" t="inlineStr"/>
      <c r="H3596" t="inlineStr"/>
    </row>
    <row r="3597">
      <c r="A3597" t="inlineStr">
        <is>
          <t>5fa7c2b2-2bd8-4dae-bb52-7813b249ea26.jpg</t>
        </is>
      </c>
      <c r="B3597">
        <f>HYPERLINK("Объекты недвижимости, не соответствующие градостроительным нормам_00-022_Август/5fa7c2b2-2bd8-4dae-bb52-7813b249ea26.jpg","open")</f>
        <v/>
      </c>
      <c r="C3597" t="inlineStr">
        <is>
          <t>b6b3590f-f506-4399-8205-e7ac710132e7</t>
        </is>
      </c>
      <c r="D3597" t="n">
        <v>55.8023</v>
      </c>
      <c r="E3597" t="n">
        <v>37.54535</v>
      </c>
      <c r="F3597" t="inlineStr"/>
      <c r="G3597" t="inlineStr"/>
      <c r="H3597" t="inlineStr"/>
    </row>
    <row r="3598">
      <c r="A3598" t="inlineStr">
        <is>
          <t>894a35ca-6583-4b7e-acf7-6cccd9dc9d83.jpg</t>
        </is>
      </c>
      <c r="B3598">
        <f>HYPERLINK("Объекты недвижимости, не соответствующие градостроительным нормам_00-022_Август/894a35ca-6583-4b7e-acf7-6cccd9dc9d83.jpg","open")</f>
        <v/>
      </c>
      <c r="C3598" t="inlineStr">
        <is>
          <t>ed2bf0f1-3a66-4913-896e-4420a9796c0b</t>
        </is>
      </c>
      <c r="D3598" t="n">
        <v>55.78593</v>
      </c>
      <c r="E3598" t="n">
        <v>37.56572</v>
      </c>
      <c r="F3598" t="inlineStr"/>
      <c r="G3598" t="inlineStr"/>
      <c r="H3598" t="inlineStr"/>
    </row>
    <row r="3599">
      <c r="A3599" t="inlineStr">
        <is>
          <t>86b891a9-f7bc-4e1a-83f0-70daf77a1b16.jpg</t>
        </is>
      </c>
      <c r="B3599">
        <f>HYPERLINK("Объекты недвижимости, не соответствующие градостроительным нормам_00-022_Август/86b891a9-f7bc-4e1a-83f0-70daf77a1b16.jpg","open")</f>
        <v/>
      </c>
      <c r="C3599" t="inlineStr">
        <is>
          <t>1a55986c-2c3f-40c0-b3d1-014dce77832e</t>
        </is>
      </c>
      <c r="D3599" t="n">
        <v>55.78593</v>
      </c>
      <c r="E3599" t="n">
        <v>37.56572</v>
      </c>
      <c r="F3599" t="inlineStr"/>
      <c r="G3599" t="inlineStr"/>
      <c r="H3599" t="inlineStr"/>
    </row>
    <row r="3600">
      <c r="A3600" t="inlineStr">
        <is>
          <t>b30d7158-701b-4afb-8d5c-6f05103eed96.jpg</t>
        </is>
      </c>
      <c r="B3600">
        <f>HYPERLINK("Объекты недвижимости, не соответствующие градостроительным нормам_00-022_Август/b30d7158-701b-4afb-8d5c-6f05103eed96.jpg","open")</f>
        <v/>
      </c>
      <c r="C3600" t="inlineStr">
        <is>
          <t>18a5c468-d9e6-4814-8477-1caf4a2e1fe9</t>
        </is>
      </c>
      <c r="D3600" t="n">
        <v>55.98158</v>
      </c>
      <c r="E3600" t="n">
        <v>37.40747</v>
      </c>
      <c r="F3600" t="inlineStr"/>
      <c r="G3600" t="inlineStr"/>
      <c r="H3600" t="inlineStr"/>
    </row>
    <row r="3601">
      <c r="A3601" t="inlineStr">
        <is>
          <t>a163a04b-53b3-4ec7-ae10-2a4743b071fe.jpg</t>
        </is>
      </c>
      <c r="B3601">
        <f>HYPERLINK("Объекты недвижимости, не соответствующие градостроительным нормам_00-022_Август/a163a04b-53b3-4ec7-ae10-2a4743b071fe.jpg","open")</f>
        <v/>
      </c>
      <c r="C3601" t="inlineStr">
        <is>
          <t>ed2bf0f1-3a66-4913-896e-4420a9796c0b</t>
        </is>
      </c>
      <c r="D3601" t="n">
        <v>55.98046</v>
      </c>
      <c r="E3601" t="n">
        <v>37.40552</v>
      </c>
      <c r="F3601" t="inlineStr"/>
      <c r="G3601" t="inlineStr"/>
      <c r="H3601" t="inlineStr"/>
    </row>
    <row r="3602">
      <c r="A3602" t="inlineStr">
        <is>
          <t>dde201b0-78fd-41f5-81c7-2f46c2430676.jpg</t>
        </is>
      </c>
      <c r="B3602">
        <f>HYPERLINK("Объекты недвижимости, не соответствующие градостроительным нормам_00-022_Август/dde201b0-78fd-41f5-81c7-2f46c2430676.jpg","open")</f>
        <v/>
      </c>
      <c r="C3602" t="inlineStr">
        <is>
          <t>8cde1fd0-eca1-4510-86ab-3c743b65fdfc</t>
        </is>
      </c>
      <c r="D3602" t="n">
        <v>55.70662</v>
      </c>
      <c r="E3602" t="n">
        <v>37.58765</v>
      </c>
      <c r="F3602" t="inlineStr"/>
      <c r="G3602" t="inlineStr"/>
      <c r="H3602" t="inlineStr"/>
    </row>
    <row r="3603">
      <c r="A3603" t="inlineStr">
        <is>
          <t>cc8545d4-8d6c-459e-8ee8-9f9487f3fa9f.jpg</t>
        </is>
      </c>
      <c r="B3603">
        <f>HYPERLINK("Объекты недвижимости, не соответствующие градостроительным нормам_00-022_Август/cc8545d4-8d6c-459e-8ee8-9f9487f3fa9f.jpg","open")</f>
        <v/>
      </c>
      <c r="C3603" t="inlineStr">
        <is>
          <t>750bf7e4-0f0f-4f1a-96af-607dc8c1f1c9</t>
        </is>
      </c>
      <c r="D3603" t="n">
        <v>55.98186</v>
      </c>
      <c r="E3603" t="n">
        <v>37.42075</v>
      </c>
      <c r="F3603" t="inlineStr"/>
      <c r="G3603" t="inlineStr"/>
      <c r="H3603" t="inlineStr"/>
    </row>
    <row r="3604">
      <c r="A3604" t="inlineStr">
        <is>
          <t>78183e15-6664-424c-81ae-ce9fc6999c9f.jpg</t>
        </is>
      </c>
      <c r="B3604">
        <f>HYPERLINK("Объекты недвижимости, не соответствующие градостроительным нормам_00-022_Август/78183e15-6664-424c-81ae-ce9fc6999c9f.jpg","open")</f>
        <v/>
      </c>
      <c r="C3604" t="inlineStr">
        <is>
          <t>ed2bf0f1-3a66-4913-896e-4420a9796c0b</t>
        </is>
      </c>
      <c r="D3604" t="n">
        <v>55.98168</v>
      </c>
      <c r="E3604" t="n">
        <v>37.4203</v>
      </c>
      <c r="F3604" t="inlineStr"/>
      <c r="G3604" t="inlineStr"/>
      <c r="H3604" t="inlineStr"/>
    </row>
    <row r="3605">
      <c r="A3605" t="inlineStr">
        <is>
          <t>745edbe4-ad05-4d97-87c5-56d6b946292c.jpg</t>
        </is>
      </c>
      <c r="B3605">
        <f>HYPERLINK("Объекты недвижимости, не соответствующие градостроительным нормам_00-022_Август/745edbe4-ad05-4d97-87c5-56d6b946292c.jpg","open")</f>
        <v/>
      </c>
      <c r="C3605" t="inlineStr">
        <is>
          <t>18a5c468-d9e6-4814-8477-1caf4a2e1fe9</t>
        </is>
      </c>
      <c r="D3605" t="n">
        <v>55.98158</v>
      </c>
      <c r="E3605" t="n">
        <v>37.40747</v>
      </c>
      <c r="F3605" t="inlineStr"/>
      <c r="G3605" t="inlineStr"/>
      <c r="H3605" t="inlineStr"/>
    </row>
    <row r="3606">
      <c r="A3606" t="inlineStr">
        <is>
          <t>c715d6ce-5ed6-46de-8f94-1c72b27165cd.jpg</t>
        </is>
      </c>
      <c r="B3606">
        <f>HYPERLINK("Объекты недвижимости, не соответствующие градостроительным нормам_00-022_Август/c715d6ce-5ed6-46de-8f94-1c72b27165cd.jpg","open")</f>
        <v/>
      </c>
      <c r="C3606" t="inlineStr">
        <is>
          <t>8b2675e2-7f40-47a9-a462-7c9feecd299c</t>
        </is>
      </c>
      <c r="D3606" t="n">
        <v>55.7369</v>
      </c>
      <c r="E3606" t="n">
        <v>37.53915</v>
      </c>
      <c r="F3606" t="inlineStr"/>
      <c r="G3606" t="inlineStr"/>
      <c r="H3606" t="inlineStr"/>
    </row>
    <row r="3607">
      <c r="A3607" t="inlineStr">
        <is>
          <t>01633b83-fa2d-4a5b-ba98-3b4f9a5feaa5.jpg</t>
        </is>
      </c>
      <c r="B3607">
        <f>HYPERLINK("Объекты недвижимости, не соответствующие градостроительным нормам_00-022_Август/01633b83-fa2d-4a5b-ba98-3b4f9a5feaa5.jpg","open")</f>
        <v/>
      </c>
      <c r="C3607" t="inlineStr">
        <is>
          <t>b6b3590f-f506-4399-8205-e7ac710132e7</t>
        </is>
      </c>
      <c r="D3607" t="n">
        <v>55.8063</v>
      </c>
      <c r="E3607" t="n">
        <v>37.54952</v>
      </c>
      <c r="F3607" t="inlineStr"/>
      <c r="G3607" t="inlineStr"/>
      <c r="H3607" t="inlineStr"/>
    </row>
    <row r="3608">
      <c r="A3608" t="inlineStr">
        <is>
          <t>2d4bc30e-9946-48fa-ada3-352a8a6c9ae3.jpg</t>
        </is>
      </c>
      <c r="B3608">
        <f>HYPERLINK("Объекты недвижимости, не соответствующие градостроительным нормам_00-022_Август/2d4bc30e-9946-48fa-ada3-352a8a6c9ae3.jpg","open")</f>
        <v/>
      </c>
      <c r="C3608" t="inlineStr">
        <is>
          <t>18a5c468-d9e6-4814-8477-1caf4a2e1fe9</t>
        </is>
      </c>
      <c r="D3608" t="n">
        <v>55.98158</v>
      </c>
      <c r="E3608" t="n">
        <v>37.40747</v>
      </c>
      <c r="F3608" t="inlineStr"/>
      <c r="G3608" t="inlineStr"/>
      <c r="H3608" t="inlineStr"/>
    </row>
    <row r="3609">
      <c r="A3609" t="inlineStr">
        <is>
          <t>489d0136-786e-4faa-ab6e-7234b6c18196.jpg</t>
        </is>
      </c>
      <c r="B3609">
        <f>HYPERLINK("Объекты недвижимости, не соответствующие градостроительным нормам_00-022_Август/489d0136-786e-4faa-ab6e-7234b6c18196.jpg","open")</f>
        <v/>
      </c>
      <c r="C3609" t="inlineStr">
        <is>
          <t>036c664f-5408-4fd0-b479-342c00468eeb</t>
        </is>
      </c>
      <c r="D3609" t="n">
        <v>55.72515</v>
      </c>
      <c r="E3609" t="n">
        <v>37.43669</v>
      </c>
      <c r="F3609" t="inlineStr"/>
      <c r="G3609" t="inlineStr"/>
      <c r="H3609" t="inlineStr"/>
    </row>
    <row r="3610">
      <c r="A3610" t="inlineStr">
        <is>
          <t>415194f2-a56e-4ad0-8441-f03015e8e9f9.jpg</t>
        </is>
      </c>
      <c r="B3610">
        <f>HYPERLINK("Объекты недвижимости, не соответствующие градостроительным нормам_00-022_Август/415194f2-a56e-4ad0-8441-f03015e8e9f9.jpg","open")</f>
        <v/>
      </c>
      <c r="C3610" t="inlineStr">
        <is>
          <t>8cde1fd0-eca1-4510-86ab-3c743b65fdfc</t>
        </is>
      </c>
      <c r="D3610" t="n">
        <v>55.69304</v>
      </c>
      <c r="E3610" t="n">
        <v>37.58215</v>
      </c>
      <c r="F3610" t="inlineStr"/>
      <c r="G3610" t="inlineStr"/>
      <c r="H3610" t="inlineStr"/>
    </row>
    <row r="3611">
      <c r="A3611" t="inlineStr">
        <is>
          <t>1e3d9df6-53f4-4b11-859d-4f9abf74932b.jpg</t>
        </is>
      </c>
      <c r="B3611">
        <f>HYPERLINK("Объекты недвижимости, не соответствующие градостроительным нормам_00-022_Август/1e3d9df6-53f4-4b11-859d-4f9abf74932b.jpg","open")</f>
        <v/>
      </c>
      <c r="C3611" t="inlineStr">
        <is>
          <t>8cde1fd0-eca1-4510-86ab-3c743b65fdfc</t>
        </is>
      </c>
      <c r="D3611" t="n">
        <v>55.69384</v>
      </c>
      <c r="E3611" t="n">
        <v>37.57906</v>
      </c>
      <c r="F3611" t="inlineStr"/>
      <c r="G3611" t="inlineStr"/>
      <c r="H3611" t="inlineStr"/>
    </row>
    <row r="3612">
      <c r="A3612" t="inlineStr">
        <is>
          <t>758a698d-a2a1-4c86-8463-7be5dd8610c0.jpg</t>
        </is>
      </c>
      <c r="B3612">
        <f>HYPERLINK("Объекты недвижимости, не соответствующие градостроительным нормам_00-022_Август/758a698d-a2a1-4c86-8463-7be5dd8610c0.jpg","open")</f>
        <v/>
      </c>
      <c r="C3612" t="inlineStr">
        <is>
          <t>1c951e11-4940-43c6-a447-394097e5609a</t>
        </is>
      </c>
      <c r="D3612" t="n">
        <v>55.69287</v>
      </c>
      <c r="E3612" t="n">
        <v>37.5734</v>
      </c>
      <c r="F3612" t="inlineStr"/>
      <c r="G3612" t="inlineStr"/>
      <c r="H3612" t="inlineStr"/>
    </row>
    <row r="3613">
      <c r="A3613" t="inlineStr">
        <is>
          <t>8026878b-bfa4-4f0a-be27-82b39edfe364.jpg</t>
        </is>
      </c>
      <c r="B3613">
        <f>HYPERLINK("Объекты недвижимости, не соответствующие градостроительным нормам_00-022_Август/8026878b-bfa4-4f0a-be27-82b39edfe364.jpg","open")</f>
        <v/>
      </c>
      <c r="C3613" t="inlineStr">
        <is>
          <t>8cde1fd0-eca1-4510-86ab-3c743b65fdfc</t>
        </is>
      </c>
      <c r="D3613" t="n">
        <v>55.69605</v>
      </c>
      <c r="E3613" t="n">
        <v>37.57182</v>
      </c>
      <c r="F3613" t="inlineStr"/>
      <c r="G3613" t="inlineStr"/>
      <c r="H3613" t="inlineStr"/>
    </row>
    <row r="3614">
      <c r="A3614" t="inlineStr">
        <is>
          <t>9822facf-3faa-4453-a607-07fd91950c19.jpg</t>
        </is>
      </c>
      <c r="B3614">
        <f>HYPERLINK("Объекты недвижимости, не соответствующие градостроительным нормам_00-022_Август/9822facf-3faa-4453-a607-07fd91950c19.jpg","open")</f>
        <v/>
      </c>
      <c r="C3614" t="inlineStr">
        <is>
          <t>1a55986c-2c3f-40c0-b3d1-014dce77832e</t>
        </is>
      </c>
      <c r="D3614" t="n">
        <v>55.9664</v>
      </c>
      <c r="E3614" t="n">
        <v>37.40549</v>
      </c>
      <c r="F3614" t="inlineStr"/>
      <c r="G3614" t="inlineStr"/>
      <c r="H3614" t="inlineStr"/>
    </row>
    <row r="3615">
      <c r="A3615" t="inlineStr">
        <is>
          <t>0aaa944b-20ec-4b8e-9a79-9bb28a7a2eda.jpg</t>
        </is>
      </c>
      <c r="B3615">
        <f>HYPERLINK("Объекты недвижимости, не соответствующие градостроительным нормам_00-022_Август/0aaa944b-20ec-4b8e-9a79-9bb28a7a2eda.jpg","open")</f>
        <v/>
      </c>
      <c r="C3615" t="inlineStr">
        <is>
          <t>1a55986c-2c3f-40c0-b3d1-014dce77832e</t>
        </is>
      </c>
      <c r="D3615" t="n">
        <v>55.9664</v>
      </c>
      <c r="E3615" t="n">
        <v>37.40549</v>
      </c>
      <c r="F3615" t="inlineStr"/>
      <c r="G3615" t="inlineStr"/>
      <c r="H3615" t="inlineStr"/>
    </row>
    <row r="3616">
      <c r="A3616" t="inlineStr">
        <is>
          <t>d8cd5ff1-9ea1-4fdd-91d3-34c05563aa1c.jpg</t>
        </is>
      </c>
      <c r="B3616">
        <f>HYPERLINK("Объекты недвижимости, не соответствующие градостроительным нормам_00-022_Август/d8cd5ff1-9ea1-4fdd-91d3-34c05563aa1c.jpg","open")</f>
        <v/>
      </c>
      <c r="C3616" t="inlineStr">
        <is>
          <t>18a5c468-d9e6-4814-8477-1caf4a2e1fe9</t>
        </is>
      </c>
      <c r="D3616" t="n">
        <v>55.98158</v>
      </c>
      <c r="E3616" t="n">
        <v>37.40747</v>
      </c>
      <c r="F3616" t="inlineStr"/>
      <c r="G3616" t="inlineStr"/>
      <c r="H3616" t="inlineStr"/>
    </row>
    <row r="3617">
      <c r="A3617" t="inlineStr">
        <is>
          <t>db4257ea-564b-4e3d-97be-d04f3aab42ec.jpg</t>
        </is>
      </c>
      <c r="B3617">
        <f>HYPERLINK("Объекты недвижимости, не соответствующие градостроительным нормам_00-022_Август/db4257ea-564b-4e3d-97be-d04f3aab42ec.jpg","open")</f>
        <v/>
      </c>
      <c r="C3617" t="inlineStr">
        <is>
          <t>d2c4eccd-3e4b-406c-a903-0f5e43d0be35</t>
        </is>
      </c>
      <c r="D3617" t="n">
        <v>55.98158</v>
      </c>
      <c r="E3617" t="n">
        <v>37.40747</v>
      </c>
      <c r="F3617" t="inlineStr"/>
      <c r="G3617" t="inlineStr"/>
      <c r="H3617" t="inlineStr"/>
    </row>
    <row r="3618">
      <c r="A3618" t="inlineStr">
        <is>
          <t>818c5157-2142-4db7-bfa4-dede46ca2dd2.jpg</t>
        </is>
      </c>
      <c r="B3618">
        <f>HYPERLINK("Объекты недвижимости, не соответствующие градостроительным нормам_00-022_Август/818c5157-2142-4db7-bfa4-dede46ca2dd2.jpg","open")</f>
        <v/>
      </c>
      <c r="C3618" t="inlineStr">
        <is>
          <t>18a5c468-d9e6-4814-8477-1caf4a2e1fe9</t>
        </is>
      </c>
      <c r="D3618" t="n">
        <v>55.98158</v>
      </c>
      <c r="E3618" t="n">
        <v>37.40747</v>
      </c>
      <c r="F3618" t="inlineStr"/>
      <c r="G3618" t="inlineStr"/>
      <c r="H3618" t="inlineStr"/>
    </row>
    <row r="3619">
      <c r="A3619" t="inlineStr">
        <is>
          <t>940d0c41-0ca4-485f-928e-77fcd1344ccb.jpg</t>
        </is>
      </c>
      <c r="B3619">
        <f>HYPERLINK("Объекты недвижимости, не соответствующие градостроительным нормам_00-022_Август/940d0c41-0ca4-485f-928e-77fcd1344ccb.jpg","open")</f>
        <v/>
      </c>
      <c r="C3619" t="inlineStr">
        <is>
          <t>ed2bf0f1-3a66-4913-896e-4420a9796c0b</t>
        </is>
      </c>
      <c r="D3619" t="n">
        <v>55.9664</v>
      </c>
      <c r="E3619" t="n">
        <v>37.40549</v>
      </c>
      <c r="F3619" t="inlineStr"/>
      <c r="G3619" t="inlineStr"/>
      <c r="H3619" t="inlineStr"/>
    </row>
    <row r="3620">
      <c r="A3620" t="inlineStr">
        <is>
          <t>75d0f361-cba1-4909-acc7-29422033c816.jpg</t>
        </is>
      </c>
      <c r="B3620">
        <f>HYPERLINK("Объекты недвижимости, не соответствующие градостроительным нормам_00-022_Август/75d0f361-cba1-4909-acc7-29422033c816.jpg","open")</f>
        <v/>
      </c>
      <c r="C3620" t="inlineStr">
        <is>
          <t>1a55986c-2c3f-40c0-b3d1-014dce77832e</t>
        </is>
      </c>
      <c r="D3620" t="n">
        <v>55.9664</v>
      </c>
      <c r="E3620" t="n">
        <v>37.40549</v>
      </c>
      <c r="F3620" t="inlineStr"/>
      <c r="G3620" t="inlineStr"/>
      <c r="H3620" t="inlineStr"/>
    </row>
    <row r="3621">
      <c r="A3621" t="inlineStr">
        <is>
          <t>35f0793f-2b18-4642-952d-d253683ddc96.jpg</t>
        </is>
      </c>
      <c r="B3621">
        <f>HYPERLINK("Объекты недвижимости, не соответствующие градостроительным нормам_00-022_Август/35f0793f-2b18-4642-952d-d253683ddc96.jpg","open")</f>
        <v/>
      </c>
      <c r="C3621" t="inlineStr">
        <is>
          <t>18a5c468-d9e6-4814-8477-1caf4a2e1fe9</t>
        </is>
      </c>
      <c r="D3621" t="n">
        <v>55.98158</v>
      </c>
      <c r="E3621" t="n">
        <v>37.40747</v>
      </c>
      <c r="F3621" t="inlineStr"/>
      <c r="G3621" t="inlineStr"/>
      <c r="H3621" t="inlineStr"/>
    </row>
    <row r="3622">
      <c r="A3622" t="inlineStr">
        <is>
          <t>72ef4280-2322-46bd-8a95-aef5757998d5.jpg</t>
        </is>
      </c>
      <c r="B3622">
        <f>HYPERLINK("Объекты недвижимости, не соответствующие градостроительным нормам_00-022_Август/72ef4280-2322-46bd-8a95-aef5757998d5.jpg","open")</f>
        <v/>
      </c>
      <c r="C3622" t="inlineStr">
        <is>
          <t>ed2bf0f1-3a66-4913-896e-4420a9796c0b</t>
        </is>
      </c>
      <c r="D3622" t="n">
        <v>55.9664</v>
      </c>
      <c r="E3622" t="n">
        <v>37.40549</v>
      </c>
      <c r="F3622" t="inlineStr"/>
      <c r="G3622" t="inlineStr"/>
      <c r="H3622" t="inlineStr"/>
    </row>
    <row r="3623">
      <c r="A3623" t="inlineStr">
        <is>
          <t>4186b65b-bd5d-4e7e-88c4-e7cbc2096f17.jpg</t>
        </is>
      </c>
      <c r="B3623">
        <f>HYPERLINK("Объекты недвижимости, не соответствующие градостроительным нормам_00-022_Август/4186b65b-bd5d-4e7e-88c4-e7cbc2096f17.jpg","open")</f>
        <v/>
      </c>
      <c r="C3623" t="inlineStr">
        <is>
          <t>1a55986c-2c3f-40c0-b3d1-014dce77832e</t>
        </is>
      </c>
      <c r="D3623" t="n">
        <v>55.9664</v>
      </c>
      <c r="E3623" t="n">
        <v>37.40549</v>
      </c>
      <c r="F3623" t="inlineStr"/>
      <c r="G3623" t="inlineStr"/>
      <c r="H3623" t="inlineStr"/>
    </row>
    <row r="3624">
      <c r="A3624" t="inlineStr">
        <is>
          <t>93a03548-c552-441c-a482-4a6f5eb5fc78.jpg</t>
        </is>
      </c>
      <c r="B3624">
        <f>HYPERLINK("Объекты недвижимости, не соответствующие градостроительным нормам_00-022_Август/93a03548-c552-441c-a482-4a6f5eb5fc78.jpg","open")</f>
        <v/>
      </c>
      <c r="C3624" t="inlineStr">
        <is>
          <t>ed2bf0f1-3a66-4913-896e-4420a9796c0b</t>
        </is>
      </c>
      <c r="D3624" t="n">
        <v>55.9664</v>
      </c>
      <c r="E3624" t="n">
        <v>37.40549</v>
      </c>
      <c r="F3624" t="inlineStr"/>
      <c r="G3624" t="inlineStr"/>
      <c r="H3624" t="inlineStr"/>
    </row>
    <row r="3625">
      <c r="A3625" t="inlineStr">
        <is>
          <t>4ae17ae7-29f3-451d-8f23-072c3e53dd4e.jpg</t>
        </is>
      </c>
      <c r="B3625">
        <f>HYPERLINK("Объекты недвижимости, не соответствующие градостроительным нормам_00-022_Август/4ae17ae7-29f3-451d-8f23-072c3e53dd4e.jpg","open")</f>
        <v/>
      </c>
      <c r="C3625" t="inlineStr">
        <is>
          <t>18a5c468-d9e6-4814-8477-1caf4a2e1fe9</t>
        </is>
      </c>
      <c r="D3625" t="n">
        <v>55.98158</v>
      </c>
      <c r="E3625" t="n">
        <v>37.40747</v>
      </c>
      <c r="F3625" t="inlineStr"/>
      <c r="G3625" t="inlineStr"/>
      <c r="H3625" t="inlineStr"/>
    </row>
    <row r="3626">
      <c r="A3626" t="inlineStr">
        <is>
          <t>71808073-05e1-4718-9b2e-fd9ffe6f6939.jpg</t>
        </is>
      </c>
      <c r="B3626">
        <f>HYPERLINK("Объекты недвижимости, не соответствующие градостроительным нормам_00-022_Август/71808073-05e1-4718-9b2e-fd9ffe6f6939.jpg","open")</f>
        <v/>
      </c>
      <c r="C3626" t="inlineStr">
        <is>
          <t>ed2bf0f1-3a66-4913-896e-4420a9796c0b</t>
        </is>
      </c>
      <c r="D3626" t="n">
        <v>55.9664</v>
      </c>
      <c r="E3626" t="n">
        <v>37.40549</v>
      </c>
      <c r="F3626" t="inlineStr"/>
      <c r="G3626" t="inlineStr"/>
      <c r="H3626" t="inlineStr"/>
    </row>
    <row r="3627">
      <c r="A3627" t="inlineStr">
        <is>
          <t>4a20d266-4779-45f8-9a1a-03b72ff41cf7.jpg</t>
        </is>
      </c>
      <c r="B3627">
        <f>HYPERLINK("Объекты недвижимости, не соответствующие градостроительным нормам_00-022_Август/4a20d266-4779-45f8-9a1a-03b72ff41cf7.jpg","open")</f>
        <v/>
      </c>
      <c r="C3627" t="inlineStr">
        <is>
          <t>ed2bf0f1-3a66-4913-896e-4420a9796c0b</t>
        </is>
      </c>
      <c r="D3627" t="n">
        <v>55.9664</v>
      </c>
      <c r="E3627" t="n">
        <v>37.40549</v>
      </c>
      <c r="F3627" t="inlineStr"/>
      <c r="G3627" t="inlineStr"/>
      <c r="H3627" t="inlineStr"/>
    </row>
    <row r="3628">
      <c r="A3628" t="inlineStr">
        <is>
          <t>883f4fad-a445-489d-b621-6d9a4aa0037b.jpg</t>
        </is>
      </c>
      <c r="B3628">
        <f>HYPERLINK("Объекты недвижимости, не соответствующие градостроительным нормам_00-022_Август/883f4fad-a445-489d-b621-6d9a4aa0037b.jpg","open")</f>
        <v/>
      </c>
      <c r="C3628" t="inlineStr">
        <is>
          <t>1a55986c-2c3f-40c0-b3d1-014dce77832e</t>
        </is>
      </c>
      <c r="D3628" t="n">
        <v>55.9664</v>
      </c>
      <c r="E3628" t="n">
        <v>37.40549</v>
      </c>
      <c r="F3628" t="inlineStr"/>
      <c r="G3628" t="inlineStr"/>
      <c r="H3628" t="inlineStr"/>
    </row>
    <row r="3629">
      <c r="A3629" t="inlineStr">
        <is>
          <t>2d0048db-d6f3-48eb-9838-0ea83b16c71d.jpg</t>
        </is>
      </c>
      <c r="B3629">
        <f>HYPERLINK("Объекты недвижимости, не соответствующие градостроительным нормам_00-022_Август/2d0048db-d6f3-48eb-9838-0ea83b16c71d.jpg","open")</f>
        <v/>
      </c>
      <c r="C3629" t="inlineStr">
        <is>
          <t>b6b3590f-f506-4399-8205-e7ac710132e7</t>
        </is>
      </c>
      <c r="D3629" t="n">
        <v>55.79549</v>
      </c>
      <c r="E3629" t="n">
        <v>37.55947</v>
      </c>
      <c r="F3629" t="inlineStr"/>
      <c r="G3629" t="inlineStr"/>
      <c r="H3629" t="inlineStr"/>
    </row>
    <row r="3630">
      <c r="A3630" t="inlineStr">
        <is>
          <t>70491950-6559-4a99-b0b5-d48bb805cdd8.jpg</t>
        </is>
      </c>
      <c r="B3630">
        <f>HYPERLINK("Объекты недвижимости, не соответствующие градостроительным нормам_00-022_Август/70491950-6559-4a99-b0b5-d48bb805cdd8.jpg","open")</f>
        <v/>
      </c>
      <c r="C3630" t="inlineStr">
        <is>
          <t>ed2bf0f1-3a66-4913-896e-4420a9796c0b</t>
        </is>
      </c>
      <c r="D3630" t="n">
        <v>55.96078</v>
      </c>
      <c r="E3630" t="n">
        <v>37.4175</v>
      </c>
      <c r="F3630" t="inlineStr"/>
      <c r="G3630" t="inlineStr"/>
      <c r="H3630" t="inlineStr"/>
    </row>
    <row r="3631">
      <c r="A3631" t="inlineStr">
        <is>
          <t>09344563-c3ca-47b2-a4e7-ead43b038468.jpg</t>
        </is>
      </c>
      <c r="B3631">
        <f>HYPERLINK("Объекты недвижимости, не соответствующие градостроительным нормам_00-022_Август/09344563-c3ca-47b2-a4e7-ead43b038468.jpg","open")</f>
        <v/>
      </c>
      <c r="C3631" t="inlineStr">
        <is>
          <t>ed2bf0f1-3a66-4913-896e-4420a9796c0b</t>
        </is>
      </c>
      <c r="D3631" t="n">
        <v>55.96161</v>
      </c>
      <c r="E3631" t="n">
        <v>37.40843</v>
      </c>
      <c r="F3631" t="inlineStr"/>
      <c r="G3631" t="inlineStr"/>
      <c r="H3631" t="inlineStr"/>
    </row>
    <row r="3632">
      <c r="A3632" t="inlineStr">
        <is>
          <t>e09b2b2e-cb6d-40b3-bb05-118697fe1a45.jpg</t>
        </is>
      </c>
      <c r="B3632">
        <f>HYPERLINK("Объекты недвижимости, не соответствующие градостроительным нормам_00-022_Август/e09b2b2e-cb6d-40b3-bb05-118697fe1a45.jpg","open")</f>
        <v/>
      </c>
      <c r="C3632" t="inlineStr">
        <is>
          <t>1a55986c-2c3f-40c0-b3d1-014dce77832e</t>
        </is>
      </c>
      <c r="D3632" t="n">
        <v>55.9669</v>
      </c>
      <c r="E3632" t="n">
        <v>37.40165</v>
      </c>
      <c r="F3632" t="inlineStr"/>
      <c r="G3632" t="inlineStr"/>
      <c r="H3632" t="inlineStr"/>
    </row>
    <row r="3633">
      <c r="A3633" t="inlineStr">
        <is>
          <t>4bf95d8e-f68c-4060-96aa-e90e7afd086a.jpg</t>
        </is>
      </c>
      <c r="B3633">
        <f>HYPERLINK("Объекты недвижимости, не соответствующие градостроительным нормам_00-022_Август/4bf95d8e-f68c-4060-96aa-e90e7afd086a.jpg","open")</f>
        <v/>
      </c>
      <c r="C3633" t="inlineStr">
        <is>
          <t>789f6c51-64ee-4078-b7bd-443af8b8b68a</t>
        </is>
      </c>
      <c r="D3633" t="n">
        <v>55.88787</v>
      </c>
      <c r="E3633" t="n">
        <v>37.65472</v>
      </c>
      <c r="F3633" t="inlineStr"/>
      <c r="G3633" t="inlineStr"/>
      <c r="H3633" t="inlineStr"/>
    </row>
    <row r="3634">
      <c r="A3634" t="inlineStr">
        <is>
          <t>7e0bd138-b13b-4395-86ab-03a650a52c6f.jpg</t>
        </is>
      </c>
      <c r="B3634">
        <f>HYPERLINK("Объекты недвижимости, не соответствующие градостроительным нормам_00-022_Август/7e0bd138-b13b-4395-86ab-03a650a52c6f.jpg","open")</f>
        <v/>
      </c>
      <c r="C3634" t="inlineStr">
        <is>
          <t>2acfb2da-e3f6-464c-bd17-4b713522c142</t>
        </is>
      </c>
      <c r="D3634" t="n">
        <v>55.88788</v>
      </c>
      <c r="E3634" t="n">
        <v>37.65473</v>
      </c>
      <c r="F3634" t="inlineStr"/>
      <c r="G3634" t="inlineStr"/>
      <c r="H3634" t="inlineStr"/>
    </row>
    <row r="3635">
      <c r="A3635" t="inlineStr">
        <is>
          <t>a2d9a3c7-3f09-4fbe-9f88-5a50f746f046.jpg</t>
        </is>
      </c>
      <c r="B3635">
        <f>HYPERLINK("Объекты недвижимости, не соответствующие градостроительным нормам_00-022_Август/a2d9a3c7-3f09-4fbe-9f88-5a50f746f046.jpg","open")</f>
        <v/>
      </c>
      <c r="C3635" t="inlineStr">
        <is>
          <t>936502dd-24a4-4256-9fdf-0d8fb72af3ed</t>
        </is>
      </c>
      <c r="D3635" t="n">
        <v>55.70659</v>
      </c>
      <c r="E3635" t="n">
        <v>37.66282</v>
      </c>
      <c r="F3635" t="inlineStr"/>
      <c r="G3635" t="inlineStr"/>
      <c r="H3635" t="inlineStr"/>
    </row>
    <row r="3636">
      <c r="A3636" t="inlineStr">
        <is>
          <t>eadfd004-90e7-4a80-848c-5bd683caee68.jpg</t>
        </is>
      </c>
      <c r="B3636">
        <f>HYPERLINK("Объекты недвижимости, не соответствующие градостроительным нормам_00-022_Август/eadfd004-90e7-4a80-848c-5bd683caee68.jpg","open")</f>
        <v/>
      </c>
      <c r="C3636" t="inlineStr">
        <is>
          <t>a28f597e-d1cd-4d3b-b572-c86d033412e9</t>
        </is>
      </c>
      <c r="D3636" t="n">
        <v>55.72569</v>
      </c>
      <c r="E3636" t="n">
        <v>37.43531</v>
      </c>
      <c r="F3636" t="inlineStr"/>
      <c r="G3636" t="inlineStr"/>
      <c r="H3636" t="inlineStr"/>
    </row>
    <row r="3637">
      <c r="A3637" t="inlineStr">
        <is>
          <t>ae34008e-6d67-4537-8cf9-abd8ba343724.jpg</t>
        </is>
      </c>
      <c r="B3637">
        <f>HYPERLINK("Объекты недвижимости, не соответствующие градостроительным нормам_00-022_Август/ae34008e-6d67-4537-8cf9-abd8ba343724.jpg","open")</f>
        <v/>
      </c>
      <c r="C3637" t="inlineStr">
        <is>
          <t>18a5c468-d9e6-4814-8477-1caf4a2e1fe9</t>
        </is>
      </c>
      <c r="D3637" t="n">
        <v>55.98158</v>
      </c>
      <c r="E3637" t="n">
        <v>37.40747</v>
      </c>
      <c r="F3637" t="inlineStr"/>
      <c r="G3637" t="inlineStr"/>
      <c r="H3637" t="inlineStr"/>
    </row>
    <row r="3638">
      <c r="A3638" t="inlineStr">
        <is>
          <t>6ca82f3e-2ef5-4c50-8b4c-2e0ef2660f03.jpg</t>
        </is>
      </c>
      <c r="B3638">
        <f>HYPERLINK("Объекты недвижимости, не соответствующие градостроительным нормам_00-022_Август/6ca82f3e-2ef5-4c50-8b4c-2e0ef2660f03.jpg","open")</f>
        <v/>
      </c>
      <c r="C3638" t="inlineStr">
        <is>
          <t>ed2bf0f1-3a66-4913-896e-4420a9796c0b</t>
        </is>
      </c>
      <c r="D3638" t="n">
        <v>55.99254</v>
      </c>
      <c r="E3638" t="n">
        <v>37.47421</v>
      </c>
      <c r="F3638" t="inlineStr"/>
      <c r="G3638" t="inlineStr"/>
      <c r="H3638" t="inlineStr"/>
    </row>
    <row r="3639">
      <c r="A3639" t="inlineStr">
        <is>
          <t>d3b67b34-4694-48af-b48a-c3428b6575bf.jpg</t>
        </is>
      </c>
      <c r="B3639">
        <f>HYPERLINK("Объекты недвижимости, не соответствующие градостроительным нормам_00-022_Август/d3b67b34-4694-48af-b48a-c3428b6575bf.jpg","open")</f>
        <v/>
      </c>
      <c r="C3639" t="inlineStr">
        <is>
          <t>1231bbc5-e64c-4dc7-9acc-77710f47607a</t>
        </is>
      </c>
      <c r="D3639" t="n">
        <v>55.68775</v>
      </c>
      <c r="E3639" t="n">
        <v>37.59649</v>
      </c>
      <c r="F3639" t="inlineStr"/>
      <c r="G3639" t="inlineStr"/>
      <c r="H3639" t="inlineStr"/>
    </row>
    <row r="3640">
      <c r="A3640" t="inlineStr">
        <is>
          <t>42caf411-dab8-4cc4-96e4-915bdedb8ed6.jpg</t>
        </is>
      </c>
      <c r="B3640">
        <f>HYPERLINK("Объекты недвижимости, не соответствующие градостроительным нормам_00-022_Август/42caf411-dab8-4cc4-96e4-915bdedb8ed6.jpg","open")</f>
        <v/>
      </c>
      <c r="C3640" t="inlineStr">
        <is>
          <t>685d9054-b74f-49ab-857b-109fd2cec80d</t>
        </is>
      </c>
      <c r="D3640" t="n">
        <v>55.68775</v>
      </c>
      <c r="E3640" t="n">
        <v>37.59652</v>
      </c>
      <c r="F3640" t="inlineStr"/>
      <c r="G3640" t="inlineStr"/>
      <c r="H3640" t="inlineStr"/>
    </row>
    <row r="3641">
      <c r="A3641" t="inlineStr">
        <is>
          <t>05427731-da6a-4662-8763-0087a4a0f631.jpg</t>
        </is>
      </c>
      <c r="B3641">
        <f>HYPERLINK("Объекты недвижимости, не соответствующие градостроительным нормам_00-022_Август/05427731-da6a-4662-8763-0087a4a0f631.jpg","open")</f>
        <v/>
      </c>
      <c r="C3641" t="inlineStr">
        <is>
          <t>685d9054-b74f-49ab-857b-109fd2cec80d</t>
        </is>
      </c>
      <c r="D3641" t="n">
        <v>55.68795</v>
      </c>
      <c r="E3641" t="n">
        <v>37.59686</v>
      </c>
      <c r="F3641" t="inlineStr"/>
      <c r="G3641" t="inlineStr"/>
      <c r="H3641" t="inlineStr"/>
    </row>
    <row r="3642">
      <c r="A3642" t="inlineStr">
        <is>
          <t>358cf9e4-2d73-472f-a815-a039e33b6c7e.jpg</t>
        </is>
      </c>
      <c r="B3642">
        <f>HYPERLINK("Объекты недвижимости, не соответствующие градостроительным нормам_00-022_Август/358cf9e4-2d73-472f-a815-a039e33b6c7e.jpg","open")</f>
        <v/>
      </c>
      <c r="C3642" t="inlineStr">
        <is>
          <t>1231bbc5-e64c-4dc7-9acc-77710f47607a</t>
        </is>
      </c>
      <c r="D3642" t="n">
        <v>55.68824</v>
      </c>
      <c r="E3642" t="n">
        <v>37.59756</v>
      </c>
      <c r="F3642" t="inlineStr"/>
      <c r="G3642" t="inlineStr"/>
      <c r="H3642" t="inlineStr"/>
    </row>
    <row r="3643">
      <c r="A3643" t="inlineStr">
        <is>
          <t>a0437677-b18a-4100-bf21-5d3d6d096379.jpg</t>
        </is>
      </c>
      <c r="B3643">
        <f>HYPERLINK("Объекты недвижимости, не соответствующие градостроительным нормам_00-022_Август/a0437677-b18a-4100-bf21-5d3d6d096379.jpg","open")</f>
        <v/>
      </c>
      <c r="C3643" t="inlineStr">
        <is>
          <t>1231bbc5-e64c-4dc7-9acc-77710f47607a</t>
        </is>
      </c>
      <c r="D3643" t="n">
        <v>55.68811</v>
      </c>
      <c r="E3643" t="n">
        <v>37.59748</v>
      </c>
      <c r="F3643" t="inlineStr"/>
      <c r="G3643" t="inlineStr"/>
      <c r="H3643" t="inlineStr"/>
    </row>
    <row r="3644">
      <c r="A3644" t="inlineStr">
        <is>
          <t>21d0705b-43f1-4c6c-b213-4fc47e8e76ca.jpg</t>
        </is>
      </c>
      <c r="B3644">
        <f>HYPERLINK("Объекты недвижимости, не соответствующие градостроительным нормам_00-022_Август/21d0705b-43f1-4c6c-b213-4fc47e8e76ca.jpg","open")</f>
        <v/>
      </c>
      <c r="C3644" t="inlineStr">
        <is>
          <t>685d9054-b74f-49ab-857b-109fd2cec80d</t>
        </is>
      </c>
      <c r="D3644" t="n">
        <v>55.68813</v>
      </c>
      <c r="E3644" t="n">
        <v>37.5974</v>
      </c>
      <c r="F3644" t="inlineStr"/>
      <c r="G3644" t="inlineStr"/>
      <c r="H3644" t="inlineStr"/>
    </row>
    <row r="3645">
      <c r="A3645" t="inlineStr">
        <is>
          <t>0b89762f-f5c5-4239-9e13-0828216ef2e3.jpg</t>
        </is>
      </c>
      <c r="B3645">
        <f>HYPERLINK("Объекты недвижимости, не соответствующие градостроительным нормам_00-022_Август/0b89762f-f5c5-4239-9e13-0828216ef2e3.jpg","open")</f>
        <v/>
      </c>
      <c r="C3645" t="inlineStr">
        <is>
          <t>1231bbc5-e64c-4dc7-9acc-77710f47607a</t>
        </is>
      </c>
      <c r="D3645" t="n">
        <v>55.68819</v>
      </c>
      <c r="E3645" t="n">
        <v>37.59749</v>
      </c>
      <c r="F3645" t="inlineStr"/>
      <c r="G3645" t="inlineStr"/>
      <c r="H3645" t="inlineStr"/>
    </row>
    <row r="3646">
      <c r="A3646" t="inlineStr">
        <is>
          <t>99e7217e-3bd6-4273-939f-8170ba827b7a.jpg</t>
        </is>
      </c>
      <c r="B3646">
        <f>HYPERLINK("Объекты недвижимости, не соответствующие градостроительным нормам_00-022_Август/99e7217e-3bd6-4273-939f-8170ba827b7a.jpg","open")</f>
        <v/>
      </c>
      <c r="C3646" t="inlineStr">
        <is>
          <t>1231bbc5-e64c-4dc7-9acc-77710f47607a</t>
        </is>
      </c>
      <c r="D3646" t="n">
        <v>55.68822</v>
      </c>
      <c r="E3646" t="n">
        <v>37.59752</v>
      </c>
      <c r="F3646" t="inlineStr"/>
      <c r="G3646" t="inlineStr"/>
      <c r="H3646" t="inlineStr"/>
    </row>
    <row r="3647">
      <c r="A3647" t="inlineStr">
        <is>
          <t>a5cf23df-5aa4-4f69-8bf7-719587a982c9.jpg</t>
        </is>
      </c>
      <c r="B3647">
        <f>HYPERLINK("Объекты недвижимости, не соответствующие градостроительным нормам_00-022_Август/a5cf23df-5aa4-4f69-8bf7-719587a982c9.jpg","open")</f>
        <v/>
      </c>
      <c r="C3647" t="inlineStr">
        <is>
          <t>ed2bf0f1-3a66-4913-896e-4420a9796c0b</t>
        </is>
      </c>
      <c r="D3647" t="n">
        <v>55.97553</v>
      </c>
      <c r="E3647" t="n">
        <v>37.43182</v>
      </c>
      <c r="F3647" t="inlineStr"/>
      <c r="G3647" t="inlineStr"/>
      <c r="H3647" t="inlineStr"/>
    </row>
    <row r="3648">
      <c r="A3648" t="inlineStr">
        <is>
          <t>fac22601-eb66-4257-a4ce-55cad01fc29c.jpg</t>
        </is>
      </c>
      <c r="B3648">
        <f>HYPERLINK("Объекты недвижимости, не соответствующие градостроительным нормам_00-022_Август/fac22601-eb66-4257-a4ce-55cad01fc29c.jpg","open")</f>
        <v/>
      </c>
      <c r="C3648" t="inlineStr">
        <is>
          <t>1a55986c-2c3f-40c0-b3d1-014dce77832e</t>
        </is>
      </c>
      <c r="D3648" t="n">
        <v>55.97553</v>
      </c>
      <c r="E3648" t="n">
        <v>37.43182</v>
      </c>
      <c r="F3648" t="inlineStr"/>
      <c r="G3648" t="inlineStr"/>
      <c r="H3648" t="inlineStr"/>
    </row>
    <row r="3649">
      <c r="A3649" t="inlineStr">
        <is>
          <t>e59a9124-2010-4bf8-ab2b-25ac273edfca.jpg</t>
        </is>
      </c>
      <c r="B3649">
        <f>HYPERLINK("Объекты недвижимости, не соответствующие градостроительным нормам_00-022_Август/e59a9124-2010-4bf8-ab2b-25ac273edfca.jpg","open")</f>
        <v/>
      </c>
      <c r="C3649" t="inlineStr">
        <is>
          <t>1231bbc5-e64c-4dc7-9acc-77710f47607a</t>
        </is>
      </c>
      <c r="D3649" t="n">
        <v>55.68815</v>
      </c>
      <c r="E3649" t="n">
        <v>37.59724</v>
      </c>
      <c r="F3649" t="inlineStr"/>
      <c r="G3649" t="inlineStr"/>
      <c r="H3649" t="inlineStr"/>
    </row>
    <row r="3650">
      <c r="A3650" t="inlineStr">
        <is>
          <t>69865a2a-b075-4b91-9f2c-b53fb249d9df.jpg</t>
        </is>
      </c>
      <c r="B3650">
        <f>HYPERLINK("Объекты недвижимости, не соответствующие градостроительным нормам_00-022_Август/69865a2a-b075-4b91-9f2c-b53fb249d9df.jpg","open")</f>
        <v/>
      </c>
      <c r="C3650" t="inlineStr">
        <is>
          <t>1231bbc5-e64c-4dc7-9acc-77710f47607a</t>
        </is>
      </c>
      <c r="D3650" t="n">
        <v>55.68797</v>
      </c>
      <c r="E3650" t="n">
        <v>37.59674</v>
      </c>
      <c r="F3650" t="inlineStr"/>
      <c r="G3650" t="inlineStr"/>
      <c r="H3650" t="inlineStr"/>
    </row>
    <row r="3651">
      <c r="A3651" t="inlineStr">
        <is>
          <t>8c7e014f-f453-4148-a9a5-4fc39c5700c3.jpg</t>
        </is>
      </c>
      <c r="B3651">
        <f>HYPERLINK("Объекты недвижимости, не соответствующие градостроительным нормам_00-022_Август/8c7e014f-f453-4148-a9a5-4fc39c5700c3.jpg","open")</f>
        <v/>
      </c>
      <c r="C3651" t="inlineStr">
        <is>
          <t>ed2bf0f1-3a66-4913-896e-4420a9796c0b</t>
        </is>
      </c>
      <c r="D3651" t="n">
        <v>55.97912</v>
      </c>
      <c r="E3651" t="n">
        <v>37.40147</v>
      </c>
      <c r="F3651" t="inlineStr"/>
      <c r="G3651" t="inlineStr"/>
      <c r="H3651" t="inlineStr"/>
    </row>
    <row r="3652">
      <c r="A3652" t="inlineStr">
        <is>
          <t>54c3950c-da24-4cd9-939f-96d5b87f1fc3.jpg</t>
        </is>
      </c>
      <c r="B3652">
        <f>HYPERLINK("Объекты недвижимости, не соответствующие градостроительным нормам_00-022_Август/54c3950c-da24-4cd9-939f-96d5b87f1fc3.jpg","open")</f>
        <v/>
      </c>
      <c r="C3652" t="inlineStr">
        <is>
          <t>b6b3590f-f506-4399-8205-e7ac710132e7</t>
        </is>
      </c>
      <c r="D3652" t="n">
        <v>55.80676</v>
      </c>
      <c r="E3652" t="n">
        <v>37.51186</v>
      </c>
      <c r="F3652" t="inlineStr"/>
      <c r="G3652" t="inlineStr"/>
      <c r="H3652" t="inlineStr"/>
    </row>
    <row r="3653">
      <c r="A3653" t="inlineStr">
        <is>
          <t>92adc34e-db07-43e5-abc3-f3e2e49c0a5d.jpg</t>
        </is>
      </c>
      <c r="B3653">
        <f>HYPERLINK("Объекты недвижимости, не соответствующие градостроительным нормам_00-022_Август/92adc34e-db07-43e5-abc3-f3e2e49c0a5d.jpg","open")</f>
        <v/>
      </c>
      <c r="C3653" t="inlineStr">
        <is>
          <t>ffd931da-542f-43e9-979f-5552b17fe3dc</t>
        </is>
      </c>
      <c r="D3653" t="n">
        <v>55.75762</v>
      </c>
      <c r="E3653" t="n">
        <v>37.81952</v>
      </c>
      <c r="F3653" t="inlineStr"/>
      <c r="G3653" t="inlineStr"/>
      <c r="H3653" t="inlineStr"/>
    </row>
    <row r="3654">
      <c r="A3654" t="inlineStr">
        <is>
          <t>6f3f1027-4717-4601-8a16-ed4855c30dcf.jpg</t>
        </is>
      </c>
      <c r="B3654">
        <f>HYPERLINK("Объекты недвижимости, не соответствующие градостроительным нормам_00-022_Август/6f3f1027-4717-4601-8a16-ed4855c30dcf.jpg","open")</f>
        <v/>
      </c>
      <c r="C3654" t="inlineStr">
        <is>
          <t>1a55986c-2c3f-40c0-b3d1-014dce77832e</t>
        </is>
      </c>
      <c r="D3654" t="n">
        <v>55.96582</v>
      </c>
      <c r="E3654" t="n">
        <v>37.40659</v>
      </c>
      <c r="F3654" t="inlineStr"/>
      <c r="G3654" t="inlineStr"/>
      <c r="H3654" t="inlineStr"/>
    </row>
    <row r="3655">
      <c r="A3655" t="inlineStr">
        <is>
          <t>a24817c1-788a-4653-bcd1-81e382e867c1.jpg</t>
        </is>
      </c>
      <c r="B3655">
        <f>HYPERLINK("Объекты недвижимости, не соответствующие градостроительным нормам_00-022_Август/a24817c1-788a-4653-bcd1-81e382e867c1.jpg","open")</f>
        <v/>
      </c>
      <c r="C3655" t="inlineStr">
        <is>
          <t>ad64e6b9-1ed5-44d7-a101-4945a1f9dec6</t>
        </is>
      </c>
      <c r="D3655" t="n">
        <v>55.64241</v>
      </c>
      <c r="E3655" t="n">
        <v>37.54284</v>
      </c>
      <c r="F3655" t="inlineStr"/>
      <c r="G3655" t="inlineStr"/>
      <c r="H3655" t="inlineStr"/>
    </row>
    <row r="3656">
      <c r="A3656" t="inlineStr">
        <is>
          <t>6fef5bf5-c493-44b6-b9c8-f66525f6f1c5.jpg</t>
        </is>
      </c>
      <c r="B3656">
        <f>HYPERLINK("Объекты недвижимости, не соответствующие градостроительным нормам_00-022_Август/6fef5bf5-c493-44b6-b9c8-f66525f6f1c5.jpg","open")</f>
        <v/>
      </c>
      <c r="C3656" t="inlineStr">
        <is>
          <t>61936922-4d4b-458e-80ea-6d4c450aa1d5</t>
        </is>
      </c>
      <c r="D3656" t="n">
        <v>55.6945</v>
      </c>
      <c r="E3656" t="n">
        <v>37.48859</v>
      </c>
      <c r="F3656" t="inlineStr"/>
      <c r="G3656" t="inlineStr"/>
      <c r="H3656" t="inlineStr"/>
    </row>
    <row r="3657">
      <c r="A3657" t="inlineStr">
        <is>
          <t>f7a67302-0d73-4050-9774-225b84bbd867.jpg</t>
        </is>
      </c>
      <c r="B3657">
        <f>HYPERLINK("Объекты недвижимости, не соответствующие градостроительным нормам_00-022_Август/f7a67302-0d73-4050-9774-225b84bbd867.jpg","open")</f>
        <v/>
      </c>
      <c r="C3657" t="inlineStr">
        <is>
          <t>a28f597e-d1cd-4d3b-b572-c86d033412e9</t>
        </is>
      </c>
      <c r="D3657" t="n">
        <v>55.72166</v>
      </c>
      <c r="E3657" t="n">
        <v>37.42775</v>
      </c>
      <c r="F3657" t="inlineStr"/>
      <c r="G3657" t="inlineStr"/>
      <c r="H3657" t="inlineStr"/>
    </row>
    <row r="3658">
      <c r="A3658" t="inlineStr">
        <is>
          <t>92536796-73c6-4279-b273-32da55b3aa7b.jpg</t>
        </is>
      </c>
      <c r="B3658">
        <f>HYPERLINK("Объекты недвижимости, не соответствующие градостроительным нормам_00-022_Август/92536796-73c6-4279-b273-32da55b3aa7b.jpg","open")</f>
        <v/>
      </c>
      <c r="C3658" t="inlineStr">
        <is>
          <t>b0429a31-0c70-4b9f-8ea5-73929d82f89e</t>
        </is>
      </c>
      <c r="D3658" t="n">
        <v>55.63725</v>
      </c>
      <c r="E3658" t="n">
        <v>37.5907</v>
      </c>
      <c r="F3658" t="inlineStr"/>
      <c r="G3658" t="inlineStr"/>
      <c r="H3658" t="inlineStr"/>
    </row>
    <row r="3659">
      <c r="A3659" t="inlineStr">
        <is>
          <t>427e9137-d934-4976-b10c-8c553b15ee83.jpg</t>
        </is>
      </c>
      <c r="B3659">
        <f>HYPERLINK("Объекты недвижимости, не соответствующие градостроительным нормам_00-022_Август/427e9137-d934-4976-b10c-8c553b15ee83.jpg","open")</f>
        <v/>
      </c>
      <c r="C3659" t="inlineStr">
        <is>
          <t>8cde1fd0-eca1-4510-86ab-3c743b65fdfc</t>
        </is>
      </c>
      <c r="D3659" t="n">
        <v>55.71725</v>
      </c>
      <c r="E3659" t="n">
        <v>37.57337</v>
      </c>
      <c r="F3659" t="inlineStr"/>
      <c r="G3659" t="inlineStr"/>
      <c r="H3659" t="inlineStr"/>
    </row>
    <row r="3660">
      <c r="A3660" t="inlineStr">
        <is>
          <t>83ce607d-e4bb-43cf-98c4-af2913fa1ef6.jpg</t>
        </is>
      </c>
      <c r="B3660">
        <f>HYPERLINK("Объекты недвижимости, не соответствующие градостроительным нормам_00-022_Август/83ce607d-e4bb-43cf-98c4-af2913fa1ef6.jpg","open")</f>
        <v/>
      </c>
      <c r="C3660" t="inlineStr">
        <is>
          <t>5e5b9944-4f9e-4223-bf96-0bc0c8a93dfa</t>
        </is>
      </c>
      <c r="D3660" t="n">
        <v>55.71003</v>
      </c>
      <c r="E3660" t="n">
        <v>37.66487</v>
      </c>
      <c r="F3660" t="inlineStr"/>
      <c r="G3660" t="inlineStr"/>
      <c r="H3660" t="inlineStr"/>
    </row>
    <row r="3661">
      <c r="A3661" t="inlineStr">
        <is>
          <t>28990fb2-9a6d-4c22-995e-e3e4b67d7380.jpg</t>
        </is>
      </c>
      <c r="B3661">
        <f>HYPERLINK("Объекты недвижимости, не соответствующие градостроительным нормам_00-022_Август/28990fb2-9a6d-4c22-995e-e3e4b67d7380.jpg","open")</f>
        <v/>
      </c>
      <c r="C3661" t="inlineStr">
        <is>
          <t>ffd931da-542f-43e9-979f-5552b17fe3dc</t>
        </is>
      </c>
      <c r="D3661" t="n">
        <v>55.75422</v>
      </c>
      <c r="E3661" t="n">
        <v>37.81405</v>
      </c>
      <c r="F3661" t="inlineStr"/>
      <c r="G3661" t="inlineStr"/>
      <c r="H3661" t="inlineStr"/>
    </row>
    <row r="3662">
      <c r="A3662" t="inlineStr">
        <is>
          <t>30b458a7-efa6-4e14-a972-b23380ddebde.jpg</t>
        </is>
      </c>
      <c r="B3662">
        <f>HYPERLINK("Объекты недвижимости, не соответствующие градостроительным нормам_00-022_Август/30b458a7-efa6-4e14-a972-b23380ddebde.jpg","open")</f>
        <v/>
      </c>
      <c r="C3662" t="inlineStr">
        <is>
          <t>e90a3ac0-5b70-4ede-abeb-382371713306</t>
        </is>
      </c>
      <c r="D3662" t="n">
        <v>55.73301</v>
      </c>
      <c r="E3662" t="n">
        <v>37.70031</v>
      </c>
      <c r="F3662" t="inlineStr"/>
      <c r="G3662" t="inlineStr"/>
      <c r="H3662" t="inlineStr"/>
    </row>
    <row r="3663">
      <c r="A3663" t="inlineStr">
        <is>
          <t>482de688-2991-4cf6-8c11-c2b1cb804742.jpg</t>
        </is>
      </c>
      <c r="B3663">
        <f>HYPERLINK("Объекты недвижимости, не соответствующие градостроительным нормам_00-022_Август/482de688-2991-4cf6-8c11-c2b1cb804742.jpg","open")</f>
        <v/>
      </c>
      <c r="C3663" t="inlineStr">
        <is>
          <t>db8b536c-32f2-4d9a-ae08-679d227e61f1</t>
        </is>
      </c>
      <c r="D3663" t="n">
        <v>55.73313</v>
      </c>
      <c r="E3663" t="n">
        <v>37.69982</v>
      </c>
      <c r="F3663" t="inlineStr"/>
      <c r="G3663" t="inlineStr"/>
      <c r="H3663" t="inlineStr"/>
    </row>
    <row r="3664">
      <c r="A3664" t="inlineStr">
        <is>
          <t>ce1ff6f4-787e-4006-8ba6-44d272c799e8.jpg</t>
        </is>
      </c>
      <c r="B3664">
        <f>HYPERLINK("Объекты недвижимости, не соответствующие градостроительным нормам_00-022_Август/ce1ff6f4-787e-4006-8ba6-44d272c799e8.jpg","open")</f>
        <v/>
      </c>
      <c r="C3664" t="inlineStr">
        <is>
          <t>5e5b9944-4f9e-4223-bf96-0bc0c8a93dfa</t>
        </is>
      </c>
      <c r="D3664" t="n">
        <v>55.97755</v>
      </c>
      <c r="E3664" t="n">
        <v>37.39986</v>
      </c>
      <c r="F3664" t="inlineStr"/>
      <c r="G3664" t="inlineStr"/>
      <c r="H3664" t="inlineStr"/>
    </row>
    <row r="3665">
      <c r="A3665" t="inlineStr">
        <is>
          <t>9ee8c2a8-1de6-4cce-b91a-ce03b3794b19.jpg</t>
        </is>
      </c>
      <c r="B3665">
        <f>HYPERLINK("Объекты недвижимости, не соответствующие градостроительным нормам_00-022_Август/9ee8c2a8-1de6-4cce-b91a-ce03b3794b19.jpg","open")</f>
        <v/>
      </c>
      <c r="C3665" t="inlineStr">
        <is>
          <t>57812597-37e6-414c-8b11-8c661dbfeb70</t>
        </is>
      </c>
      <c r="D3665" t="n">
        <v>55.73832</v>
      </c>
      <c r="E3665" t="n">
        <v>37.58638</v>
      </c>
      <c r="F3665" t="inlineStr"/>
      <c r="G3665" t="inlineStr"/>
      <c r="H3665" t="inlineStr"/>
    </row>
    <row r="3666">
      <c r="A3666" t="inlineStr">
        <is>
          <t>77a5001b-702f-4803-ac1b-6a25df319c52.jpg</t>
        </is>
      </c>
      <c r="B3666">
        <f>HYPERLINK("Объекты недвижимости, не соответствующие градостроительным нормам_00-022_Август/77a5001b-702f-4803-ac1b-6a25df319c52.jpg","open")</f>
        <v/>
      </c>
      <c r="C3666" t="inlineStr">
        <is>
          <t>1231bbc5-e64c-4dc7-9acc-77710f47607a</t>
        </is>
      </c>
      <c r="D3666" t="n">
        <v>55.68352</v>
      </c>
      <c r="E3666" t="n">
        <v>37.59837</v>
      </c>
      <c r="F3666" t="inlineStr"/>
      <c r="G3666" t="inlineStr"/>
      <c r="H3666" t="inlineStr"/>
    </row>
    <row r="3667">
      <c r="A3667" t="inlineStr">
        <is>
          <t>1b9d4226-9bb1-428c-8f26-522d386ebd2c.jpg</t>
        </is>
      </c>
      <c r="B3667">
        <f>HYPERLINK("Объекты недвижимости, не соответствующие градостроительным нормам_00-022_Август/1b9d4226-9bb1-428c-8f26-522d386ebd2c.jpg","open")</f>
        <v/>
      </c>
      <c r="C3667" t="inlineStr">
        <is>
          <t>036c664f-5408-4fd0-b479-342c00468eeb</t>
        </is>
      </c>
      <c r="D3667" t="n">
        <v>55.72488</v>
      </c>
      <c r="E3667" t="n">
        <v>37.42807</v>
      </c>
      <c r="F3667" t="inlineStr"/>
      <c r="G3667" t="inlineStr"/>
      <c r="H3667" t="inlineStr"/>
    </row>
    <row r="3668">
      <c r="A3668" t="inlineStr">
        <is>
          <t>916c5277-31d7-4235-acb0-f58be7449be7.jpg</t>
        </is>
      </c>
      <c r="B3668">
        <f>HYPERLINK("Объекты недвижимости, не соответствующие градостроительным нормам_00-022_Август/916c5277-31d7-4235-acb0-f58be7449be7.jpg","open")</f>
        <v/>
      </c>
      <c r="C3668" t="inlineStr">
        <is>
          <t>a28f597e-d1cd-4d3b-b572-c86d033412e9</t>
        </is>
      </c>
      <c r="D3668" t="n">
        <v>55.72488</v>
      </c>
      <c r="E3668" t="n">
        <v>37.42807</v>
      </c>
      <c r="F3668" t="inlineStr"/>
      <c r="G3668" t="inlineStr"/>
      <c r="H3668" t="inlineStr"/>
    </row>
    <row r="3669">
      <c r="A3669" t="inlineStr">
        <is>
          <t>c70ed58f-4d5d-41eb-8256-8b04ffc3b632.jpg</t>
        </is>
      </c>
      <c r="B3669">
        <f>HYPERLINK("Объекты недвижимости, не соответствующие градостроительным нормам_00-022_Август/c70ed58f-4d5d-41eb-8256-8b04ffc3b632.jpg","open")</f>
        <v/>
      </c>
      <c r="C3669" t="inlineStr">
        <is>
          <t>a28f597e-d1cd-4d3b-b572-c86d033412e9</t>
        </is>
      </c>
      <c r="D3669" t="n">
        <v>55.72488</v>
      </c>
      <c r="E3669" t="n">
        <v>37.42807</v>
      </c>
      <c r="F3669" t="inlineStr"/>
      <c r="G3669" t="inlineStr"/>
      <c r="H3669" t="inlineStr"/>
    </row>
    <row r="3670">
      <c r="A3670" t="inlineStr">
        <is>
          <t>f794dd88-0fba-4298-aa72-6b405778e18b.jpg</t>
        </is>
      </c>
      <c r="B3670">
        <f>HYPERLINK("Объекты недвижимости, не соответствующие градостроительным нормам_00-022_Август/f794dd88-0fba-4298-aa72-6b405778e18b.jpg","open")</f>
        <v/>
      </c>
      <c r="C3670" t="inlineStr">
        <is>
          <t>036c664f-5408-4fd0-b479-342c00468eeb</t>
        </is>
      </c>
      <c r="D3670" t="n">
        <v>55.72488</v>
      </c>
      <c r="E3670" t="n">
        <v>37.42807</v>
      </c>
      <c r="F3670" t="inlineStr"/>
      <c r="G3670" t="inlineStr"/>
      <c r="H3670" t="inlineStr"/>
    </row>
    <row r="3671">
      <c r="A3671" t="inlineStr">
        <is>
          <t>fa3af9d8-9225-4589-b56b-75960e471758.jpg</t>
        </is>
      </c>
      <c r="B3671">
        <f>HYPERLINK("Объекты недвижимости, не соответствующие градостроительным нормам_00-022_Август/fa3af9d8-9225-4589-b56b-75960e471758.jpg","open")</f>
        <v/>
      </c>
      <c r="C3671" t="inlineStr">
        <is>
          <t>a28f597e-d1cd-4d3b-b572-c86d033412e9</t>
        </is>
      </c>
      <c r="D3671" t="n">
        <v>55.72488</v>
      </c>
      <c r="E3671" t="n">
        <v>37.42807</v>
      </c>
      <c r="F3671" t="inlineStr"/>
      <c r="G3671" t="inlineStr"/>
      <c r="H3671" t="inlineStr"/>
    </row>
    <row r="3672">
      <c r="A3672" t="inlineStr">
        <is>
          <t>ba7d67a8-1804-4bc5-93d2-21edcb008a22.jpg</t>
        </is>
      </c>
      <c r="B3672">
        <f>HYPERLINK("Объекты недвижимости, не соответствующие градостроительным нормам_00-022_Август/ba7d67a8-1804-4bc5-93d2-21edcb008a22.jpg","open")</f>
        <v/>
      </c>
      <c r="C3672" t="inlineStr">
        <is>
          <t>a28f597e-d1cd-4d3b-b572-c86d033412e9</t>
        </is>
      </c>
      <c r="D3672" t="n">
        <v>55.72488</v>
      </c>
      <c r="E3672" t="n">
        <v>37.42807</v>
      </c>
      <c r="F3672" t="inlineStr"/>
      <c r="G3672" t="inlineStr"/>
      <c r="H3672" t="inlineStr"/>
    </row>
    <row r="3673">
      <c r="A3673" t="inlineStr">
        <is>
          <t>5327d880-3538-4ae9-a1c0-c678f0e2c3d7.jpg</t>
        </is>
      </c>
      <c r="B3673">
        <f>HYPERLINK("Объекты недвижимости, не соответствующие градостроительным нормам_00-022_Август/5327d880-3538-4ae9-a1c0-c678f0e2c3d7.jpg","open")</f>
        <v/>
      </c>
      <c r="C3673" t="inlineStr">
        <is>
          <t>a28f597e-d1cd-4d3b-b572-c86d033412e9</t>
        </is>
      </c>
      <c r="D3673" t="n">
        <v>55.72488</v>
      </c>
      <c r="E3673" t="n">
        <v>37.42807</v>
      </c>
      <c r="F3673" t="inlineStr"/>
      <c r="G3673" t="inlineStr"/>
      <c r="H3673" t="inlineStr"/>
    </row>
    <row r="3674">
      <c r="A3674" t="inlineStr">
        <is>
          <t>17bece7e-2918-4cde-9606-3afecd138b55.jpg</t>
        </is>
      </c>
      <c r="B3674">
        <f>HYPERLINK("Объекты недвижимости, не соответствующие градостроительным нормам_00-022_Август/17bece7e-2918-4cde-9606-3afecd138b55.jpg","open")</f>
        <v/>
      </c>
      <c r="C3674" t="inlineStr">
        <is>
          <t>a28f597e-d1cd-4d3b-b572-c86d033412e9</t>
        </is>
      </c>
      <c r="D3674" t="n">
        <v>55.72488</v>
      </c>
      <c r="E3674" t="n">
        <v>37.42807</v>
      </c>
      <c r="F3674" t="inlineStr"/>
      <c r="G3674" t="inlineStr"/>
      <c r="H3674" t="inlineStr"/>
    </row>
    <row r="3675">
      <c r="A3675" t="inlineStr">
        <is>
          <t>19716f84-f4e4-417b-b142-1a9e313fba12.jpg</t>
        </is>
      </c>
      <c r="B3675">
        <f>HYPERLINK("Объекты недвижимости, не соответствующие градостроительным нормам_00-022_Август/19716f84-f4e4-417b-b142-1a9e313fba12.jpg","open")</f>
        <v/>
      </c>
      <c r="C3675" t="inlineStr">
        <is>
          <t>036c664f-5408-4fd0-b479-342c00468eeb</t>
        </is>
      </c>
      <c r="D3675" t="n">
        <v>55.72488</v>
      </c>
      <c r="E3675" t="n">
        <v>37.42807</v>
      </c>
      <c r="F3675" t="inlineStr"/>
      <c r="G3675" t="inlineStr"/>
      <c r="H3675" t="inlineStr"/>
    </row>
    <row r="3676">
      <c r="A3676" t="inlineStr">
        <is>
          <t>46d543fa-726c-42ab-929e-11ba69d8a637.jpg</t>
        </is>
      </c>
      <c r="B3676">
        <f>HYPERLINK("Объекты недвижимости, не соответствующие градостроительным нормам_00-022_Август/46d543fa-726c-42ab-929e-11ba69d8a637.jpg","open")</f>
        <v/>
      </c>
      <c r="C3676" t="inlineStr">
        <is>
          <t>a28f597e-d1cd-4d3b-b572-c86d033412e9</t>
        </is>
      </c>
      <c r="D3676" t="n">
        <v>55.72488</v>
      </c>
      <c r="E3676" t="n">
        <v>37.42807</v>
      </c>
      <c r="F3676" t="inlineStr"/>
      <c r="G3676" t="inlineStr"/>
      <c r="H3676" t="inlineStr"/>
    </row>
    <row r="3677">
      <c r="A3677" t="inlineStr">
        <is>
          <t>f579551e-2a39-4032-93bf-6b20050352bd.jpg</t>
        </is>
      </c>
      <c r="B3677">
        <f>HYPERLINK("Объекты недвижимости, не соответствующие градостроительным нормам_00-022_Август/f579551e-2a39-4032-93bf-6b20050352bd.jpg","open")</f>
        <v/>
      </c>
      <c r="C3677" t="inlineStr">
        <is>
          <t>1a55986c-2c3f-40c0-b3d1-014dce77832e</t>
        </is>
      </c>
      <c r="D3677" t="n">
        <v>55.78642</v>
      </c>
      <c r="E3677" t="n">
        <v>37.50316</v>
      </c>
      <c r="F3677" t="inlineStr"/>
      <c r="G3677" t="inlineStr"/>
      <c r="H3677" t="inlineStr"/>
    </row>
    <row r="3678">
      <c r="A3678" t="inlineStr">
        <is>
          <t>973cacef-5309-482b-96eb-a3a66596e89e.jpg</t>
        </is>
      </c>
      <c r="B3678">
        <f>HYPERLINK("Объекты недвижимости, не соответствующие градостроительным нормам_00-022_Август/973cacef-5309-482b-96eb-a3a66596e89e.jpg","open")</f>
        <v/>
      </c>
      <c r="C3678" t="inlineStr">
        <is>
          <t>ab4e767f-65c0-455b-af20-a5527124fd21</t>
        </is>
      </c>
      <c r="D3678" t="n">
        <v>55.97421</v>
      </c>
      <c r="E3678" t="n">
        <v>37.43101</v>
      </c>
      <c r="F3678" t="inlineStr"/>
      <c r="G3678" t="inlineStr"/>
      <c r="H3678" t="inlineStr"/>
    </row>
    <row r="3679">
      <c r="A3679" t="inlineStr">
        <is>
          <t>97ce8e10-9f0e-40e6-8c44-de5c40381f41.jpg</t>
        </is>
      </c>
      <c r="B3679">
        <f>HYPERLINK("Объекты недвижимости, не соответствующие градостроительным нормам_00-022_Август/97ce8e10-9f0e-40e6-8c44-de5c40381f41.jpg","open")</f>
        <v/>
      </c>
      <c r="C3679" t="inlineStr">
        <is>
          <t>1a55986c-2c3f-40c0-b3d1-014dce77832e</t>
        </is>
      </c>
      <c r="D3679" t="n">
        <v>55.78646</v>
      </c>
      <c r="E3679" t="n">
        <v>37.50205</v>
      </c>
      <c r="F3679" t="inlineStr"/>
      <c r="G3679" t="inlineStr"/>
      <c r="H3679" t="inlineStr"/>
    </row>
    <row r="3680">
      <c r="A3680" t="inlineStr">
        <is>
          <t>b8372d00-84ac-4ed4-bbcf-0f7f6d6912ae.jpg</t>
        </is>
      </c>
      <c r="B3680">
        <f>HYPERLINK("Объекты недвижимости, не соответствующие градостроительным нормам_00-022_Август/b8372d00-84ac-4ed4-bbcf-0f7f6d6912ae.jpg","open")</f>
        <v/>
      </c>
      <c r="C3680" t="inlineStr">
        <is>
          <t>a28f597e-d1cd-4d3b-b572-c86d033412e9</t>
        </is>
      </c>
      <c r="D3680" t="n">
        <v>55.72488</v>
      </c>
      <c r="E3680" t="n">
        <v>37.42807</v>
      </c>
      <c r="F3680" t="inlineStr"/>
      <c r="G3680" t="inlineStr"/>
      <c r="H3680" t="inlineStr"/>
    </row>
    <row r="3681">
      <c r="A3681" t="inlineStr">
        <is>
          <t>45e97800-b955-42d6-a53e-c77c8dfafad1.jpg</t>
        </is>
      </c>
      <c r="B3681">
        <f>HYPERLINK("Объекты недвижимости, не соответствующие градостроительным нормам_00-022_Август/45e97800-b955-42d6-a53e-c77c8dfafad1.jpg","open")</f>
        <v/>
      </c>
      <c r="C3681" t="inlineStr">
        <is>
          <t>a28f597e-d1cd-4d3b-b572-c86d033412e9</t>
        </is>
      </c>
      <c r="D3681" t="n">
        <v>55.72488</v>
      </c>
      <c r="E3681" t="n">
        <v>37.42807</v>
      </c>
      <c r="F3681" t="inlineStr"/>
      <c r="G3681" t="inlineStr"/>
      <c r="H3681" t="inlineStr"/>
    </row>
    <row r="3682">
      <c r="A3682" t="inlineStr">
        <is>
          <t>4e654d3b-875f-4821-8ed3-2bec9e4a5468.jpg</t>
        </is>
      </c>
      <c r="B3682">
        <f>HYPERLINK("Объекты недвижимости, не соответствующие градостроительным нормам_00-022_Август/4e654d3b-875f-4821-8ed3-2bec9e4a5468.jpg","open")</f>
        <v/>
      </c>
      <c r="C3682" t="inlineStr">
        <is>
          <t>036c664f-5408-4fd0-b479-342c00468eeb</t>
        </is>
      </c>
      <c r="D3682" t="n">
        <v>55.72488</v>
      </c>
      <c r="E3682" t="n">
        <v>37.42807</v>
      </c>
      <c r="F3682" t="inlineStr"/>
      <c r="G3682" t="inlineStr"/>
      <c r="H3682" t="inlineStr"/>
    </row>
    <row r="3683">
      <c r="A3683" t="inlineStr">
        <is>
          <t>d5283c77-553e-4062-a3b2-82b0197046d6.jpg</t>
        </is>
      </c>
      <c r="B3683">
        <f>HYPERLINK("Объекты недвижимости, не соответствующие градостроительным нормам_00-022_Август/d5283c77-553e-4062-a3b2-82b0197046d6.jpg","open")</f>
        <v/>
      </c>
      <c r="C3683" t="inlineStr">
        <is>
          <t>a28f597e-d1cd-4d3b-b572-c86d033412e9</t>
        </is>
      </c>
      <c r="D3683" t="n">
        <v>55.72488</v>
      </c>
      <c r="E3683" t="n">
        <v>37.42807</v>
      </c>
      <c r="F3683" t="inlineStr"/>
      <c r="G3683" t="inlineStr"/>
      <c r="H3683" t="inlineStr"/>
    </row>
    <row r="3684">
      <c r="A3684" t="inlineStr">
        <is>
          <t>ab814089-1246-4fde-a1ec-b0a423c667ca.jpg</t>
        </is>
      </c>
      <c r="B3684">
        <f>HYPERLINK("Объекты недвижимости, не соответствующие градостроительным нормам_00-022_Август/ab814089-1246-4fde-a1ec-b0a423c667ca.jpg","open")</f>
        <v/>
      </c>
      <c r="C3684" t="inlineStr">
        <is>
          <t>a28f597e-d1cd-4d3b-b572-c86d033412e9</t>
        </is>
      </c>
      <c r="D3684" t="n">
        <v>55.72488</v>
      </c>
      <c r="E3684" t="n">
        <v>37.42807</v>
      </c>
      <c r="F3684" t="inlineStr"/>
      <c r="G3684" t="inlineStr"/>
      <c r="H3684" t="inlineStr"/>
    </row>
    <row r="3685">
      <c r="A3685" t="inlineStr">
        <is>
          <t>7f293a8a-e01a-44a4-863b-0409c24ff834.jpg</t>
        </is>
      </c>
      <c r="B3685">
        <f>HYPERLINK("Объекты недвижимости, не соответствующие градостроительным нормам_00-022_Август/7f293a8a-e01a-44a4-863b-0409c24ff834.jpg","open")</f>
        <v/>
      </c>
      <c r="C3685" t="inlineStr">
        <is>
          <t>036c664f-5408-4fd0-b479-342c00468eeb</t>
        </is>
      </c>
      <c r="D3685" t="n">
        <v>55.72488</v>
      </c>
      <c r="E3685" t="n">
        <v>37.42807</v>
      </c>
      <c r="F3685" t="inlineStr"/>
      <c r="G3685" t="inlineStr"/>
      <c r="H3685" t="inlineStr"/>
    </row>
    <row r="3686">
      <c r="A3686" t="inlineStr">
        <is>
          <t>65249a4d-bd17-4e12-9aad-153f7a714e83.jpg</t>
        </is>
      </c>
      <c r="B3686">
        <f>HYPERLINK("Объекты недвижимости, не соответствующие градостроительным нормам_00-022_Август/65249a4d-bd17-4e12-9aad-153f7a714e83.jpg","open")</f>
        <v/>
      </c>
      <c r="C3686" t="inlineStr">
        <is>
          <t>a28f597e-d1cd-4d3b-b572-c86d033412e9</t>
        </is>
      </c>
      <c r="D3686" t="n">
        <v>55.72488</v>
      </c>
      <c r="E3686" t="n">
        <v>37.42807</v>
      </c>
      <c r="F3686" t="inlineStr"/>
      <c r="G3686" t="inlineStr"/>
      <c r="H3686" t="inlineStr"/>
    </row>
    <row r="3687">
      <c r="A3687" t="inlineStr">
        <is>
          <t>2caed925-373d-439b-8505-ec2fd87eae3e.jpg</t>
        </is>
      </c>
      <c r="B3687">
        <f>HYPERLINK("Объекты недвижимости, не соответствующие градостроительным нормам_00-022_Август/2caed925-373d-439b-8505-ec2fd87eae3e.jpg","open")</f>
        <v/>
      </c>
      <c r="C3687" t="inlineStr">
        <is>
          <t>036c664f-5408-4fd0-b479-342c00468eeb</t>
        </is>
      </c>
      <c r="D3687" t="n">
        <v>55.72488</v>
      </c>
      <c r="E3687" t="n">
        <v>37.42807</v>
      </c>
      <c r="F3687" t="inlineStr"/>
      <c r="G3687" t="inlineStr"/>
      <c r="H3687" t="inlineStr"/>
    </row>
    <row r="3688">
      <c r="A3688" t="inlineStr">
        <is>
          <t>fce72a68-055d-4d99-8a66-83cae368fb71.jpg</t>
        </is>
      </c>
      <c r="B3688">
        <f>HYPERLINK("Объекты недвижимости, не соответствующие градостроительным нормам_00-022_Август/fce72a68-055d-4d99-8a66-83cae368fb71.jpg","open")</f>
        <v/>
      </c>
      <c r="C3688" t="inlineStr">
        <is>
          <t>a28f597e-d1cd-4d3b-b572-c86d033412e9</t>
        </is>
      </c>
      <c r="D3688" t="n">
        <v>55.72488</v>
      </c>
      <c r="E3688" t="n">
        <v>37.42807</v>
      </c>
      <c r="F3688" t="inlineStr"/>
      <c r="G3688" t="inlineStr"/>
      <c r="H3688" t="inlineStr"/>
    </row>
    <row r="3689">
      <c r="A3689" t="inlineStr">
        <is>
          <t>fd84d454-8f23-4500-92de-ff6258c767a0.jpg</t>
        </is>
      </c>
      <c r="B3689">
        <f>HYPERLINK("Объекты недвижимости, не соответствующие градостроительным нормам_00-022_Август/fd84d454-8f23-4500-92de-ff6258c767a0.jpg","open")</f>
        <v/>
      </c>
      <c r="C3689" t="inlineStr">
        <is>
          <t>ed2bf0f1-3a66-4913-896e-4420a9796c0b</t>
        </is>
      </c>
      <c r="D3689" t="n">
        <v>55.78647</v>
      </c>
      <c r="E3689" t="n">
        <v>37.50185</v>
      </c>
      <c r="F3689" t="inlineStr"/>
      <c r="G3689" t="inlineStr"/>
      <c r="H3689" t="inlineStr"/>
    </row>
    <row r="3690">
      <c r="A3690" t="inlineStr">
        <is>
          <t>8c6696ad-7d30-41a0-80ea-dd43e31612e8.jpg</t>
        </is>
      </c>
      <c r="B3690">
        <f>HYPERLINK("Объекты недвижимости, не соответствующие градостроительным нормам_00-022_Август/8c6696ad-7d30-41a0-80ea-dd43e31612e8.jpg","open")</f>
        <v/>
      </c>
      <c r="C3690" t="inlineStr">
        <is>
          <t>1231bbc5-e64c-4dc7-9acc-77710f47607a</t>
        </is>
      </c>
      <c r="D3690" t="n">
        <v>55.6839</v>
      </c>
      <c r="E3690" t="n">
        <v>37.59818</v>
      </c>
      <c r="F3690" t="inlineStr"/>
      <c r="G3690" t="inlineStr"/>
      <c r="H3690" t="inlineStr"/>
    </row>
    <row r="3691">
      <c r="A3691" t="inlineStr">
        <is>
          <t>e28ad3d8-3063-4793-9490-ae0d49c93aa5.jpg</t>
        </is>
      </c>
      <c r="B3691">
        <f>HYPERLINK("Объекты недвижимости, не соответствующие градостроительным нормам_00-022_Август/e28ad3d8-3063-4793-9490-ae0d49c93aa5.jpg","open")</f>
        <v/>
      </c>
      <c r="C3691" t="inlineStr">
        <is>
          <t>685d9054-b74f-49ab-857b-109fd2cec80d</t>
        </is>
      </c>
      <c r="D3691" t="n">
        <v>55.68391</v>
      </c>
      <c r="E3691" t="n">
        <v>37.5982</v>
      </c>
      <c r="F3691" t="inlineStr"/>
      <c r="G3691" t="inlineStr"/>
      <c r="H3691" t="inlineStr"/>
    </row>
    <row r="3692">
      <c r="A3692" t="inlineStr">
        <is>
          <t>786c077b-228b-4d17-857c-63a93a158e35.jpg</t>
        </is>
      </c>
      <c r="B3692">
        <f>HYPERLINK("Объекты недвижимости, не соответствующие градостроительным нормам_00-022_Август/786c077b-228b-4d17-857c-63a93a158e35.jpg","open")</f>
        <v/>
      </c>
      <c r="C3692" t="inlineStr">
        <is>
          <t>036c664f-5408-4fd0-b479-342c00468eeb</t>
        </is>
      </c>
      <c r="D3692" t="n">
        <v>55.72191</v>
      </c>
      <c r="E3692" t="n">
        <v>37.42756</v>
      </c>
      <c r="F3692" t="inlineStr"/>
      <c r="G3692" t="inlineStr"/>
      <c r="H3692" t="inlineStr"/>
    </row>
    <row r="3693">
      <c r="A3693" t="inlineStr">
        <is>
          <t>8b592b9f-cce8-4a1f-a3ba-95fe2833b24f.jpg</t>
        </is>
      </c>
      <c r="B3693">
        <f>HYPERLINK("Объекты недвижимости, не соответствующие градостроительным нормам_00-022_Август/8b592b9f-cce8-4a1f-a3ba-95fe2833b24f.jpg","open")</f>
        <v/>
      </c>
      <c r="C3693" t="inlineStr">
        <is>
          <t>036c664f-5408-4fd0-b479-342c00468eeb</t>
        </is>
      </c>
      <c r="D3693" t="n">
        <v>55.72194</v>
      </c>
      <c r="E3693" t="n">
        <v>37.42766</v>
      </c>
      <c r="F3693" t="inlineStr"/>
      <c r="G3693" t="inlineStr"/>
      <c r="H3693" t="inlineStr"/>
    </row>
    <row r="3694">
      <c r="A3694" t="inlineStr">
        <is>
          <t>7bdff706-4099-4193-aa52-c94888bd24d6.jpg</t>
        </is>
      </c>
      <c r="B3694">
        <f>HYPERLINK("Объекты недвижимости, не соответствующие градостроительным нормам_00-022_Август/7bdff706-4099-4193-aa52-c94888bd24d6.jpg","open")</f>
        <v/>
      </c>
      <c r="C3694" t="inlineStr">
        <is>
          <t>a28f597e-d1cd-4d3b-b572-c86d033412e9</t>
        </is>
      </c>
      <c r="D3694" t="n">
        <v>55.72194</v>
      </c>
      <c r="E3694" t="n">
        <v>37.42766</v>
      </c>
      <c r="F3694" t="inlineStr"/>
      <c r="G3694" t="inlineStr"/>
      <c r="H3694" t="inlineStr"/>
    </row>
    <row r="3695">
      <c r="A3695" t="inlineStr">
        <is>
          <t>50011538-ddd1-4bfb-bcba-920f34514ea1.jpg</t>
        </is>
      </c>
      <c r="B3695">
        <f>HYPERLINK("Объекты недвижимости, не соответствующие градостроительным нормам_00-022_Август/50011538-ddd1-4bfb-bcba-920f34514ea1.jpg","open")</f>
        <v/>
      </c>
      <c r="C3695" t="inlineStr">
        <is>
          <t>036c664f-5408-4fd0-b479-342c00468eeb</t>
        </is>
      </c>
      <c r="D3695" t="n">
        <v>55.72192</v>
      </c>
      <c r="E3695" t="n">
        <v>37.42764</v>
      </c>
      <c r="F3695" t="inlineStr"/>
      <c r="G3695" t="inlineStr"/>
      <c r="H3695" t="inlineStr"/>
    </row>
    <row r="3696">
      <c r="A3696" t="inlineStr">
        <is>
          <t>21f3fc99-d781-4eb2-a27e-7be8580aa01f.jpg</t>
        </is>
      </c>
      <c r="B3696">
        <f>HYPERLINK("Объекты недвижимости, не соответствующие градостроительным нормам_00-022_Август/21f3fc99-d781-4eb2-a27e-7be8580aa01f.jpg","open")</f>
        <v/>
      </c>
      <c r="C3696" t="inlineStr">
        <is>
          <t>685d9054-b74f-49ab-857b-109fd2cec80d</t>
        </is>
      </c>
      <c r="D3696" t="n">
        <v>55.68428</v>
      </c>
      <c r="E3696" t="n">
        <v>37.59777</v>
      </c>
      <c r="F3696" t="inlineStr"/>
      <c r="G3696" t="inlineStr"/>
      <c r="H3696" t="inlineStr"/>
    </row>
    <row r="3697">
      <c r="A3697" t="inlineStr">
        <is>
          <t>0318add3-7869-4861-bdb6-d02e56f9a3b8.jpg</t>
        </is>
      </c>
      <c r="B3697">
        <f>HYPERLINK("Объекты недвижимости, не соответствующие градостроительным нормам_00-022_Август/0318add3-7869-4861-bdb6-d02e56f9a3b8.jpg","open")</f>
        <v/>
      </c>
      <c r="C3697" t="inlineStr">
        <is>
          <t>685d9054-b74f-49ab-857b-109fd2cec80d</t>
        </is>
      </c>
      <c r="D3697" t="n">
        <v>55.68425</v>
      </c>
      <c r="E3697" t="n">
        <v>37.59787</v>
      </c>
      <c r="F3697" t="inlineStr"/>
      <c r="G3697" t="inlineStr"/>
      <c r="H3697" t="inlineStr"/>
    </row>
    <row r="3698">
      <c r="A3698" t="inlineStr">
        <is>
          <t>5dfb9864-e094-4999-bc7f-22c98776f85a.jpg</t>
        </is>
      </c>
      <c r="B3698">
        <f>HYPERLINK("Объекты недвижимости, не соответствующие градостроительным нормам_00-022_Август/5dfb9864-e094-4999-bc7f-22c98776f85a.jpg","open")</f>
        <v/>
      </c>
      <c r="C3698" t="inlineStr">
        <is>
          <t>1231bbc5-e64c-4dc7-9acc-77710f47607a</t>
        </is>
      </c>
      <c r="D3698" t="n">
        <v>55.68424</v>
      </c>
      <c r="E3698" t="n">
        <v>37.59789</v>
      </c>
      <c r="F3698" t="inlineStr"/>
      <c r="G3698" t="inlineStr"/>
      <c r="H3698" t="inlineStr"/>
    </row>
    <row r="3699">
      <c r="A3699" t="inlineStr">
        <is>
          <t>c9eabb5d-723f-4e9e-bd32-84114cff9ed3.jpg</t>
        </is>
      </c>
      <c r="B3699">
        <f>HYPERLINK("Объекты недвижимости, не соответствующие градостроительным нормам_00-022_Август/c9eabb5d-723f-4e9e-bd32-84114cff9ed3.jpg","open")</f>
        <v/>
      </c>
      <c r="C3699" t="inlineStr">
        <is>
          <t>57812597-37e6-414c-8b11-8c661dbfeb70</t>
        </is>
      </c>
      <c r="D3699" t="n">
        <v>55.73356</v>
      </c>
      <c r="E3699" t="n">
        <v>37.59782</v>
      </c>
      <c r="F3699" t="inlineStr"/>
      <c r="G3699" t="inlineStr"/>
      <c r="H3699" t="inlineStr"/>
    </row>
    <row r="3700">
      <c r="A3700" t="inlineStr">
        <is>
          <t>975c82ae-509d-4837-9644-26321480a534.jpg</t>
        </is>
      </c>
      <c r="B3700">
        <f>HYPERLINK("Объекты недвижимости, не соответствующие градостроительным нормам_00-022_Август/975c82ae-509d-4837-9644-26321480a534.jpg","open")</f>
        <v/>
      </c>
      <c r="C3700" t="inlineStr">
        <is>
          <t>db8b536c-32f2-4d9a-ae08-679d227e61f1</t>
        </is>
      </c>
      <c r="D3700" t="n">
        <v>55.73062</v>
      </c>
      <c r="E3700" t="n">
        <v>37.67377</v>
      </c>
      <c r="F3700" t="inlineStr"/>
      <c r="G3700" t="inlineStr"/>
      <c r="H3700" t="inlineStr"/>
    </row>
    <row r="3701">
      <c r="A3701" t="inlineStr">
        <is>
          <t>bd56a74f-04d8-4623-b1fd-2e533c2811ca.jpg</t>
        </is>
      </c>
      <c r="B3701">
        <f>HYPERLINK("Объекты недвижимости, не соответствующие градостроительным нормам_00-022_Август/bd56a74f-04d8-4623-b1fd-2e533c2811ca.jpg","open")</f>
        <v/>
      </c>
      <c r="C3701" t="inlineStr">
        <is>
          <t>db8b536c-32f2-4d9a-ae08-679d227e61f1</t>
        </is>
      </c>
      <c r="D3701" t="n">
        <v>55.73062</v>
      </c>
      <c r="E3701" t="n">
        <v>37.67377</v>
      </c>
      <c r="F3701" t="inlineStr"/>
      <c r="G3701" t="inlineStr"/>
      <c r="H3701" t="inlineStr"/>
    </row>
    <row r="3702">
      <c r="A3702" t="inlineStr">
        <is>
          <t>8405b40b-6efe-4ae5-8127-3ce0ff583c7e.jpg</t>
        </is>
      </c>
      <c r="B3702">
        <f>HYPERLINK("Объекты недвижимости, не соответствующие градостроительным нормам_00-022_Август/8405b40b-6efe-4ae5-8127-3ce0ff583c7e.jpg","open")</f>
        <v/>
      </c>
      <c r="C3702" t="inlineStr">
        <is>
          <t>e90a3ac0-5b70-4ede-abeb-382371713306</t>
        </is>
      </c>
      <c r="D3702" t="n">
        <v>55.73062</v>
      </c>
      <c r="E3702" t="n">
        <v>37.67377</v>
      </c>
      <c r="F3702" t="inlineStr"/>
      <c r="G3702" t="inlineStr"/>
      <c r="H3702" t="inlineStr"/>
    </row>
    <row r="3703">
      <c r="A3703" t="inlineStr">
        <is>
          <t>cc8e5f3d-9eab-4f52-a1ed-ec4c9c4139ad.jpg</t>
        </is>
      </c>
      <c r="B3703">
        <f>HYPERLINK("Объекты недвижимости, не соответствующие градостроительным нормам_00-022_Август/cc8e5f3d-9eab-4f52-a1ed-ec4c9c4139ad.jpg","open")</f>
        <v/>
      </c>
      <c r="C3703" t="inlineStr">
        <is>
          <t>685d9054-b74f-49ab-857b-109fd2cec80d</t>
        </is>
      </c>
      <c r="D3703" t="n">
        <v>55.68511</v>
      </c>
      <c r="E3703" t="n">
        <v>37.59488</v>
      </c>
      <c r="F3703" t="inlineStr"/>
      <c r="G3703" t="inlineStr"/>
      <c r="H3703" t="inlineStr"/>
    </row>
    <row r="3704">
      <c r="A3704" t="inlineStr">
        <is>
          <t>c2884f5c-d26d-484a-a124-bf411c6a5ee8.jpg</t>
        </is>
      </c>
      <c r="B3704">
        <f>HYPERLINK("Объекты недвижимости, не соответствующие градостроительным нормам_00-022_Август/c2884f5c-d26d-484a-a124-bf411c6a5ee8.jpg","open")</f>
        <v/>
      </c>
      <c r="C3704" t="inlineStr">
        <is>
          <t>8cde1fd0-eca1-4510-86ab-3c743b65fdfc</t>
        </is>
      </c>
      <c r="D3704" t="n">
        <v>55.70582</v>
      </c>
      <c r="E3704" t="n">
        <v>37.55266</v>
      </c>
      <c r="F3704" t="inlineStr"/>
      <c r="G3704" t="inlineStr"/>
      <c r="H3704" t="inlineStr"/>
    </row>
    <row r="3705">
      <c r="A3705" t="inlineStr">
        <is>
          <t>d0ca6226-82a4-4a51-ad0d-fa14f3c6d5c9.jpg</t>
        </is>
      </c>
      <c r="B3705">
        <f>HYPERLINK("Объекты недвижимости, не соответствующие градостроительным нормам_00-022_Август/d0ca6226-82a4-4a51-ad0d-fa14f3c6d5c9.jpg","open")</f>
        <v/>
      </c>
      <c r="C3705" t="inlineStr">
        <is>
          <t>1c951e11-4940-43c6-a447-394097e5609a</t>
        </is>
      </c>
      <c r="D3705" t="n">
        <v>55.70552</v>
      </c>
      <c r="E3705" t="n">
        <v>37.55223</v>
      </c>
      <c r="F3705" t="inlineStr"/>
      <c r="G3705" t="inlineStr"/>
      <c r="H3705" t="inlineStr"/>
    </row>
    <row r="3706">
      <c r="A3706" t="inlineStr">
        <is>
          <t>ac80990c-23fe-4cf9-841b-a5921691c32b.jpg</t>
        </is>
      </c>
      <c r="B3706">
        <f>HYPERLINK("Объекты недвижимости, не соответствующие градостроительным нормам_00-022_Август/ac80990c-23fe-4cf9-841b-a5921691c32b.jpg","open")</f>
        <v/>
      </c>
      <c r="C3706" t="inlineStr">
        <is>
          <t>1c951e11-4940-43c6-a447-394097e5609a</t>
        </is>
      </c>
      <c r="D3706" t="n">
        <v>55.70537</v>
      </c>
      <c r="E3706" t="n">
        <v>37.552</v>
      </c>
      <c r="F3706" t="inlineStr"/>
      <c r="G3706" t="inlineStr"/>
      <c r="H3706" t="inlineStr"/>
    </row>
    <row r="3707">
      <c r="A3707" t="inlineStr">
        <is>
          <t>a7f05ed7-fbc0-4dfa-8613-7b5921586f92.jpg</t>
        </is>
      </c>
      <c r="B3707">
        <f>HYPERLINK("Объекты недвижимости, не соответствующие градостроительным нормам_00-022_Август/a7f05ed7-fbc0-4dfa-8613-7b5921586f92.jpg","open")</f>
        <v/>
      </c>
      <c r="C3707" t="inlineStr">
        <is>
          <t>8cde1fd0-eca1-4510-86ab-3c743b65fdfc</t>
        </is>
      </c>
      <c r="D3707" t="n">
        <v>55.70541</v>
      </c>
      <c r="E3707" t="n">
        <v>37.55207</v>
      </c>
      <c r="F3707" t="inlineStr"/>
      <c r="G3707" t="inlineStr"/>
      <c r="H3707" t="inlineStr"/>
    </row>
    <row r="3708">
      <c r="A3708" t="inlineStr">
        <is>
          <t>17211b2a-ee93-44bc-90be-05667fe8c12e.jpg</t>
        </is>
      </c>
      <c r="B3708">
        <f>HYPERLINK("Объекты недвижимости, не соответствующие градостроительным нормам_00-022_Август/17211b2a-ee93-44bc-90be-05667fe8c12e.jpg","open")</f>
        <v/>
      </c>
      <c r="C3708" t="inlineStr">
        <is>
          <t>1c951e11-4940-43c6-a447-394097e5609a</t>
        </is>
      </c>
      <c r="D3708" t="n">
        <v>55.70522</v>
      </c>
      <c r="E3708" t="n">
        <v>37.55178</v>
      </c>
      <c r="F3708" t="inlineStr"/>
      <c r="G3708" t="inlineStr"/>
      <c r="H3708" t="inlineStr"/>
    </row>
    <row r="3709">
      <c r="A3709" t="inlineStr">
        <is>
          <t>c2151fa1-1d98-491c-aeb8-a47798c75132.jpg</t>
        </is>
      </c>
      <c r="B3709">
        <f>HYPERLINK("Объекты недвижимости, не соответствующие градостроительным нормам_00-022_Август/c2151fa1-1d98-491c-aeb8-a47798c75132.jpg","open")</f>
        <v/>
      </c>
      <c r="C3709" t="inlineStr">
        <is>
          <t>8cde1fd0-eca1-4510-86ab-3c743b65fdfc</t>
        </is>
      </c>
      <c r="D3709" t="n">
        <v>55.70511</v>
      </c>
      <c r="E3709" t="n">
        <v>37.55163</v>
      </c>
      <c r="F3709" t="inlineStr"/>
      <c r="G3709" t="inlineStr"/>
      <c r="H3709" t="inlineStr"/>
    </row>
    <row r="3710">
      <c r="A3710" t="inlineStr">
        <is>
          <t>6e3876cc-6cb3-4048-ad36-a644dcf96e44.jpg</t>
        </is>
      </c>
      <c r="B3710">
        <f>HYPERLINK("Объекты недвижимости, не соответствующие градостроительным нормам_00-022_Август/6e3876cc-6cb3-4048-ad36-a644dcf96e44.jpg","open")</f>
        <v/>
      </c>
      <c r="C3710" t="inlineStr">
        <is>
          <t>685d9054-b74f-49ab-857b-109fd2cec80d</t>
        </is>
      </c>
      <c r="D3710" t="n">
        <v>55.68481</v>
      </c>
      <c r="E3710" t="n">
        <v>37.59286</v>
      </c>
      <c r="F3710" t="inlineStr"/>
      <c r="G3710" t="inlineStr"/>
      <c r="H3710" t="inlineStr"/>
    </row>
    <row r="3711">
      <c r="A3711" t="inlineStr">
        <is>
          <t>5ce9e245-3068-4cfc-a58f-eeeaaa36254b.jpg</t>
        </is>
      </c>
      <c r="B3711">
        <f>HYPERLINK("Объекты недвижимости, не соответствующие градостроительным нормам_00-022_Август/5ce9e245-3068-4cfc-a58f-eeeaaa36254b.jpg","open")</f>
        <v/>
      </c>
      <c r="C3711" t="inlineStr">
        <is>
          <t>db8b536c-32f2-4d9a-ae08-679d227e61f1</t>
        </is>
      </c>
      <c r="D3711" t="n">
        <v>55.73062</v>
      </c>
      <c r="E3711" t="n">
        <v>37.67377</v>
      </c>
      <c r="F3711" t="inlineStr"/>
      <c r="G3711" t="inlineStr"/>
      <c r="H3711" t="inlineStr"/>
    </row>
    <row r="3712">
      <c r="A3712" t="inlineStr">
        <is>
          <t>41bb8358-e28a-4e25-8443-d9e48a769b74.jpg</t>
        </is>
      </c>
      <c r="B3712">
        <f>HYPERLINK("Объекты недвижимости, не соответствующие градостроительным нормам_00-022_Август/41bb8358-e28a-4e25-8443-d9e48a769b74.jpg","open")</f>
        <v/>
      </c>
      <c r="C3712" t="inlineStr">
        <is>
          <t>1231bbc5-e64c-4dc7-9acc-77710f47607a</t>
        </is>
      </c>
      <c r="D3712" t="n">
        <v>55.68484</v>
      </c>
      <c r="E3712" t="n">
        <v>37.59289</v>
      </c>
      <c r="F3712" t="inlineStr"/>
      <c r="G3712" t="inlineStr"/>
      <c r="H3712" t="inlineStr"/>
    </row>
    <row r="3713">
      <c r="A3713" t="inlineStr">
        <is>
          <t>5ccefc24-e532-42a6-9444-0a16670ce926.jpg</t>
        </is>
      </c>
      <c r="B3713">
        <f>HYPERLINK("Объекты недвижимости, не соответствующие градостроительным нормам_00-022_Август/5ccefc24-e532-42a6-9444-0a16670ce926.jpg","open")</f>
        <v/>
      </c>
      <c r="C3713" t="inlineStr">
        <is>
          <t>1231bbc5-e64c-4dc7-9acc-77710f47607a</t>
        </is>
      </c>
      <c r="D3713" t="n">
        <v>55.68426</v>
      </c>
      <c r="E3713" t="n">
        <v>37.59322</v>
      </c>
      <c r="F3713" t="inlineStr"/>
      <c r="G3713" t="inlineStr"/>
      <c r="H3713" t="inlineStr"/>
    </row>
    <row r="3714">
      <c r="A3714" t="inlineStr">
        <is>
          <t>4061eca6-4a05-458a-bdc9-e0f15f60084f.jpg</t>
        </is>
      </c>
      <c r="B3714">
        <f>HYPERLINK("Объекты недвижимости, не соответствующие градостроительным нормам_00-022_Август/4061eca6-4a05-458a-bdc9-e0f15f60084f.jpg","open")</f>
        <v/>
      </c>
      <c r="C3714" t="inlineStr">
        <is>
          <t>685d9054-b74f-49ab-857b-109fd2cec80d</t>
        </is>
      </c>
      <c r="D3714" t="n">
        <v>55.6843</v>
      </c>
      <c r="E3714" t="n">
        <v>37.59317</v>
      </c>
      <c r="F3714" t="inlineStr"/>
      <c r="G3714" t="inlineStr"/>
      <c r="H3714" t="inlineStr"/>
    </row>
    <row r="3715">
      <c r="A3715" t="inlineStr">
        <is>
          <t>7169a9aa-5fc0-468c-b634-a9969bd6f845.jpg</t>
        </is>
      </c>
      <c r="B3715">
        <f>HYPERLINK("Объекты недвижимости, не соответствующие градостроительным нормам_00-022_Август/7169a9aa-5fc0-468c-b634-a9969bd6f845.jpg","open")</f>
        <v/>
      </c>
      <c r="C3715" t="inlineStr">
        <is>
          <t>acedacc2-0d8b-4fc1-9622-25621a89d071</t>
        </is>
      </c>
      <c r="D3715" t="n">
        <v>55.73705</v>
      </c>
      <c r="E3715" t="n">
        <v>37.8349</v>
      </c>
      <c r="F3715" t="inlineStr"/>
      <c r="G3715" t="inlineStr"/>
      <c r="H3715" t="inlineStr"/>
    </row>
    <row r="3716">
      <c r="A3716" t="inlineStr">
        <is>
          <t>b20d87ad-9a23-45b9-8ce6-dec184b4e15c.jpg</t>
        </is>
      </c>
      <c r="B3716">
        <f>HYPERLINK("Объекты недвижимости, не соответствующие градостроительным нормам_00-022_Август/b20d87ad-9a23-45b9-8ce6-dec184b4e15c.jpg","open")</f>
        <v/>
      </c>
      <c r="C3716" t="inlineStr">
        <is>
          <t>12e795ad-2aa7-49de-b2da-2c6aa35a4559</t>
        </is>
      </c>
      <c r="D3716" t="n">
        <v>55.64191</v>
      </c>
      <c r="E3716" t="n">
        <v>37.54063</v>
      </c>
      <c r="F3716" t="inlineStr"/>
      <c r="G3716" t="inlineStr"/>
      <c r="H3716" t="inlineStr"/>
    </row>
    <row r="3717">
      <c r="A3717" t="inlineStr">
        <is>
          <t>d6e30edb-5255-4354-b07c-03032426cb5c.jpg</t>
        </is>
      </c>
      <c r="B3717">
        <f>HYPERLINK("Объекты недвижимости, не соответствующие градостроительным нормам_00-022_Август/d6e30edb-5255-4354-b07c-03032426cb5c.jpg","open")</f>
        <v/>
      </c>
      <c r="C3717" t="inlineStr">
        <is>
          <t>8cde1fd0-eca1-4510-86ab-3c743b65fdfc</t>
        </is>
      </c>
      <c r="D3717" t="n">
        <v>55.69519</v>
      </c>
      <c r="E3717" t="n">
        <v>37.55631</v>
      </c>
      <c r="F3717" t="inlineStr"/>
      <c r="G3717" t="inlineStr"/>
      <c r="H3717" t="inlineStr"/>
    </row>
    <row r="3718">
      <c r="A3718" t="inlineStr">
        <is>
          <t>f0e227d7-f8f2-4da6-ad99-362a9b92f43a.jpg</t>
        </is>
      </c>
      <c r="B3718">
        <f>HYPERLINK("Объекты недвижимости, не соответствующие градостроительным нормам_00-022_Август/f0e227d7-f8f2-4da6-ad99-362a9b92f43a.jpg","open")</f>
        <v/>
      </c>
      <c r="C3718" t="inlineStr">
        <is>
          <t>8cde1fd0-eca1-4510-86ab-3c743b65fdfc</t>
        </is>
      </c>
      <c r="D3718" t="n">
        <v>55.69987</v>
      </c>
      <c r="E3718" t="n">
        <v>37.56124</v>
      </c>
      <c r="F3718" t="inlineStr"/>
      <c r="G3718" t="inlineStr"/>
      <c r="H3718" t="inlineStr"/>
    </row>
    <row r="3719">
      <c r="A3719" t="inlineStr">
        <is>
          <t>4a7bf454-f534-43ad-82ce-0872d437201a.jpg</t>
        </is>
      </c>
      <c r="B3719">
        <f>HYPERLINK("Объекты недвижимости, не соответствующие градостроительным нормам_00-022_Август/4a7bf454-f534-43ad-82ce-0872d437201a.jpg","open")</f>
        <v/>
      </c>
      <c r="C3719" t="inlineStr">
        <is>
          <t>8cde1fd0-eca1-4510-86ab-3c743b65fdfc</t>
        </is>
      </c>
      <c r="D3719" t="n">
        <v>55.69999</v>
      </c>
      <c r="E3719" t="n">
        <v>37.56144</v>
      </c>
      <c r="F3719" t="inlineStr"/>
      <c r="G3719" t="inlineStr"/>
      <c r="H3719" t="inlineStr"/>
    </row>
    <row r="3720">
      <c r="A3720" t="inlineStr">
        <is>
          <t>1d41f71e-d418-428d-a97e-c4f5d78b86d6.jpg</t>
        </is>
      </c>
      <c r="B3720">
        <f>HYPERLINK("Объекты недвижимости, не соответствующие градостроительным нормам_00-022_Август/1d41f71e-d418-428d-a97e-c4f5d78b86d6.jpg","open")</f>
        <v/>
      </c>
      <c r="C3720" t="inlineStr">
        <is>
          <t>9c930d0e-e445-452d-a046-325646b21ab7</t>
        </is>
      </c>
      <c r="D3720" t="n">
        <v>55.92514</v>
      </c>
      <c r="E3720" t="n">
        <v>37.38648</v>
      </c>
      <c r="F3720" t="inlineStr"/>
      <c r="G3720" t="inlineStr"/>
      <c r="H3720" t="inlineStr"/>
    </row>
    <row r="3721">
      <c r="A3721" t="inlineStr">
        <is>
          <t>c774ef12-b53f-4408-87c8-bbed84952f2c.jpg</t>
        </is>
      </c>
      <c r="B3721">
        <f>HYPERLINK("Объекты недвижимости, не соответствующие градостроительным нормам_00-022_Август/c774ef12-b53f-4408-87c8-bbed84952f2c.jpg","open")</f>
        <v/>
      </c>
      <c r="C3721" t="inlineStr">
        <is>
          <t>29ad9edb-d533-4272-a986-be24eb004851</t>
        </is>
      </c>
      <c r="D3721" t="n">
        <v>55.78363</v>
      </c>
      <c r="E3721" t="n">
        <v>37.69142</v>
      </c>
      <c r="F3721" t="inlineStr"/>
      <c r="G3721" t="inlineStr"/>
      <c r="H3721" t="inlineStr"/>
    </row>
    <row r="3722">
      <c r="A3722" t="inlineStr">
        <is>
          <t>d30f5c05-e6a5-4dfa-b0c4-92c1a39dffb5.jpg</t>
        </is>
      </c>
      <c r="B3722">
        <f>HYPERLINK("Объекты недвижимости, не соответствующие градостроительным нормам_00-022_Август/d30f5c05-e6a5-4dfa-b0c4-92c1a39dffb5.jpg","open")</f>
        <v/>
      </c>
      <c r="C3722" t="inlineStr">
        <is>
          <t>c008bda0-324b-4c90-9c2f-36cfc930e0b5</t>
        </is>
      </c>
      <c r="D3722" t="n">
        <v>55.78363</v>
      </c>
      <c r="E3722" t="n">
        <v>37.69142</v>
      </c>
      <c r="F3722" t="inlineStr"/>
      <c r="G3722" t="inlineStr"/>
      <c r="H3722" t="inlineStr"/>
    </row>
    <row r="3723">
      <c r="A3723" t="inlineStr">
        <is>
          <t>c26e39c4-617f-43e7-913c-dab08f592eb5.jpg</t>
        </is>
      </c>
      <c r="B3723">
        <f>HYPERLINK("Объекты недвижимости, не соответствующие градостроительным нормам_00-022_Август/c26e39c4-617f-43e7-913c-dab08f592eb5.jpg","open")</f>
        <v/>
      </c>
      <c r="C3723" t="inlineStr">
        <is>
          <t>91248771-2c4d-44f3-b3cf-d536bd4ae73c</t>
        </is>
      </c>
      <c r="D3723" t="n">
        <v>55.79208</v>
      </c>
      <c r="E3723" t="n">
        <v>37.72566</v>
      </c>
      <c r="F3723" t="inlineStr"/>
      <c r="G3723" t="inlineStr"/>
      <c r="H3723" t="inlineStr"/>
    </row>
    <row r="3724">
      <c r="A3724" t="inlineStr">
        <is>
          <t>a682c8cc-8f2b-420c-aa13-e1a2f2744a41.jpg</t>
        </is>
      </c>
      <c r="B3724">
        <f>HYPERLINK("Объекты недвижимости, не соответствующие градостроительным нормам_00-022_Август/a682c8cc-8f2b-420c-aa13-e1a2f2744a41.jpg","open")</f>
        <v/>
      </c>
      <c r="C3724" t="inlineStr">
        <is>
          <t>29ad9edb-d533-4272-a986-be24eb004851</t>
        </is>
      </c>
      <c r="D3724" t="n">
        <v>55.78257</v>
      </c>
      <c r="E3724" t="n">
        <v>37.69672</v>
      </c>
      <c r="F3724" t="inlineStr"/>
      <c r="G3724" t="inlineStr"/>
      <c r="H3724" t="inlineStr"/>
    </row>
    <row r="3725">
      <c r="A3725" t="inlineStr">
        <is>
          <t>a76002e9-e565-408d-bbf2-62c5abc5d596.jpg</t>
        </is>
      </c>
      <c r="B3725">
        <f>HYPERLINK("Объекты недвижимости, не соответствующие градостроительным нормам_00-022_Август/a76002e9-e565-408d-bbf2-62c5abc5d596.jpg","open")</f>
        <v/>
      </c>
      <c r="C3725" t="inlineStr">
        <is>
          <t>c008bda0-324b-4c90-9c2f-36cfc930e0b5</t>
        </is>
      </c>
      <c r="D3725" t="n">
        <v>55.78249</v>
      </c>
      <c r="E3725" t="n">
        <v>37.69683</v>
      </c>
      <c r="F3725" t="inlineStr"/>
      <c r="G3725" t="inlineStr"/>
      <c r="H3725" t="inlineStr"/>
    </row>
    <row r="3726">
      <c r="A3726" t="inlineStr">
        <is>
          <t>55e671c5-8fa1-4cd2-9c49-d42fe1882fdd.jpg</t>
        </is>
      </c>
      <c r="B3726">
        <f>HYPERLINK("Объекты недвижимости, не соответствующие градостроительным нормам_00-022_Август/55e671c5-8fa1-4cd2-9c49-d42fe1882fdd.jpg","open")</f>
        <v/>
      </c>
      <c r="C3726" t="inlineStr">
        <is>
          <t>29ad9edb-d533-4272-a986-be24eb004851</t>
        </is>
      </c>
      <c r="D3726" t="n">
        <v>55.78246</v>
      </c>
      <c r="E3726" t="n">
        <v>37.69865</v>
      </c>
      <c r="F3726" t="inlineStr"/>
      <c r="G3726" t="inlineStr"/>
      <c r="H3726" t="inlineStr"/>
    </row>
    <row r="3727">
      <c r="A3727" t="inlineStr">
        <is>
          <t>09fdcaaa-fcfd-493d-81ea-a35733ca6bb2.jpg</t>
        </is>
      </c>
      <c r="B3727">
        <f>HYPERLINK("Объекты недвижимости, не соответствующие градостроительным нормам_00-022_Август/09fdcaaa-fcfd-493d-81ea-a35733ca6bb2.jpg","open")</f>
        <v/>
      </c>
      <c r="C3727" t="inlineStr">
        <is>
          <t>c008bda0-324b-4c90-9c2f-36cfc930e0b5</t>
        </is>
      </c>
      <c r="D3727" t="n">
        <v>55.78244</v>
      </c>
      <c r="E3727" t="n">
        <v>37.69875</v>
      </c>
      <c r="F3727" t="inlineStr"/>
      <c r="G3727" t="inlineStr"/>
      <c r="H3727" t="inlineStr"/>
    </row>
    <row r="3728">
      <c r="A3728" t="inlineStr">
        <is>
          <t>12c5161c-0315-478a-8bc0-ab59b12434ac.jpg</t>
        </is>
      </c>
      <c r="B3728">
        <f>HYPERLINK("Объекты недвижимости, не соответствующие градостроительным нормам_00-022_Август/12c5161c-0315-478a-8bc0-ab59b12434ac.jpg","open")</f>
        <v/>
      </c>
      <c r="C3728" t="inlineStr">
        <is>
          <t>1a55986c-2c3f-40c0-b3d1-014dce77832e</t>
        </is>
      </c>
      <c r="D3728" t="n">
        <v>55.7865</v>
      </c>
      <c r="E3728" t="n">
        <v>37.50199</v>
      </c>
      <c r="F3728" t="inlineStr"/>
      <c r="G3728" t="inlineStr"/>
      <c r="H3728" t="inlineStr"/>
    </row>
    <row r="3729">
      <c r="A3729" t="inlineStr">
        <is>
          <t>69a11c89-f05b-4d39-bcba-dff9abf26cbc.jpg</t>
        </is>
      </c>
      <c r="B3729">
        <f>HYPERLINK("Объекты недвижимости, не соответствующие градостроительным нормам_00-022_Август/69a11c89-f05b-4d39-bcba-dff9abf26cbc.jpg","open")</f>
        <v/>
      </c>
      <c r="C3729" t="inlineStr">
        <is>
          <t>ed2bf0f1-3a66-4913-896e-4420a9796c0b</t>
        </is>
      </c>
      <c r="D3729" t="n">
        <v>55.78648</v>
      </c>
      <c r="E3729" t="n">
        <v>37.50187</v>
      </c>
      <c r="F3729" t="inlineStr"/>
      <c r="G3729" t="inlineStr"/>
      <c r="H3729" t="inlineStr"/>
    </row>
    <row r="3730">
      <c r="A3730" t="inlineStr">
        <is>
          <t>9eb30d9d-ab81-4fbc-b5f4-14ae1881cd10.jpg</t>
        </is>
      </c>
      <c r="B3730">
        <f>HYPERLINK("Объекты недвижимости, не соответствующие градостроительным нормам_00-022_Август/9eb30d9d-ab81-4fbc-b5f4-14ae1881cd10.jpg","open")</f>
        <v/>
      </c>
      <c r="C3730" t="inlineStr">
        <is>
          <t>29ad9edb-d533-4272-a986-be24eb004851</t>
        </is>
      </c>
      <c r="D3730" t="n">
        <v>55.78193</v>
      </c>
      <c r="E3730" t="n">
        <v>37.69669</v>
      </c>
      <c r="F3730" t="inlineStr"/>
      <c r="G3730" t="inlineStr"/>
      <c r="H3730" t="inlineStr"/>
    </row>
    <row r="3731">
      <c r="A3731" t="inlineStr">
        <is>
          <t>15c73d44-727a-449b-b1ca-40e65f586312.jpg</t>
        </is>
      </c>
      <c r="B3731">
        <f>HYPERLINK("Объекты недвижимости, не соответствующие градостроительным нормам_00-022_Август/15c73d44-727a-449b-b1ca-40e65f586312.jpg","open")</f>
        <v/>
      </c>
      <c r="C3731" t="inlineStr">
        <is>
          <t>8b2675e2-7f40-47a9-a462-7c9feecd299c</t>
        </is>
      </c>
      <c r="D3731" t="n">
        <v>55.67176</v>
      </c>
      <c r="E3731" t="n">
        <v>37.47685</v>
      </c>
      <c r="F3731" t="inlineStr"/>
      <c r="G3731" t="inlineStr"/>
      <c r="H3731" t="inlineStr"/>
    </row>
    <row r="3732">
      <c r="A3732" t="inlineStr">
        <is>
          <t>576512a6-9360-4f3a-affa-b5e88e5bd244.jpg</t>
        </is>
      </c>
      <c r="B3732">
        <f>HYPERLINK("Объекты недвижимости, не соответствующие градостроительным нормам_00-022_Август/576512a6-9360-4f3a-affa-b5e88e5bd244.jpg","open")</f>
        <v/>
      </c>
      <c r="C3732" t="inlineStr">
        <is>
          <t>29ad9edb-d533-4272-a986-be24eb004851</t>
        </is>
      </c>
      <c r="D3732" t="n">
        <v>55.78637</v>
      </c>
      <c r="E3732" t="n">
        <v>37.69603</v>
      </c>
      <c r="F3732" t="inlineStr"/>
      <c r="G3732" t="inlineStr"/>
      <c r="H3732" t="inlineStr"/>
    </row>
    <row r="3733">
      <c r="A3733" t="inlineStr">
        <is>
          <t>8099eea7-4119-4aa1-b7c3-4531e8877cfe.jpg</t>
        </is>
      </c>
      <c r="B3733">
        <f>HYPERLINK("Объекты недвижимости, не соответствующие градостроительным нормам_00-022_Август/8099eea7-4119-4aa1-b7c3-4531e8877cfe.jpg","open")</f>
        <v/>
      </c>
      <c r="C3733" t="inlineStr">
        <is>
          <t>29ad9edb-d533-4272-a986-be24eb004851</t>
        </is>
      </c>
      <c r="D3733" t="n">
        <v>55.78664</v>
      </c>
      <c r="E3733" t="n">
        <v>37.69057</v>
      </c>
      <c r="F3733" t="inlineStr"/>
      <c r="G3733" t="inlineStr"/>
      <c r="H3733" t="inlineStr"/>
    </row>
    <row r="3734">
      <c r="A3734" t="inlineStr">
        <is>
          <t>5cb5aada-bd55-4e2e-afa3-6e6b83d31e50.jpg</t>
        </is>
      </c>
      <c r="B3734">
        <f>HYPERLINK("Объекты недвижимости, не соответствующие градостроительным нормам_00-022_Август/5cb5aada-bd55-4e2e-afa3-6e6b83d31e50.jpg","open")</f>
        <v/>
      </c>
      <c r="C3734" t="inlineStr">
        <is>
          <t>1c951e11-4940-43c6-a447-394097e5609a</t>
        </is>
      </c>
      <c r="D3734" t="n">
        <v>55.70027</v>
      </c>
      <c r="E3734" t="n">
        <v>37.56223</v>
      </c>
      <c r="F3734" t="inlineStr"/>
      <c r="G3734" t="inlineStr"/>
      <c r="H3734" t="inlineStr"/>
    </row>
    <row r="3735">
      <c r="A3735" t="inlineStr">
        <is>
          <t>3344ed5d-c68a-4e6c-8a05-81f1bd25ac97.jpg</t>
        </is>
      </c>
      <c r="B3735">
        <f>HYPERLINK("Объекты недвижимости, не соответствующие градостроительным нормам_00-022_Август/3344ed5d-c68a-4e6c-8a05-81f1bd25ac97.jpg","open")</f>
        <v/>
      </c>
      <c r="C3735" t="inlineStr">
        <is>
          <t>1c951e11-4940-43c6-a447-394097e5609a</t>
        </is>
      </c>
      <c r="D3735" t="n">
        <v>55.70025</v>
      </c>
      <c r="E3735" t="n">
        <v>37.56223</v>
      </c>
      <c r="F3735" t="inlineStr"/>
      <c r="G3735" t="inlineStr"/>
      <c r="H3735" t="inlineStr"/>
    </row>
    <row r="3736">
      <c r="A3736" t="inlineStr">
        <is>
          <t>b1b39161-4215-4aed-bc4a-32bd17f9a30c.jpg</t>
        </is>
      </c>
      <c r="B3736">
        <f>HYPERLINK("Объекты недвижимости, не соответствующие градостроительным нормам_00-022_Август/b1b39161-4215-4aed-bc4a-32bd17f9a30c.jpg","open")</f>
        <v/>
      </c>
      <c r="C3736" t="inlineStr">
        <is>
          <t>8cde1fd0-eca1-4510-86ab-3c743b65fdfc</t>
        </is>
      </c>
      <c r="D3736" t="n">
        <v>55.70025</v>
      </c>
      <c r="E3736" t="n">
        <v>37.56223</v>
      </c>
      <c r="F3736" t="inlineStr"/>
      <c r="G3736" t="inlineStr"/>
      <c r="H3736" t="inlineStr"/>
    </row>
    <row r="3737">
      <c r="A3737" t="inlineStr">
        <is>
          <t>89518fc8-87fe-42a8-b49e-2ba15338bb8b.jpg</t>
        </is>
      </c>
      <c r="B3737">
        <f>HYPERLINK("Объекты недвижимости, не соответствующие градостроительным нормам_00-022_Август/89518fc8-87fe-42a8-b49e-2ba15338bb8b.jpg","open")</f>
        <v/>
      </c>
      <c r="C3737" t="inlineStr">
        <is>
          <t>ed2bf0f1-3a66-4913-896e-4420a9796c0b</t>
        </is>
      </c>
      <c r="D3737" t="n">
        <v>55.7878</v>
      </c>
      <c r="E3737" t="n">
        <v>37.49125</v>
      </c>
      <c r="F3737" t="inlineStr"/>
      <c r="G3737" t="inlineStr"/>
      <c r="H3737" t="inlineStr"/>
    </row>
    <row r="3738">
      <c r="A3738" t="inlineStr">
        <is>
          <t>a9915fc4-3eca-4df8-951c-8217ad4a92bd.jpg</t>
        </is>
      </c>
      <c r="B3738">
        <f>HYPERLINK("Объекты недвижимости, не соответствующие градостроительным нормам_00-022_Август/a9915fc4-3eca-4df8-951c-8217ad4a92bd.jpg","open")</f>
        <v/>
      </c>
      <c r="C3738" t="inlineStr">
        <is>
          <t>685d9054-b74f-49ab-857b-109fd2cec80d</t>
        </is>
      </c>
      <c r="D3738" t="n">
        <v>55.68327</v>
      </c>
      <c r="E3738" t="n">
        <v>37.59531</v>
      </c>
      <c r="F3738" t="inlineStr"/>
      <c r="G3738" t="inlineStr"/>
      <c r="H3738" t="inlineStr"/>
    </row>
    <row r="3739">
      <c r="A3739" t="inlineStr">
        <is>
          <t>c3f1b7af-443d-4eca-88e0-b9054a35624d.jpg</t>
        </is>
      </c>
      <c r="B3739">
        <f>HYPERLINK("Объекты недвижимости, не соответствующие градостроительным нормам_00-022_Август/c3f1b7af-443d-4eca-88e0-b9054a35624d.jpg","open")</f>
        <v/>
      </c>
      <c r="C3739" t="inlineStr">
        <is>
          <t>61936922-4d4b-458e-80ea-6d4c450aa1d5</t>
        </is>
      </c>
      <c r="D3739" t="n">
        <v>55.68796</v>
      </c>
      <c r="E3739" t="n">
        <v>37.48777</v>
      </c>
      <c r="F3739" t="inlineStr"/>
      <c r="G3739" t="inlineStr"/>
      <c r="H3739" t="inlineStr"/>
    </row>
    <row r="3740">
      <c r="A3740" t="inlineStr">
        <is>
          <t>19080053-9441-48d0-9456-16d77da113ec.jpg</t>
        </is>
      </c>
      <c r="B3740">
        <f>HYPERLINK("Объекты недвижимости, не соответствующие градостроительным нормам_00-022_Август/19080053-9441-48d0-9456-16d77da113ec.jpg","open")</f>
        <v/>
      </c>
      <c r="C3740" t="inlineStr">
        <is>
          <t>685d9054-b74f-49ab-857b-109fd2cec80d</t>
        </is>
      </c>
      <c r="D3740" t="n">
        <v>55.68306</v>
      </c>
      <c r="E3740" t="n">
        <v>37.59616</v>
      </c>
      <c r="F3740" t="inlineStr"/>
      <c r="G3740" t="inlineStr"/>
      <c r="H3740" t="inlineStr"/>
    </row>
    <row r="3741">
      <c r="A3741" t="inlineStr">
        <is>
          <t>9230bda5-daab-41c5-aba9-95b7b04581ea.jpg</t>
        </is>
      </c>
      <c r="B3741">
        <f>HYPERLINK("Объекты недвижимости, не соответствующие градостроительным нормам_00-022_Август/9230bda5-daab-41c5-aba9-95b7b04581ea.jpg","open")</f>
        <v/>
      </c>
      <c r="C3741" t="inlineStr">
        <is>
          <t>ab4e767f-65c0-455b-af20-a5527124fd21</t>
        </is>
      </c>
      <c r="D3741" t="n">
        <v>55.66639</v>
      </c>
      <c r="E3741" t="n">
        <v>37.4212</v>
      </c>
      <c r="F3741" t="inlineStr"/>
      <c r="G3741" t="inlineStr"/>
      <c r="H3741" t="inlineStr"/>
    </row>
    <row r="3742">
      <c r="A3742" t="inlineStr">
        <is>
          <t>467542ee-681e-4198-b98c-227a91acc1d2.jpg</t>
        </is>
      </c>
      <c r="B3742">
        <f>HYPERLINK("Объекты недвижимости, не соответствующие градостроительным нормам_00-022_Август/467542ee-681e-4198-b98c-227a91acc1d2.jpg","open")</f>
        <v/>
      </c>
      <c r="C3742" t="inlineStr">
        <is>
          <t>f9ad0a8f-1e33-4fca-bdfe-5b844d3ee381</t>
        </is>
      </c>
      <c r="D3742" t="n">
        <v>55.67054</v>
      </c>
      <c r="E3742" t="n">
        <v>37.41615</v>
      </c>
      <c r="F3742" t="inlineStr"/>
      <c r="G3742" t="inlineStr"/>
      <c r="H3742" t="inlineStr"/>
    </row>
    <row r="3743">
      <c r="A3743" t="inlineStr">
        <is>
          <t>5817ee80-7dc3-40a5-bd58-61fc95cc247a.jpg</t>
        </is>
      </c>
      <c r="B3743">
        <f>HYPERLINK("Объекты недвижимости, не соответствующие градостроительным нормам_00-022_Август/5817ee80-7dc3-40a5-bd58-61fc95cc247a.jpg","open")</f>
        <v/>
      </c>
      <c r="C3743" t="inlineStr">
        <is>
          <t>8cde1fd0-eca1-4510-86ab-3c743b65fdfc</t>
        </is>
      </c>
      <c r="D3743" t="n">
        <v>55.6946</v>
      </c>
      <c r="E3743" t="n">
        <v>37.5462</v>
      </c>
      <c r="F3743" t="inlineStr"/>
      <c r="G3743" t="inlineStr"/>
      <c r="H3743" t="inlineStr"/>
    </row>
    <row r="3744">
      <c r="A3744" t="inlineStr">
        <is>
          <t>59dd1891-65b7-401f-ace0-bd9bb4fee821.jpg</t>
        </is>
      </c>
      <c r="B3744">
        <f>HYPERLINK("Объекты недвижимости, не соответствующие градостроительным нормам_00-022_Август/59dd1891-65b7-401f-ace0-bd9bb4fee821.jpg","open")</f>
        <v/>
      </c>
      <c r="C3744" t="inlineStr">
        <is>
          <t>e26f5fc2-1353-4f29-85f3-87c56419161c</t>
        </is>
      </c>
      <c r="D3744" t="n">
        <v>55.80154</v>
      </c>
      <c r="E3744" t="n">
        <v>37.71038</v>
      </c>
      <c r="F3744" t="inlineStr"/>
      <c r="G3744" t="inlineStr"/>
      <c r="H3744" t="inlineStr"/>
    </row>
    <row r="3745">
      <c r="A3745" t="inlineStr">
        <is>
          <t>c4be7e77-e70c-4cc8-8d0b-3f93616c86fd.jpg</t>
        </is>
      </c>
      <c r="B3745">
        <f>HYPERLINK("Объекты недвижимости, не соответствующие градостроительным нормам_00-022_Август/c4be7e77-e70c-4cc8-8d0b-3f93616c86fd.jpg","open")</f>
        <v/>
      </c>
      <c r="C3745" t="inlineStr">
        <is>
          <t>1a55986c-2c3f-40c0-b3d1-014dce77832e</t>
        </is>
      </c>
      <c r="D3745" t="n">
        <v>55.97098</v>
      </c>
      <c r="E3745" t="n">
        <v>37.43105</v>
      </c>
      <c r="F3745" t="inlineStr"/>
      <c r="G3745" t="inlineStr"/>
      <c r="H3745" t="inlineStr"/>
    </row>
    <row r="3746">
      <c r="A3746" t="inlineStr">
        <is>
          <t>197d8900-dfe3-450d-8f28-23d1a9f06020.jpg</t>
        </is>
      </c>
      <c r="B3746">
        <f>HYPERLINK("Объекты недвижимости, не соответствующие градостроительным нормам_00-022_Август/197d8900-dfe3-450d-8f28-23d1a9f06020.jpg","open")</f>
        <v/>
      </c>
      <c r="C3746" t="inlineStr">
        <is>
          <t>dd48f742-b338-42e2-bbaf-b3a9701b437c</t>
        </is>
      </c>
      <c r="D3746" t="n">
        <v>55.99841</v>
      </c>
      <c r="E3746" t="n">
        <v>37.21098</v>
      </c>
      <c r="F3746" t="inlineStr"/>
      <c r="G3746" t="inlineStr"/>
      <c r="H3746" t="inlineStr"/>
    </row>
    <row r="3747">
      <c r="A3747" t="inlineStr">
        <is>
          <t>d857d26d-9943-44e0-8557-928af20531cc.jpg</t>
        </is>
      </c>
      <c r="B3747">
        <f>HYPERLINK("Объекты недвижимости, не соответствующие градостроительным нормам_00-022_Август/d857d26d-9943-44e0-8557-928af20531cc.jpg","open")</f>
        <v/>
      </c>
      <c r="C3747" t="inlineStr">
        <is>
          <t>1c951e11-4940-43c6-a447-394097e5609a</t>
        </is>
      </c>
      <c r="D3747" t="n">
        <v>55.68983</v>
      </c>
      <c r="E3747" t="n">
        <v>37.54327</v>
      </c>
      <c r="F3747" t="inlineStr"/>
      <c r="G3747" t="inlineStr"/>
      <c r="H3747" t="inlineStr"/>
    </row>
    <row r="3748">
      <c r="A3748" t="inlineStr">
        <is>
          <t>3209b33b-353f-4007-af26-28a7073f1848.jpg</t>
        </is>
      </c>
      <c r="B3748">
        <f>HYPERLINK("Объекты недвижимости, не соответствующие градостроительным нормам_00-022_Август/3209b33b-353f-4007-af26-28a7073f1848.jpg","open")</f>
        <v/>
      </c>
      <c r="C3748" t="inlineStr">
        <is>
          <t>8cde1fd0-eca1-4510-86ab-3c743b65fdfc</t>
        </is>
      </c>
      <c r="D3748" t="n">
        <v>55.68997</v>
      </c>
      <c r="E3748" t="n">
        <v>37.54279</v>
      </c>
      <c r="F3748" t="inlineStr"/>
      <c r="G3748" t="inlineStr"/>
      <c r="H3748" t="inlineStr"/>
    </row>
    <row r="3749">
      <c r="A3749" t="inlineStr">
        <is>
          <t>5e4fb02e-e5f4-4a6f-a5c9-12f2dca55252.jpg</t>
        </is>
      </c>
      <c r="B3749">
        <f>HYPERLINK("Объекты недвижимости, не соответствующие градостроительным нормам_00-022_Август/5e4fb02e-e5f4-4a6f-a5c9-12f2dca55252.jpg","open")</f>
        <v/>
      </c>
      <c r="C3749" t="inlineStr">
        <is>
          <t>c008bda0-324b-4c90-9c2f-36cfc930e0b5</t>
        </is>
      </c>
      <c r="D3749" t="n">
        <v>55.78253</v>
      </c>
      <c r="E3749" t="n">
        <v>37.69892</v>
      </c>
      <c r="F3749" t="inlineStr"/>
      <c r="G3749" t="inlineStr"/>
      <c r="H3749" t="inlineStr"/>
    </row>
    <row r="3750">
      <c r="A3750" t="inlineStr">
        <is>
          <t>b147fda6-31e5-4be8-8133-db0785fcd52e.jpg</t>
        </is>
      </c>
      <c r="B3750">
        <f>HYPERLINK("Объекты недвижимости, не соответствующие градостроительным нормам_00-022_Август/b147fda6-31e5-4be8-8133-db0785fcd52e.jpg","open")</f>
        <v/>
      </c>
      <c r="C3750" t="inlineStr">
        <is>
          <t>1c951e11-4940-43c6-a447-394097e5609a</t>
        </is>
      </c>
      <c r="D3750" t="n">
        <v>55.69041</v>
      </c>
      <c r="E3750" t="n">
        <v>37.54211</v>
      </c>
      <c r="F3750" t="inlineStr"/>
      <c r="G3750" t="inlineStr"/>
      <c r="H3750" t="inlineStr"/>
    </row>
    <row r="3751">
      <c r="A3751" t="inlineStr">
        <is>
          <t>c3c8ba55-7977-429e-ab1a-cc82df83dbc3.jpg</t>
        </is>
      </c>
      <c r="B3751">
        <f>HYPERLINK("Объекты недвижимости, не соответствующие градостроительным нормам_00-022_Август/c3c8ba55-7977-429e-ab1a-cc82df83dbc3.jpg","open")</f>
        <v/>
      </c>
      <c r="C3751" t="inlineStr">
        <is>
          <t>91248771-2c4d-44f3-b3cf-d536bd4ae73c</t>
        </is>
      </c>
      <c r="D3751" t="n">
        <v>55.7972</v>
      </c>
      <c r="E3751" t="n">
        <v>37.7286</v>
      </c>
      <c r="F3751" t="inlineStr"/>
      <c r="G3751" t="inlineStr"/>
      <c r="H3751" t="inlineStr"/>
    </row>
    <row r="3752">
      <c r="A3752" t="inlineStr">
        <is>
          <t>629b79df-4a9e-4c18-9a29-10bdcf3b733e.jpg</t>
        </is>
      </c>
      <c r="B3752">
        <f>HYPERLINK("Объекты недвижимости, не соответствующие градостроительным нормам_00-022_Август/629b79df-4a9e-4c18-9a29-10bdcf3b733e.jpg","open")</f>
        <v/>
      </c>
      <c r="C3752" t="inlineStr">
        <is>
          <t>8cde1fd0-eca1-4510-86ab-3c743b65fdfc</t>
        </is>
      </c>
      <c r="D3752" t="n">
        <v>55.69275</v>
      </c>
      <c r="E3752" t="n">
        <v>37.5396</v>
      </c>
      <c r="F3752" t="inlineStr"/>
      <c r="G3752" t="inlineStr"/>
      <c r="H3752" t="inlineStr"/>
    </row>
    <row r="3753">
      <c r="A3753" t="inlineStr">
        <is>
          <t>c07c13c1-fe9f-4345-8370-c40735460d93.jpg</t>
        </is>
      </c>
      <c r="B3753">
        <f>HYPERLINK("Объекты недвижимости, не соответствующие градостроительным нормам_00-022_Август/c07c13c1-fe9f-4345-8370-c40735460d93.jpg","open")</f>
        <v/>
      </c>
      <c r="C3753" t="inlineStr">
        <is>
          <t>b6b3590f-f506-4399-8205-e7ac710132e7</t>
        </is>
      </c>
      <c r="D3753" t="n">
        <v>55.8022</v>
      </c>
      <c r="E3753" t="n">
        <v>37.54526</v>
      </c>
      <c r="F3753" t="inlineStr"/>
      <c r="G3753" t="inlineStr"/>
      <c r="H3753" t="inlineStr"/>
    </row>
    <row r="3754">
      <c r="A3754" t="inlineStr">
        <is>
          <t>95a49fc8-d6dd-4311-acc7-622e11d5f275.jpg</t>
        </is>
      </c>
      <c r="B3754">
        <f>HYPERLINK("Объекты недвижимости, не соответствующие градостроительным нормам_00-022_Август/95a49fc8-d6dd-4311-acc7-622e11d5f275.jpg","open")</f>
        <v/>
      </c>
      <c r="C3754" t="inlineStr">
        <is>
          <t>ed2bf0f1-3a66-4913-896e-4420a9796c0b</t>
        </is>
      </c>
      <c r="D3754" t="n">
        <v>55.78274</v>
      </c>
      <c r="E3754" t="n">
        <v>37.48145</v>
      </c>
      <c r="F3754" t="inlineStr"/>
      <c r="G3754" t="inlineStr"/>
      <c r="H3754" t="inlineStr"/>
    </row>
    <row r="3755">
      <c r="A3755" t="inlineStr">
        <is>
          <t>6caf79b9-283e-43a8-a97f-8c4767e66a72.jpg</t>
        </is>
      </c>
      <c r="B3755">
        <f>HYPERLINK("Объекты недвижимости, не соответствующие градостроительным нормам_00-022_Август/6caf79b9-283e-43a8-a97f-8c4767e66a72.jpg","open")</f>
        <v/>
      </c>
      <c r="C3755" t="inlineStr">
        <is>
          <t>ad64e6b9-1ed5-44d7-a101-4945a1f9dec6</t>
        </is>
      </c>
      <c r="D3755" t="n">
        <v>55.64554</v>
      </c>
      <c r="E3755" t="n">
        <v>37.6019</v>
      </c>
      <c r="F3755" t="inlineStr"/>
      <c r="G3755" t="inlineStr"/>
      <c r="H3755" t="inlineStr"/>
    </row>
    <row r="3756">
      <c r="A3756" t="inlineStr">
        <is>
          <t>bb0436ec-b39b-41dd-a03a-0dff2caabde7.jpg</t>
        </is>
      </c>
      <c r="B3756">
        <f>HYPERLINK("Объекты недвижимости, не соответствующие градостроительным нормам_00-022_Август/bb0436ec-b39b-41dd-a03a-0dff2caabde7.jpg","open")</f>
        <v/>
      </c>
      <c r="C3756" t="inlineStr">
        <is>
          <t>12e795ad-2aa7-49de-b2da-2c6aa35a4559</t>
        </is>
      </c>
      <c r="D3756" t="n">
        <v>55.64555</v>
      </c>
      <c r="E3756" t="n">
        <v>37.60188</v>
      </c>
      <c r="F3756" t="inlineStr"/>
      <c r="G3756" t="inlineStr"/>
      <c r="H3756" t="inlineStr"/>
    </row>
    <row r="3757">
      <c r="A3757" t="inlineStr">
        <is>
          <t>56ff5e03-f424-42c9-a7dd-75be8cb8541f.jpg</t>
        </is>
      </c>
      <c r="B3757">
        <f>HYPERLINK("Объекты недвижимости, не соответствующие градостроительным нормам_00-022_Август/56ff5e03-f424-42c9-a7dd-75be8cb8541f.jpg","open")</f>
        <v/>
      </c>
      <c r="C3757" t="inlineStr">
        <is>
          <t>ed2bf0f1-3a66-4913-896e-4420a9796c0b</t>
        </is>
      </c>
      <c r="D3757" t="n">
        <v>55.78828</v>
      </c>
      <c r="E3757" t="n">
        <v>37.48438</v>
      </c>
      <c r="F3757" t="inlineStr"/>
      <c r="G3757" t="inlineStr"/>
      <c r="H3757" t="inlineStr"/>
    </row>
    <row r="3758">
      <c r="A3758" t="inlineStr">
        <is>
          <t>6dae7c6b-5430-4e8c-817e-8cbf0bb52606.jpg</t>
        </is>
      </c>
      <c r="B3758">
        <f>HYPERLINK("Объекты недвижимости, не соответствующие градостроительным нормам_00-022_Август/6dae7c6b-5430-4e8c-817e-8cbf0bb52606.jpg","open")</f>
        <v/>
      </c>
      <c r="C3758" t="inlineStr">
        <is>
          <t>8cde1fd0-eca1-4510-86ab-3c743b65fdfc</t>
        </is>
      </c>
      <c r="D3758" t="n">
        <v>55.68495</v>
      </c>
      <c r="E3758" t="n">
        <v>37.53989</v>
      </c>
      <c r="F3758" t="inlineStr"/>
      <c r="G3758" t="inlineStr"/>
      <c r="H3758" t="inlineStr"/>
    </row>
    <row r="3759">
      <c r="A3759" t="inlineStr">
        <is>
          <t>c31585fe-78ae-45dd-8017-5325c59450b2.jpg</t>
        </is>
      </c>
      <c r="B3759">
        <f>HYPERLINK("Объекты недвижимости, не соответствующие градостроительным нормам_00-022_Август/c31585fe-78ae-45dd-8017-5325c59450b2.jpg","open")</f>
        <v/>
      </c>
      <c r="C3759" t="inlineStr">
        <is>
          <t>1c951e11-4940-43c6-a447-394097e5609a</t>
        </is>
      </c>
      <c r="D3759" t="n">
        <v>55.68505</v>
      </c>
      <c r="E3759" t="n">
        <v>37.54004</v>
      </c>
      <c r="F3759" t="inlineStr"/>
      <c r="G3759" t="inlineStr"/>
      <c r="H3759" t="inlineStr"/>
    </row>
    <row r="3760">
      <c r="A3760" t="inlineStr">
        <is>
          <t>d72cea9f-c425-408f-adaf-917d9ed0ebb1.jpg</t>
        </is>
      </c>
      <c r="B3760">
        <f>HYPERLINK("Объекты недвижимости, не соответствующие градостроительным нормам_00-022_Август/d72cea9f-c425-408f-adaf-917d9ed0ebb1.jpg","open")</f>
        <v/>
      </c>
      <c r="C3760" t="inlineStr">
        <is>
          <t>8cde1fd0-eca1-4510-86ab-3c743b65fdfc</t>
        </is>
      </c>
      <c r="D3760" t="n">
        <v>55.68484</v>
      </c>
      <c r="E3760" t="n">
        <v>37.53971</v>
      </c>
      <c r="F3760" t="inlineStr"/>
      <c r="G3760" t="inlineStr"/>
      <c r="H3760" t="inlineStr"/>
    </row>
    <row r="3761">
      <c r="A3761" t="inlineStr">
        <is>
          <t>906a6ed0-f767-44ec-8a58-57e429e73ddb.jpg</t>
        </is>
      </c>
      <c r="B3761">
        <f>HYPERLINK("Объекты недвижимости, не соответствующие градостроительным нормам_00-022_Август/906a6ed0-f767-44ec-8a58-57e429e73ddb.jpg","open")</f>
        <v/>
      </c>
      <c r="C3761" t="inlineStr">
        <is>
          <t>1231bbc5-e64c-4dc7-9acc-77710f47607a</t>
        </is>
      </c>
      <c r="D3761" t="n">
        <v>55.68176</v>
      </c>
      <c r="E3761" t="n">
        <v>37.59711</v>
      </c>
      <c r="F3761" t="inlineStr"/>
      <c r="G3761" t="inlineStr"/>
      <c r="H3761" t="inlineStr"/>
    </row>
    <row r="3762">
      <c r="A3762" t="inlineStr">
        <is>
          <t>3ece4d44-7a97-4efc-8a16-4b3121447cf6.jpg</t>
        </is>
      </c>
      <c r="B3762">
        <f>HYPERLINK("Объекты недвижимости, не соответствующие градостроительным нормам_00-022_Август/3ece4d44-7a97-4efc-8a16-4b3121447cf6.jpg","open")</f>
        <v/>
      </c>
      <c r="C3762" t="inlineStr">
        <is>
          <t>8cde1fd0-eca1-4510-86ab-3c743b65fdfc</t>
        </is>
      </c>
      <c r="D3762" t="n">
        <v>55.68556</v>
      </c>
      <c r="E3762" t="n">
        <v>37.53777</v>
      </c>
      <c r="F3762" t="inlineStr"/>
      <c r="G3762" t="inlineStr"/>
      <c r="H3762" t="inlineStr"/>
    </row>
    <row r="3763">
      <c r="A3763" t="inlineStr">
        <is>
          <t>c93c8563-195b-4c9c-b7ea-f2505cde05db.jpg</t>
        </is>
      </c>
      <c r="B3763">
        <f>HYPERLINK("Объекты недвижимости, не соответствующие градостроительным нормам_00-022_Август/c93c8563-195b-4c9c-b7ea-f2505cde05db.jpg","open")</f>
        <v/>
      </c>
      <c r="C3763" t="inlineStr">
        <is>
          <t>61936922-4d4b-458e-80ea-6d4c450aa1d5</t>
        </is>
      </c>
      <c r="D3763" t="n">
        <v>55.69149</v>
      </c>
      <c r="E3763" t="n">
        <v>37.49165</v>
      </c>
      <c r="F3763" t="inlineStr"/>
      <c r="G3763" t="inlineStr"/>
      <c r="H3763" t="inlineStr"/>
    </row>
    <row r="3764">
      <c r="A3764" t="inlineStr">
        <is>
          <t>94d877c4-1b0d-44f0-b302-e69d2725bb46.jpg</t>
        </is>
      </c>
      <c r="B3764">
        <f>HYPERLINK("Объекты недвижимости, не соответствующие градостроительным нормам_00-022_Август/94d877c4-1b0d-44f0-b302-e69d2725bb46.jpg","open")</f>
        <v/>
      </c>
      <c r="C3764" t="inlineStr">
        <is>
          <t>b6b3590f-f506-4399-8205-e7ac710132e7</t>
        </is>
      </c>
      <c r="D3764" t="n">
        <v>55.79876</v>
      </c>
      <c r="E3764" t="n">
        <v>37.55178</v>
      </c>
      <c r="F3764" t="inlineStr"/>
      <c r="G3764" t="inlineStr"/>
      <c r="H3764" t="inlineStr"/>
    </row>
    <row r="3765">
      <c r="A3765" t="inlineStr">
        <is>
          <t>86aab664-8258-459e-82ba-bc72789e5711.jpg</t>
        </is>
      </c>
      <c r="B3765">
        <f>HYPERLINK("Объекты недвижимости, не соответствующие градостроительным нормам_00-022_Август/86aab664-8258-459e-82ba-bc72789e5711.jpg","open")</f>
        <v/>
      </c>
      <c r="C3765" t="inlineStr">
        <is>
          <t>1a55986c-2c3f-40c0-b3d1-014dce77832e</t>
        </is>
      </c>
      <c r="D3765" t="n">
        <v>55.97222</v>
      </c>
      <c r="E3765" t="n">
        <v>37.43102</v>
      </c>
      <c r="F3765" t="inlineStr"/>
      <c r="G3765" t="inlineStr"/>
      <c r="H3765" t="inlineStr"/>
    </row>
    <row r="3766">
      <c r="A3766" t="inlineStr">
        <is>
          <t>13be7639-ed29-4218-a40e-8b1b92385671.jpg</t>
        </is>
      </c>
      <c r="B3766">
        <f>HYPERLINK("Объекты недвижимости, не соответствующие градостроительным нормам_00-022_Август/13be7639-ed29-4218-a40e-8b1b92385671.jpg","open")</f>
        <v/>
      </c>
      <c r="C3766" t="inlineStr">
        <is>
          <t>ed2bf0f1-3a66-4913-896e-4420a9796c0b</t>
        </is>
      </c>
      <c r="D3766" t="n">
        <v>55.97139</v>
      </c>
      <c r="E3766" t="n">
        <v>37.43062</v>
      </c>
      <c r="F3766" t="inlineStr"/>
      <c r="G3766" t="inlineStr"/>
      <c r="H3766" t="inlineStr"/>
    </row>
    <row r="3767">
      <c r="A3767" t="inlineStr">
        <is>
          <t>df4ab568-aa2e-4460-9ff2-5a63fb5c3728.jpg</t>
        </is>
      </c>
      <c r="B3767">
        <f>HYPERLINK("Объекты недвижимости, не соответствующие градостроительным нормам_00-022_Август/df4ab568-aa2e-4460-9ff2-5a63fb5c3728.jpg","open")</f>
        <v/>
      </c>
      <c r="C3767" t="inlineStr">
        <is>
          <t>685d9054-b74f-49ab-857b-109fd2cec80d</t>
        </is>
      </c>
      <c r="D3767" t="n">
        <v>55.68339</v>
      </c>
      <c r="E3767" t="n">
        <v>37.60009</v>
      </c>
      <c r="F3767" t="inlineStr"/>
      <c r="G3767" t="inlineStr"/>
      <c r="H3767" t="inlineStr"/>
    </row>
    <row r="3768">
      <c r="A3768" t="inlineStr">
        <is>
          <t>216497aa-c77a-4c40-a0b4-6d16f9b17d47.jpg</t>
        </is>
      </c>
      <c r="B3768">
        <f>HYPERLINK("Объекты недвижимости, не соответствующие градостроительным нормам_00-022_Август/216497aa-c77a-4c40-a0b4-6d16f9b17d47.jpg","open")</f>
        <v/>
      </c>
      <c r="C3768" t="inlineStr">
        <is>
          <t>1231bbc5-e64c-4dc7-9acc-77710f47607a</t>
        </is>
      </c>
      <c r="D3768" t="n">
        <v>55.68332</v>
      </c>
      <c r="E3768" t="n">
        <v>37.59995</v>
      </c>
      <c r="F3768" t="inlineStr"/>
      <c r="G3768" t="inlineStr"/>
      <c r="H3768" t="inlineStr"/>
    </row>
    <row r="3769">
      <c r="A3769" t="inlineStr">
        <is>
          <t>5289cfdd-94da-4c61-94bc-13a8b76872bd.jpg</t>
        </is>
      </c>
      <c r="B3769">
        <f>HYPERLINK("Объекты недвижимости, не соответствующие градостроительным нормам_00-022_Август/5289cfdd-94da-4c61-94bc-13a8b76872bd.jpg","open")</f>
        <v/>
      </c>
      <c r="C3769" t="inlineStr">
        <is>
          <t>8cde1fd0-eca1-4510-86ab-3c743b65fdfc</t>
        </is>
      </c>
      <c r="D3769" t="n">
        <v>55.68842</v>
      </c>
      <c r="E3769" t="n">
        <v>37.53327</v>
      </c>
      <c r="F3769" t="inlineStr"/>
      <c r="G3769" t="inlineStr"/>
      <c r="H3769" t="inlineStr"/>
    </row>
    <row r="3770">
      <c r="A3770" t="inlineStr">
        <is>
          <t>baaec2a4-4fa8-417d-b633-a2b8b6aaecef.jpg</t>
        </is>
      </c>
      <c r="B3770">
        <f>HYPERLINK("Объекты недвижимости, не соответствующие градостроительным нормам_00-022_Август/baaec2a4-4fa8-417d-b633-a2b8b6aaecef.jpg","open")</f>
        <v/>
      </c>
      <c r="C3770" t="inlineStr">
        <is>
          <t>1231bbc5-e64c-4dc7-9acc-77710f47607a</t>
        </is>
      </c>
      <c r="D3770" t="n">
        <v>55.68332</v>
      </c>
      <c r="E3770" t="n">
        <v>37.59997</v>
      </c>
      <c r="F3770" t="inlineStr"/>
      <c r="G3770" t="inlineStr"/>
      <c r="H3770" t="inlineStr"/>
    </row>
    <row r="3771">
      <c r="A3771" t="inlineStr">
        <is>
          <t>1689fedf-6c3d-4cad-b45b-bdb832747d6d.jpg</t>
        </is>
      </c>
      <c r="B3771">
        <f>HYPERLINK("Объекты недвижимости, не соответствующие градостроительным нормам_00-022_Август/1689fedf-6c3d-4cad-b45b-bdb832747d6d.jpg","open")</f>
        <v/>
      </c>
      <c r="C3771" t="inlineStr">
        <is>
          <t>1c951e11-4940-43c6-a447-394097e5609a</t>
        </is>
      </c>
      <c r="D3771" t="n">
        <v>55.68837</v>
      </c>
      <c r="E3771" t="n">
        <v>37.53317</v>
      </c>
      <c r="F3771" t="inlineStr"/>
      <c r="G3771" t="inlineStr"/>
      <c r="H3771" t="inlineStr"/>
    </row>
    <row r="3772">
      <c r="A3772" t="inlineStr">
        <is>
          <t>c85a29c0-f40a-4e51-baa7-43db2c5d38f2.jpg</t>
        </is>
      </c>
      <c r="B3772">
        <f>HYPERLINK("Объекты недвижимости, не соответствующие градостроительным нормам_00-022_Август/c85a29c0-f40a-4e51-baa7-43db2c5d38f2.jpg","open")</f>
        <v/>
      </c>
      <c r="C3772" t="inlineStr">
        <is>
          <t>685d9054-b74f-49ab-857b-109fd2cec80d</t>
        </is>
      </c>
      <c r="D3772" t="n">
        <v>55.68332</v>
      </c>
      <c r="E3772" t="n">
        <v>37.59995</v>
      </c>
      <c r="F3772" t="inlineStr"/>
      <c r="G3772" t="inlineStr"/>
      <c r="H3772" t="inlineStr"/>
    </row>
    <row r="3773">
      <c r="A3773" t="inlineStr">
        <is>
          <t>79d8e105-5c64-4947-9df5-80caf2c74273.jpg</t>
        </is>
      </c>
      <c r="B3773">
        <f>HYPERLINK("Объекты недвижимости, не соответствующие градостроительным нормам_00-022_Август/79d8e105-5c64-4947-9df5-80caf2c74273.jpg","open")</f>
        <v/>
      </c>
      <c r="C3773" t="inlineStr">
        <is>
          <t>8cde1fd0-eca1-4510-86ab-3c743b65fdfc</t>
        </is>
      </c>
      <c r="D3773" t="n">
        <v>55.68857</v>
      </c>
      <c r="E3773" t="n">
        <v>37.53357</v>
      </c>
      <c r="F3773" t="inlineStr"/>
      <c r="G3773" t="inlineStr"/>
      <c r="H3773" t="inlineStr"/>
    </row>
    <row r="3774">
      <c r="A3774" t="inlineStr">
        <is>
          <t>6e2c09ce-7a98-47ee-8865-b7d89d547693.jpg</t>
        </is>
      </c>
      <c r="B3774">
        <f>HYPERLINK("Объекты недвижимости, не соответствующие градостроительным нормам_00-022_Август/6e2c09ce-7a98-47ee-8865-b7d89d547693.jpg","open")</f>
        <v/>
      </c>
      <c r="C3774" t="inlineStr">
        <is>
          <t>8cde1fd0-eca1-4510-86ab-3c743b65fdfc</t>
        </is>
      </c>
      <c r="D3774" t="n">
        <v>55.68933</v>
      </c>
      <c r="E3774" t="n">
        <v>37.53679</v>
      </c>
      <c r="F3774" t="inlineStr"/>
      <c r="G3774" t="inlineStr"/>
      <c r="H3774" t="inlineStr"/>
    </row>
    <row r="3775">
      <c r="A3775" t="inlineStr">
        <is>
          <t>7e89e4ce-d1b4-4efe-92cd-b2f8443ff28f.jpg</t>
        </is>
      </c>
      <c r="B3775">
        <f>HYPERLINK("Объекты недвижимости, не соответствующие градостроительным нормам_00-022_Август/7e89e4ce-d1b4-4efe-92cd-b2f8443ff28f.jpg","open")</f>
        <v/>
      </c>
      <c r="C3775" t="inlineStr">
        <is>
          <t>8cde1fd0-eca1-4510-86ab-3c743b65fdfc</t>
        </is>
      </c>
      <c r="D3775" t="n">
        <v>55.6892</v>
      </c>
      <c r="E3775" t="n">
        <v>37.53702</v>
      </c>
      <c r="F3775" t="inlineStr"/>
      <c r="G3775" t="inlineStr"/>
      <c r="H3775" t="inlineStr"/>
    </row>
    <row r="3776">
      <c r="A3776" t="inlineStr">
        <is>
          <t>defd6918-aa41-4079-8049-093ab9af577e.jpg</t>
        </is>
      </c>
      <c r="B3776">
        <f>HYPERLINK("Объекты недвижимости, не соответствующие градостроительным нормам_00-022_Август/defd6918-aa41-4079-8049-093ab9af577e.jpg","open")</f>
        <v/>
      </c>
      <c r="C3776" t="inlineStr">
        <is>
          <t>9f88688f-4c81-42a8-b76a-3c3e7edf869e</t>
        </is>
      </c>
      <c r="D3776" t="n">
        <v>55.96553</v>
      </c>
      <c r="E3776" t="n">
        <v>37.42279</v>
      </c>
      <c r="F3776" t="inlineStr"/>
      <c r="G3776" t="inlineStr"/>
      <c r="H3776" t="inlineStr"/>
    </row>
    <row r="3777">
      <c r="A3777" t="inlineStr">
        <is>
          <t>4a7aee3c-3c09-47ff-bd48-25ce21d00114.jpg</t>
        </is>
      </c>
      <c r="B3777">
        <f>HYPERLINK("Объекты недвижимости, не соответствующие градостроительным нормам_00-022_Август/4a7aee3c-3c09-47ff-bd48-25ce21d00114.jpg","open")</f>
        <v/>
      </c>
      <c r="C3777" t="inlineStr">
        <is>
          <t>fce890a6-27da-4062-a046-08262a160ee6</t>
        </is>
      </c>
      <c r="D3777" t="n">
        <v>55.96493</v>
      </c>
      <c r="E3777" t="n">
        <v>37.42038</v>
      </c>
      <c r="F3777" t="inlineStr"/>
      <c r="G3777" t="inlineStr"/>
      <c r="H3777" t="inlineStr"/>
    </row>
    <row r="3778">
      <c r="A3778" t="inlineStr">
        <is>
          <t>988fe5bc-29f3-4b23-9d8d-f63d6f27d93c.jpg</t>
        </is>
      </c>
      <c r="B3778">
        <f>HYPERLINK("Объекты недвижимости, не соответствующие градостроительным нормам_00-022_Август/988fe5bc-29f3-4b23-9d8d-f63d6f27d93c.jpg","open")</f>
        <v/>
      </c>
      <c r="C3778" t="inlineStr">
        <is>
          <t>18a5c468-d9e6-4814-8477-1caf4a2e1fe9</t>
        </is>
      </c>
      <c r="D3778" t="n">
        <v>55.98158</v>
      </c>
      <c r="E3778" t="n">
        <v>37.40747</v>
      </c>
      <c r="F3778" t="inlineStr"/>
      <c r="G3778" t="inlineStr"/>
      <c r="H3778" t="inlineStr"/>
    </row>
    <row r="3779">
      <c r="A3779" t="inlineStr">
        <is>
          <t>97d6f916-224c-4e54-83c8-cc84a2cbcd01.jpg</t>
        </is>
      </c>
      <c r="B3779">
        <f>HYPERLINK("Объекты недвижимости, не соответствующие градостроительным нормам_00-022_Август/97d6f916-224c-4e54-83c8-cc84a2cbcd01.jpg","open")</f>
        <v/>
      </c>
      <c r="C3779" t="inlineStr">
        <is>
          <t>6e2567a0-1fb9-40d5-a0e7-0adb480d2965</t>
        </is>
      </c>
      <c r="D3779" t="n">
        <v>55.83143</v>
      </c>
      <c r="E3779" t="n">
        <v>37.64256</v>
      </c>
      <c r="F3779" t="inlineStr"/>
      <c r="G3779" t="inlineStr"/>
      <c r="H3779" t="inlineStr"/>
    </row>
    <row r="3780">
      <c r="A3780" t="inlineStr">
        <is>
          <t>b26ea623-036e-4d1c-aff5-c117544b0a6c.jpg</t>
        </is>
      </c>
      <c r="B3780">
        <f>HYPERLINK("Объекты недвижимости, не соответствующие градостроительным нормам_00-022_Август/b26ea623-036e-4d1c-aff5-c117544b0a6c.jpg","open")</f>
        <v/>
      </c>
      <c r="C3780" t="inlineStr">
        <is>
          <t>18a5c468-d9e6-4814-8477-1caf4a2e1fe9</t>
        </is>
      </c>
      <c r="D3780" t="n">
        <v>55.98158</v>
      </c>
      <c r="E3780" t="n">
        <v>37.40747</v>
      </c>
      <c r="F3780" t="inlineStr"/>
      <c r="G3780" t="inlineStr"/>
      <c r="H3780" t="inlineStr"/>
    </row>
    <row r="3781">
      <c r="A3781" t="inlineStr">
        <is>
          <t>5aff6a1e-abb4-4eb0-8ece-2e95ea704179.jpg</t>
        </is>
      </c>
      <c r="B3781">
        <f>HYPERLINK("Объекты недвижимости, не соответствующие градостроительным нормам_00-022_Август/5aff6a1e-abb4-4eb0-8ece-2e95ea704179.jpg","open")</f>
        <v/>
      </c>
      <c r="C3781" t="inlineStr">
        <is>
          <t>b6b3590f-f506-4399-8205-e7ac710132e7</t>
        </is>
      </c>
      <c r="D3781" t="n">
        <v>55.79855</v>
      </c>
      <c r="E3781" t="n">
        <v>37.55208</v>
      </c>
      <c r="F3781" t="inlineStr"/>
      <c r="G3781" t="inlineStr"/>
      <c r="H3781" t="inlineStr"/>
    </row>
    <row r="3782">
      <c r="A3782" t="inlineStr">
        <is>
          <t>e68acc7d-49c5-4ac1-9f01-cae300ed76b5.jpg</t>
        </is>
      </c>
      <c r="B3782">
        <f>HYPERLINK("Объекты недвижимости, не соответствующие градостроительным нормам_00-022_Август/e68acc7d-49c5-4ac1-9f01-cae300ed76b5.jpg","open")</f>
        <v/>
      </c>
      <c r="C3782" t="inlineStr">
        <is>
          <t>61936922-4d4b-458e-80ea-6d4c450aa1d5</t>
        </is>
      </c>
      <c r="D3782" t="n">
        <v>55.68862</v>
      </c>
      <c r="E3782" t="n">
        <v>37.49371</v>
      </c>
      <c r="F3782" t="inlineStr"/>
      <c r="G3782" t="inlineStr"/>
      <c r="H3782" t="inlineStr"/>
    </row>
    <row r="3783">
      <c r="A3783" t="inlineStr">
        <is>
          <t>1a1a80d8-3185-48e0-87ff-adea02dec6f4.jpg</t>
        </is>
      </c>
      <c r="B3783">
        <f>HYPERLINK("Объекты недвижимости, не соответствующие градостроительным нормам_00-022_Август/1a1a80d8-3185-48e0-87ff-adea02dec6f4.jpg","open")</f>
        <v/>
      </c>
      <c r="C3783" t="inlineStr">
        <is>
          <t>1a55986c-2c3f-40c0-b3d1-014dce77832e</t>
        </is>
      </c>
      <c r="D3783" t="n">
        <v>55.96466</v>
      </c>
      <c r="E3783" t="n">
        <v>37.41836</v>
      </c>
      <c r="F3783" t="inlineStr"/>
      <c r="G3783" t="inlineStr"/>
      <c r="H3783" t="inlineStr"/>
    </row>
    <row r="3784">
      <c r="A3784" t="inlineStr">
        <is>
          <t>51a8ed05-0cf9-4669-9645-aab27d7ce75f.jpg</t>
        </is>
      </c>
      <c r="B3784">
        <f>HYPERLINK("Объекты недвижимости, не соответствующие градостроительным нормам_00-022_Август/51a8ed05-0cf9-4669-9645-aab27d7ce75f.jpg","open")</f>
        <v/>
      </c>
      <c r="C3784" t="inlineStr">
        <is>
          <t>61936922-4d4b-458e-80ea-6d4c450aa1d5</t>
        </is>
      </c>
      <c r="D3784" t="n">
        <v>55.68896</v>
      </c>
      <c r="E3784" t="n">
        <v>37.4938</v>
      </c>
      <c r="F3784" t="inlineStr"/>
      <c r="G3784" t="inlineStr"/>
      <c r="H3784" t="inlineStr"/>
    </row>
    <row r="3785">
      <c r="A3785" t="inlineStr">
        <is>
          <t>b203088d-55aa-4054-9206-71f9eae20c1d.jpg</t>
        </is>
      </c>
      <c r="B3785">
        <f>HYPERLINK("Объекты недвижимости, не соответствующие градостроительным нормам_00-022_Август/b203088d-55aa-4054-9206-71f9eae20c1d.jpg","open")</f>
        <v/>
      </c>
      <c r="C3785" t="inlineStr">
        <is>
          <t>8cde1fd0-eca1-4510-86ab-3c743b65fdfc</t>
        </is>
      </c>
      <c r="D3785" t="n">
        <v>55.68198</v>
      </c>
      <c r="E3785" t="n">
        <v>37.54914</v>
      </c>
      <c r="F3785" t="inlineStr"/>
      <c r="G3785" t="inlineStr"/>
      <c r="H3785" t="inlineStr"/>
    </row>
    <row r="3786">
      <c r="A3786" t="inlineStr">
        <is>
          <t>529f205e-59be-44a6-9399-eb2a010b2811.jpg</t>
        </is>
      </c>
      <c r="B3786">
        <f>HYPERLINK("Объекты недвижимости, не соответствующие градостроительным нормам_00-022_Август/529f205e-59be-44a6-9399-eb2a010b2811.jpg","open")</f>
        <v/>
      </c>
      <c r="C3786" t="inlineStr">
        <is>
          <t>cbf95b01-f708-45a3-9ec0-3603469b538e</t>
        </is>
      </c>
      <c r="D3786" t="n">
        <v>55.73888</v>
      </c>
      <c r="E3786" t="n">
        <v>37.66487</v>
      </c>
      <c r="F3786" t="inlineStr"/>
      <c r="G3786" t="inlineStr"/>
      <c r="H3786" t="inlineStr"/>
    </row>
    <row r="3787">
      <c r="A3787" t="inlineStr">
        <is>
          <t>c5266820-733d-40f5-ace8-55d60c40a5bf.jpg</t>
        </is>
      </c>
      <c r="B3787">
        <f>HYPERLINK("Объекты недвижимости, не соответствующие градостроительным нормам_00-022_Август/c5266820-733d-40f5-ace8-55d60c40a5bf.jpg","open")</f>
        <v/>
      </c>
      <c r="C3787" t="inlineStr">
        <is>
          <t>5adecbcf-6742-48b8-951f-8e3abc9509e4</t>
        </is>
      </c>
      <c r="D3787" t="n">
        <v>55.96486</v>
      </c>
      <c r="E3787" t="n">
        <v>37.4201</v>
      </c>
      <c r="F3787" t="inlineStr"/>
      <c r="G3787" t="inlineStr"/>
      <c r="H3787" t="inlineStr"/>
    </row>
    <row r="3788">
      <c r="A3788" t="inlineStr">
        <is>
          <t>5d811319-8d92-47da-8fea-9f3f53d1853d.jpg</t>
        </is>
      </c>
      <c r="B3788">
        <f>HYPERLINK("Объекты недвижимости, не соответствующие градостроительным нормам_00-022_Август/5d811319-8d92-47da-8fea-9f3f53d1853d.jpg","open")</f>
        <v/>
      </c>
      <c r="C3788" t="inlineStr">
        <is>
          <t>5e5b9944-4f9e-4223-bf96-0bc0c8a93dfa</t>
        </is>
      </c>
      <c r="D3788" t="n">
        <v>55.96465</v>
      </c>
      <c r="E3788" t="n">
        <v>37.41882</v>
      </c>
      <c r="F3788" t="inlineStr"/>
      <c r="G3788" t="inlineStr"/>
      <c r="H3788" t="inlineStr"/>
    </row>
    <row r="3789">
      <c r="A3789" t="inlineStr">
        <is>
          <t>e5cd2e2a-3379-4f2d-b724-13e21d28a203.jpg</t>
        </is>
      </c>
      <c r="B3789">
        <f>HYPERLINK("Объекты недвижимости, не соответствующие градостроительным нормам_00-022_Август/e5cd2e2a-3379-4f2d-b724-13e21d28a203.jpg","open")</f>
        <v/>
      </c>
      <c r="C3789" t="inlineStr">
        <is>
          <t>cbf95b01-f708-45a3-9ec0-3603469b538e</t>
        </is>
      </c>
      <c r="D3789" t="n">
        <v>55.73888</v>
      </c>
      <c r="E3789" t="n">
        <v>37.66487</v>
      </c>
      <c r="F3789" t="inlineStr"/>
      <c r="G3789" t="inlineStr"/>
      <c r="H3789" t="inlineStr"/>
    </row>
    <row r="3790">
      <c r="A3790" t="inlineStr">
        <is>
          <t>637840dd-a7fe-4ea9-bc05-e53ddb5f0020.jpg</t>
        </is>
      </c>
      <c r="B3790">
        <f>HYPERLINK("Объекты недвижимости, не соответствующие градостроительным нормам_00-022_Август/637840dd-a7fe-4ea9-bc05-e53ddb5f0020.jpg","open")</f>
        <v/>
      </c>
      <c r="C3790" t="inlineStr">
        <is>
          <t>fce890a6-27da-4062-a046-08262a160ee6</t>
        </is>
      </c>
      <c r="D3790" t="n">
        <v>55.85277</v>
      </c>
      <c r="E3790" t="n">
        <v>37.51564</v>
      </c>
      <c r="F3790" t="inlineStr"/>
      <c r="G3790" t="inlineStr"/>
      <c r="H3790" t="inlineStr"/>
    </row>
    <row r="3791">
      <c r="A3791" t="inlineStr">
        <is>
          <t>f4478fb5-0303-47cd-b6c3-00e4d56063fe.jpg</t>
        </is>
      </c>
      <c r="B3791">
        <f>HYPERLINK("Объекты недвижимости, не соответствующие градостроительным нормам_00-022_Август/f4478fb5-0303-47cd-b6c3-00e4d56063fe.jpg","open")</f>
        <v/>
      </c>
      <c r="C3791" t="inlineStr">
        <is>
          <t>b6b3590f-f506-4399-8205-e7ac710132e7</t>
        </is>
      </c>
      <c r="D3791" t="n">
        <v>55.79865</v>
      </c>
      <c r="E3791" t="n">
        <v>37.55207</v>
      </c>
      <c r="F3791" t="inlineStr"/>
      <c r="G3791" t="inlineStr"/>
      <c r="H3791" t="inlineStr"/>
    </row>
    <row r="3792">
      <c r="A3792" t="inlineStr">
        <is>
          <t>0a734255-0d4c-4023-937a-8c5f2018b93d.jpg</t>
        </is>
      </c>
      <c r="B3792">
        <f>HYPERLINK("Объекты недвижимости, не соответствующие градостроительным нормам_00-022_Август/0a734255-0d4c-4023-937a-8c5f2018b93d.jpg","open")</f>
        <v/>
      </c>
      <c r="C3792" t="inlineStr">
        <is>
          <t>1a55986c-2c3f-40c0-b3d1-014dce77832e</t>
        </is>
      </c>
      <c r="D3792" t="n">
        <v>55.97226</v>
      </c>
      <c r="E3792" t="n">
        <v>37.39918</v>
      </c>
      <c r="F3792" t="inlineStr"/>
      <c r="G3792" t="inlineStr"/>
      <c r="H3792" t="inlineStr"/>
    </row>
    <row r="3793">
      <c r="A3793" t="inlineStr">
        <is>
          <t>623e5722-bb73-413f-8f9f-3f5176552593.jpg</t>
        </is>
      </c>
      <c r="B3793">
        <f>HYPERLINK("Объекты недвижимости, не соответствующие градостроительным нормам_00-022_Август/623e5722-bb73-413f-8f9f-3f5176552593.jpg","open")</f>
        <v/>
      </c>
      <c r="C3793" t="inlineStr">
        <is>
          <t>dd48f742-b338-42e2-bbaf-b3a9701b437c</t>
        </is>
      </c>
      <c r="D3793" t="n">
        <v>55.98704</v>
      </c>
      <c r="E3793" t="n">
        <v>37.15007</v>
      </c>
      <c r="F3793" t="inlineStr"/>
      <c r="G3793" t="inlineStr"/>
      <c r="H3793" t="inlineStr"/>
    </row>
    <row r="3794">
      <c r="A3794" t="inlineStr">
        <is>
          <t>9b269781-32aa-4ff6-9240-ed07cd48e9cd.jpg</t>
        </is>
      </c>
      <c r="B3794">
        <f>HYPERLINK("Объекты недвижимости, не соответствующие градостроительным нормам_00-022_Август/9b269781-32aa-4ff6-9240-ed07cd48e9cd.jpg","open")</f>
        <v/>
      </c>
      <c r="C3794" t="inlineStr">
        <is>
          <t>18a5c468-d9e6-4814-8477-1caf4a2e1fe9</t>
        </is>
      </c>
      <c r="D3794" t="n">
        <v>55.98158</v>
      </c>
      <c r="E3794" t="n">
        <v>37.40747</v>
      </c>
      <c r="F3794" t="inlineStr"/>
      <c r="G3794" t="inlineStr"/>
      <c r="H3794" t="inlineStr"/>
    </row>
    <row r="3795">
      <c r="A3795" t="inlineStr">
        <is>
          <t>d743a206-cd58-4ae1-bb50-8a67025d2fa1.jpg</t>
        </is>
      </c>
      <c r="B3795">
        <f>HYPERLINK("Объекты недвижимости, не соответствующие градостроительным нормам_00-022_Август/d743a206-cd58-4ae1-bb50-8a67025d2fa1.jpg","open")</f>
        <v/>
      </c>
      <c r="C3795" t="inlineStr">
        <is>
          <t>18a5c468-d9e6-4814-8477-1caf4a2e1fe9</t>
        </is>
      </c>
      <c r="D3795" t="n">
        <v>55.98158</v>
      </c>
      <c r="E3795" t="n">
        <v>37.40747</v>
      </c>
      <c r="F3795" t="inlineStr"/>
      <c r="G3795" t="inlineStr"/>
      <c r="H3795" t="inlineStr"/>
    </row>
    <row r="3796">
      <c r="A3796" t="inlineStr">
        <is>
          <t>4f52eb6b-7e3b-4589-bdd4-beaa0c1b0dbe.jpg</t>
        </is>
      </c>
      <c r="B3796">
        <f>HYPERLINK("Объекты недвижимости, не соответствующие градостроительным нормам_00-022_Август/4f52eb6b-7e3b-4589-bdd4-beaa0c1b0dbe.jpg","open")</f>
        <v/>
      </c>
      <c r="C3796" t="inlineStr">
        <is>
          <t>c008bda0-324b-4c90-9c2f-36cfc930e0b5</t>
        </is>
      </c>
      <c r="D3796" t="n">
        <v>55.76249</v>
      </c>
      <c r="E3796" t="n">
        <v>37.68403</v>
      </c>
      <c r="F3796" t="inlineStr"/>
      <c r="G3796" t="inlineStr"/>
      <c r="H3796" t="inlineStr"/>
    </row>
    <row r="3797">
      <c r="A3797" t="inlineStr">
        <is>
          <t>da295f9c-8145-46c8-bedc-7c1b745f19ab.jpg</t>
        </is>
      </c>
      <c r="B3797">
        <f>HYPERLINK("Объекты недвижимости, не соответствующие градостроительным нормам_00-022_Август/da295f9c-8145-46c8-bedc-7c1b745f19ab.jpg","open")</f>
        <v/>
      </c>
      <c r="C3797" t="inlineStr">
        <is>
          <t>685d9054-b74f-49ab-857b-109fd2cec80d</t>
        </is>
      </c>
      <c r="D3797" t="n">
        <v>55.68146</v>
      </c>
      <c r="E3797" t="n">
        <v>37.60452</v>
      </c>
      <c r="F3797" t="inlineStr"/>
      <c r="G3797" t="inlineStr"/>
      <c r="H3797" t="inlineStr"/>
    </row>
    <row r="3798">
      <c r="A3798" t="inlineStr">
        <is>
          <t>e6df26af-7321-426c-b742-4053759b52e4.jpg</t>
        </is>
      </c>
      <c r="B3798">
        <f>HYPERLINK("Объекты недвижимости, не соответствующие градостроительным нормам_00-022_Август/e6df26af-7321-426c-b742-4053759b52e4.jpg","open")</f>
        <v/>
      </c>
      <c r="C3798" t="inlineStr">
        <is>
          <t>57aae8a4-582b-4309-8045-c8127a9f86ae</t>
        </is>
      </c>
      <c r="D3798" t="n">
        <v>55.73741</v>
      </c>
      <c r="E3798" t="n">
        <v>37.82006</v>
      </c>
      <c r="F3798" t="inlineStr"/>
      <c r="G3798" t="inlineStr"/>
      <c r="H3798" t="inlineStr"/>
    </row>
    <row r="3799">
      <c r="A3799" t="inlineStr">
        <is>
          <t>3a99813a-31e4-4c80-b8a1-5db0773c0d52.jpg</t>
        </is>
      </c>
      <c r="B3799">
        <f>HYPERLINK("Объекты недвижимости, не соответствующие градостроительным нормам_00-022_Август/3a99813a-31e4-4c80-b8a1-5db0773c0d52.jpg","open")</f>
        <v/>
      </c>
      <c r="C3799" t="inlineStr">
        <is>
          <t>acedacc2-0d8b-4fc1-9622-25621a89d071</t>
        </is>
      </c>
      <c r="D3799" t="n">
        <v>55.73747</v>
      </c>
      <c r="E3799" t="n">
        <v>37.82016</v>
      </c>
      <c r="F3799" t="inlineStr"/>
      <c r="G3799" t="inlineStr"/>
      <c r="H3799" t="inlineStr"/>
    </row>
    <row r="3800">
      <c r="A3800" t="inlineStr">
        <is>
          <t>bc9744ae-5da7-48da-9231-c959fee636e8.jpg</t>
        </is>
      </c>
      <c r="B3800">
        <f>HYPERLINK("Объекты недвижимости, не соответствующие градостроительным нормам_00-022_Август/bc9744ae-5da7-48da-9231-c959fee636e8.jpg","open")</f>
        <v/>
      </c>
      <c r="C3800" t="inlineStr">
        <is>
          <t>9c930d0e-e445-452d-a046-325646b21ab7</t>
        </is>
      </c>
      <c r="D3800" t="n">
        <v>55.97926</v>
      </c>
      <c r="E3800" t="n">
        <v>37.17299</v>
      </c>
      <c r="F3800" t="inlineStr"/>
      <c r="G3800" t="inlineStr"/>
      <c r="H3800" t="inlineStr"/>
    </row>
    <row r="3801">
      <c r="A3801" t="inlineStr">
        <is>
          <t>ba5992dd-277a-4475-9969-de30a840a8e9.jpg</t>
        </is>
      </c>
      <c r="B3801">
        <f>HYPERLINK("Объекты недвижимости, не соответствующие градостроительным нормам_00-022_Август/ba5992dd-277a-4475-9969-de30a840a8e9.jpg","open")</f>
        <v/>
      </c>
      <c r="C3801" t="inlineStr">
        <is>
          <t>9f88688f-4c81-42a8-b76a-3c3e7edf869e</t>
        </is>
      </c>
      <c r="D3801" t="n">
        <v>55.85159</v>
      </c>
      <c r="E3801" t="n">
        <v>37.51165</v>
      </c>
      <c r="F3801" t="inlineStr"/>
      <c r="G3801" t="inlineStr"/>
      <c r="H3801" t="inlineStr"/>
    </row>
    <row r="3802">
      <c r="A3802" t="inlineStr">
        <is>
          <t>ff1b3c4f-83c0-4783-8430-19698d5b54f7.jpg</t>
        </is>
      </c>
      <c r="B3802">
        <f>HYPERLINK("Объекты недвижимости, не соответствующие градостроительным нормам_00-022_Август/ff1b3c4f-83c0-4783-8430-19698d5b54f7.jpg","open")</f>
        <v/>
      </c>
      <c r="C3802" t="inlineStr">
        <is>
          <t>fce890a6-27da-4062-a046-08262a160ee6</t>
        </is>
      </c>
      <c r="D3802" t="n">
        <v>55.85158</v>
      </c>
      <c r="E3802" t="n">
        <v>37.51159</v>
      </c>
      <c r="F3802" t="inlineStr"/>
      <c r="G3802" t="inlineStr"/>
      <c r="H3802" t="inlineStr"/>
    </row>
    <row r="3803">
      <c r="A3803" t="inlineStr">
        <is>
          <t>e87d7da8-8fcc-45c6-8c4d-a03cc2976859.jpg</t>
        </is>
      </c>
      <c r="B3803">
        <f>HYPERLINK("Объекты недвижимости, не соответствующие градостроительным нормам_00-022_Август/e87d7da8-8fcc-45c6-8c4d-a03cc2976859.jpg","open")</f>
        <v/>
      </c>
      <c r="C3803" t="inlineStr">
        <is>
          <t>685d9054-b74f-49ab-857b-109fd2cec80d</t>
        </is>
      </c>
      <c r="D3803" t="n">
        <v>55.68202</v>
      </c>
      <c r="E3803" t="n">
        <v>37.60617</v>
      </c>
      <c r="F3803" t="inlineStr"/>
      <c r="G3803" t="inlineStr"/>
      <c r="H3803" t="inlineStr"/>
    </row>
    <row r="3804">
      <c r="A3804" t="inlineStr">
        <is>
          <t>9aca47de-6d88-4eb5-8e3f-c21f03160841.jpg</t>
        </is>
      </c>
      <c r="B3804">
        <f>HYPERLINK("Объекты недвижимости, не соответствующие градостроительным нормам_00-022_Август/9aca47de-6d88-4eb5-8e3f-c21f03160841.jpg","open")</f>
        <v/>
      </c>
      <c r="C3804" t="inlineStr">
        <is>
          <t>685d9054-b74f-49ab-857b-109fd2cec80d</t>
        </is>
      </c>
      <c r="D3804" t="n">
        <v>55.68126</v>
      </c>
      <c r="E3804" t="n">
        <v>37.60774</v>
      </c>
      <c r="F3804" t="inlineStr"/>
      <c r="G3804" t="inlineStr"/>
      <c r="H3804" t="inlineStr"/>
    </row>
    <row r="3805">
      <c r="A3805" t="inlineStr">
        <is>
          <t>581f5874-e94e-44c3-b202-89159aaa8e57.jpg</t>
        </is>
      </c>
      <c r="B3805">
        <f>HYPERLINK("Объекты недвижимости, не соответствующие градостроительным нормам_00-022_Август/581f5874-e94e-44c3-b202-89159aaa8e57.jpg","open")</f>
        <v/>
      </c>
      <c r="C3805" t="inlineStr">
        <is>
          <t>685d9054-b74f-49ab-857b-109fd2cec80d</t>
        </is>
      </c>
      <c r="D3805" t="n">
        <v>55.68076</v>
      </c>
      <c r="E3805" t="n">
        <v>37.608</v>
      </c>
      <c r="F3805" t="inlineStr"/>
      <c r="G3805" t="inlineStr"/>
      <c r="H3805" t="inlineStr"/>
    </row>
    <row r="3806">
      <c r="A3806" t="inlineStr">
        <is>
          <t>c0d64bf2-8a01-460e-b2bd-05acec4d6d4e.jpg</t>
        </is>
      </c>
      <c r="B3806">
        <f>HYPERLINK("Объекты недвижимости, не соответствующие градостроительным нормам_00-022_Август/c0d64bf2-8a01-460e-b2bd-05acec4d6d4e.jpg","open")</f>
        <v/>
      </c>
      <c r="C3806" t="inlineStr">
        <is>
          <t>9c930d0e-e445-452d-a046-325646b21ab7</t>
        </is>
      </c>
      <c r="D3806" t="n">
        <v>55.9659</v>
      </c>
      <c r="E3806" t="n">
        <v>37.18528</v>
      </c>
      <c r="F3806" t="inlineStr"/>
      <c r="G3806" t="inlineStr"/>
      <c r="H3806" t="inlineStr"/>
    </row>
    <row r="3807">
      <c r="A3807" t="inlineStr">
        <is>
          <t>0bbb8456-1996-491d-9a0d-4f0099758596.jpg</t>
        </is>
      </c>
      <c r="B3807">
        <f>HYPERLINK("Объекты недвижимости, не соответствующие градостроительным нормам_00-022_Август/0bbb8456-1996-491d-9a0d-4f0099758596.jpg","open")</f>
        <v/>
      </c>
      <c r="C3807" t="inlineStr">
        <is>
          <t>dd48f742-b338-42e2-bbaf-b3a9701b437c</t>
        </is>
      </c>
      <c r="D3807" t="n">
        <v>55.9659</v>
      </c>
      <c r="E3807" t="n">
        <v>37.18528</v>
      </c>
      <c r="F3807" t="inlineStr"/>
      <c r="G3807" t="inlineStr"/>
      <c r="H3807" t="inlineStr"/>
    </row>
    <row r="3808">
      <c r="A3808" t="inlineStr">
        <is>
          <t>1c9e8d51-9fd4-474e-b846-854a63d8d6d8.jpg</t>
        </is>
      </c>
      <c r="B3808">
        <f>HYPERLINK("Объекты недвижимости, не соответствующие градостроительным нормам_00-022_Август/1c9e8d51-9fd4-474e-b846-854a63d8d6d8.jpg","open")</f>
        <v/>
      </c>
      <c r="C3808" t="inlineStr">
        <is>
          <t>ed2bf0f1-3a66-4913-896e-4420a9796c0b</t>
        </is>
      </c>
      <c r="D3808" t="n">
        <v>55.97408</v>
      </c>
      <c r="E3808" t="n">
        <v>37.3973</v>
      </c>
      <c r="F3808" t="inlineStr"/>
      <c r="G3808" t="inlineStr"/>
      <c r="H3808" t="inlineStr"/>
    </row>
    <row r="3809">
      <c r="A3809" t="inlineStr">
        <is>
          <t>13b16544-7452-4f2f-a74e-0df253ee890e.jpg</t>
        </is>
      </c>
      <c r="B3809">
        <f>HYPERLINK("Объекты недвижимости, не соответствующие градостроительным нормам_00-022_Август/13b16544-7452-4f2f-a74e-0df253ee890e.jpg","open")</f>
        <v/>
      </c>
      <c r="C3809" t="inlineStr">
        <is>
          <t>9c930d0e-e445-452d-a046-325646b21ab7</t>
        </is>
      </c>
      <c r="D3809" t="n">
        <v>55.95872</v>
      </c>
      <c r="E3809" t="n">
        <v>37.18655</v>
      </c>
      <c r="F3809" t="inlineStr"/>
      <c r="G3809" t="inlineStr"/>
      <c r="H3809" t="inlineStr"/>
    </row>
    <row r="3810">
      <c r="A3810" t="inlineStr">
        <is>
          <t>b338e94e-cffb-4c29-b329-cd6459dc97aa.jpg</t>
        </is>
      </c>
      <c r="B3810">
        <f>HYPERLINK("Объекты недвижимости, не соответствующие градостроительным нормам_00-022_Август/b338e94e-cffb-4c29-b329-cd6459dc97aa.jpg","open")</f>
        <v/>
      </c>
      <c r="C3810" t="inlineStr">
        <is>
          <t>cbf95b01-f708-45a3-9ec0-3603469b538e</t>
        </is>
      </c>
      <c r="D3810" t="n">
        <v>55.73888</v>
      </c>
      <c r="E3810" t="n">
        <v>37.66487</v>
      </c>
      <c r="F3810" t="inlineStr"/>
      <c r="G3810" t="inlineStr"/>
      <c r="H3810" t="inlineStr"/>
    </row>
    <row r="3811">
      <c r="A3811" t="inlineStr">
        <is>
          <t>0f541c26-2bf4-4209-8ca1-5960d7eae61c.jpg</t>
        </is>
      </c>
      <c r="B3811">
        <f>HYPERLINK("Объекты недвижимости, не соответствующие градостроительным нормам_00-022_Август/0f541c26-2bf4-4209-8ca1-5960d7eae61c.jpg","open")</f>
        <v/>
      </c>
      <c r="C3811" t="inlineStr">
        <is>
          <t>a1a9db89-3f74-42ef-8fad-ad69705102cd</t>
        </is>
      </c>
      <c r="D3811" t="n">
        <v>55.73888</v>
      </c>
      <c r="E3811" t="n">
        <v>37.66487</v>
      </c>
      <c r="F3811" t="inlineStr"/>
      <c r="G3811" t="inlineStr"/>
      <c r="H3811" t="inlineStr"/>
    </row>
    <row r="3812">
      <c r="A3812" t="inlineStr">
        <is>
          <t>a6bcddc1-677e-4846-a4c5-3b54f4679f84.jpg</t>
        </is>
      </c>
      <c r="B3812">
        <f>HYPERLINK("Объекты недвижимости, не соответствующие градостроительным нормам_00-022_Август/a6bcddc1-677e-4846-a4c5-3b54f4679f84.jpg","open")</f>
        <v/>
      </c>
      <c r="C3812" t="inlineStr">
        <is>
          <t>cbf95b01-f708-45a3-9ec0-3603469b538e</t>
        </is>
      </c>
      <c r="D3812" t="n">
        <v>55.73888</v>
      </c>
      <c r="E3812" t="n">
        <v>37.66487</v>
      </c>
      <c r="F3812" t="inlineStr"/>
      <c r="G3812" t="inlineStr"/>
      <c r="H3812" t="inlineStr"/>
    </row>
    <row r="3813">
      <c r="A3813" t="inlineStr">
        <is>
          <t>58a34b8f-d756-48ac-844c-c1f5e6566c51.jpg</t>
        </is>
      </c>
      <c r="B3813">
        <f>HYPERLINK("Объекты недвижимости, не соответствующие градостроительным нормам_00-022_Август/58a34b8f-d756-48ac-844c-c1f5e6566c51.jpg","open")</f>
        <v/>
      </c>
      <c r="C3813" t="inlineStr">
        <is>
          <t>1a55986c-2c3f-40c0-b3d1-014dce77832e</t>
        </is>
      </c>
      <c r="D3813" t="n">
        <v>55.97408</v>
      </c>
      <c r="E3813" t="n">
        <v>37.3973</v>
      </c>
      <c r="F3813" t="inlineStr"/>
      <c r="G3813" t="inlineStr"/>
      <c r="H3813" t="inlineStr"/>
    </row>
    <row r="3814">
      <c r="A3814" t="inlineStr">
        <is>
          <t>0756c085-9c31-410c-95e7-364db0039baa.jpg</t>
        </is>
      </c>
      <c r="B3814">
        <f>HYPERLINK("Объекты недвижимости, не соответствующие градостроительным нормам_00-022_Август/0756c085-9c31-410c-95e7-364db0039baa.jpg","open")</f>
        <v/>
      </c>
      <c r="C3814" t="inlineStr">
        <is>
          <t>cbf95b01-f708-45a3-9ec0-3603469b538e</t>
        </is>
      </c>
      <c r="D3814" t="n">
        <v>55.73888</v>
      </c>
      <c r="E3814" t="n">
        <v>37.66487</v>
      </c>
      <c r="F3814" t="inlineStr"/>
      <c r="G3814" t="inlineStr"/>
      <c r="H3814" t="inlineStr"/>
    </row>
    <row r="3815">
      <c r="A3815" t="inlineStr">
        <is>
          <t>2bbe0dbd-f53e-4bbb-81df-d24cf2093e7a.jpg</t>
        </is>
      </c>
      <c r="B3815">
        <f>HYPERLINK("Объекты недвижимости, не соответствующие градостроительным нормам_00-022_Август/2bbe0dbd-f53e-4bbb-81df-d24cf2093e7a.jpg","open")</f>
        <v/>
      </c>
      <c r="C3815" t="inlineStr">
        <is>
          <t>1231bbc5-e64c-4dc7-9acc-77710f47607a</t>
        </is>
      </c>
      <c r="D3815" t="n">
        <v>55.681</v>
      </c>
      <c r="E3815" t="n">
        <v>37.60668</v>
      </c>
      <c r="F3815" t="inlineStr"/>
      <c r="G3815" t="inlineStr"/>
      <c r="H3815" t="inlineStr"/>
    </row>
    <row r="3816">
      <c r="A3816" t="inlineStr">
        <is>
          <t>971136e9-61b0-48a3-9fb7-a57dd8fd68e1.jpg</t>
        </is>
      </c>
      <c r="B3816">
        <f>HYPERLINK("Объекты недвижимости, не соответствующие градостроительным нормам_00-022_Август/971136e9-61b0-48a3-9fb7-a57dd8fd68e1.jpg","open")</f>
        <v/>
      </c>
      <c r="C3816" t="inlineStr">
        <is>
          <t>1231bbc5-e64c-4dc7-9acc-77710f47607a</t>
        </is>
      </c>
      <c r="D3816" t="n">
        <v>55.68063</v>
      </c>
      <c r="E3816" t="n">
        <v>37.60703</v>
      </c>
      <c r="F3816" t="inlineStr"/>
      <c r="G3816" t="inlineStr"/>
      <c r="H3816" t="inlineStr"/>
    </row>
    <row r="3817">
      <c r="A3817" t="inlineStr">
        <is>
          <t>1aa837db-817a-462d-b3d6-cc46d96358eb.jpg</t>
        </is>
      </c>
      <c r="B3817">
        <f>HYPERLINK("Объекты недвижимости, не соответствующие градостроительным нормам_00-022_Август/1aa837db-817a-462d-b3d6-cc46d96358eb.jpg","open")</f>
        <v/>
      </c>
      <c r="C3817" t="inlineStr">
        <is>
          <t>ed2bf0f1-3a66-4913-896e-4420a9796c0b</t>
        </is>
      </c>
      <c r="D3817" t="n">
        <v>55.78288</v>
      </c>
      <c r="E3817" t="n">
        <v>37.48111</v>
      </c>
      <c r="F3817" t="inlineStr"/>
      <c r="G3817" t="inlineStr"/>
      <c r="H3817" t="inlineStr"/>
    </row>
    <row r="3818">
      <c r="A3818" t="inlineStr">
        <is>
          <t>1747ff0a-0e85-4743-9708-fe30cd6b3913.jpg</t>
        </is>
      </c>
      <c r="B3818">
        <f>HYPERLINK("Объекты недвижимости, не соответствующие градостроительным нормам_00-022_Август/1747ff0a-0e85-4743-9708-fe30cd6b3913.jpg","open")</f>
        <v/>
      </c>
      <c r="C3818" t="inlineStr">
        <is>
          <t>ad64e6b9-1ed5-44d7-a101-4945a1f9dec6</t>
        </is>
      </c>
      <c r="D3818" t="n">
        <v>55.6429</v>
      </c>
      <c r="E3818" t="n">
        <v>37.59746</v>
      </c>
      <c r="F3818" t="inlineStr"/>
      <c r="G3818" t="inlineStr"/>
      <c r="H3818" t="inlineStr"/>
    </row>
    <row r="3819">
      <c r="A3819" t="inlineStr">
        <is>
          <t>f00e24fe-f534-4084-8a1e-e51479ec081d.jpg</t>
        </is>
      </c>
      <c r="B3819">
        <f>HYPERLINK("Объекты недвижимости, не соответствующие градостроительным нормам_00-022_Август/f00e24fe-f534-4084-8a1e-e51479ec081d.jpg","open")</f>
        <v/>
      </c>
      <c r="C3819" t="inlineStr">
        <is>
          <t>12e795ad-2aa7-49de-b2da-2c6aa35a4559</t>
        </is>
      </c>
      <c r="D3819" t="n">
        <v>55.64335</v>
      </c>
      <c r="E3819" t="n">
        <v>37.5959</v>
      </c>
      <c r="F3819" t="inlineStr"/>
      <c r="G3819" t="inlineStr"/>
      <c r="H3819" t="inlineStr"/>
    </row>
    <row r="3820">
      <c r="A3820" t="inlineStr">
        <is>
          <t>0671cbec-b486-46e8-8f6b-e7ab68af419c.jpg</t>
        </is>
      </c>
      <c r="B3820">
        <f>HYPERLINK("Объекты недвижимости, не соответствующие градостроительным нормам_00-022_Август/0671cbec-b486-46e8-8f6b-e7ab68af419c.jpg","open")</f>
        <v/>
      </c>
      <c r="C3820" t="inlineStr">
        <is>
          <t>57aae8a4-582b-4309-8045-c8127a9f86ae</t>
        </is>
      </c>
      <c r="D3820" t="n">
        <v>55.73505</v>
      </c>
      <c r="E3820" t="n">
        <v>37.82664</v>
      </c>
      <c r="F3820" t="inlineStr"/>
      <c r="G3820" t="inlineStr"/>
      <c r="H3820" t="inlineStr"/>
    </row>
    <row r="3821">
      <c r="A3821" t="inlineStr">
        <is>
          <t>b2f4e616-83c0-4b3d-9d41-9d3c8a2aa10d.jpg</t>
        </is>
      </c>
      <c r="B3821">
        <f>HYPERLINK("Объекты недвижимости, не соответствующие градостроительным нормам_00-022_Август/b2f4e616-83c0-4b3d-9d41-9d3c8a2aa10d.jpg","open")</f>
        <v/>
      </c>
      <c r="C3821" t="inlineStr">
        <is>
          <t>acedacc2-0d8b-4fc1-9622-25621a89d071</t>
        </is>
      </c>
      <c r="D3821" t="n">
        <v>55.73504</v>
      </c>
      <c r="E3821" t="n">
        <v>37.82664</v>
      </c>
      <c r="F3821" t="inlineStr"/>
      <c r="G3821" t="inlineStr"/>
      <c r="H3821" t="inlineStr"/>
    </row>
    <row r="3822">
      <c r="A3822" t="inlineStr">
        <is>
          <t>380281b3-581d-48ed-af7b-10caf27769f3.jpg</t>
        </is>
      </c>
      <c r="B3822">
        <f>HYPERLINK("Объекты недвижимости, не соответствующие градостроительным нормам_00-022_Август/380281b3-581d-48ed-af7b-10caf27769f3.jpg","open")</f>
        <v/>
      </c>
      <c r="C3822" t="inlineStr">
        <is>
          <t>8beacb4f-617e-4b34-8030-60c4dff5f8d1</t>
        </is>
      </c>
      <c r="D3822" t="n">
        <v>55.70095</v>
      </c>
      <c r="E3822" t="n">
        <v>37.6105</v>
      </c>
      <c r="F3822" t="inlineStr"/>
      <c r="G3822" t="inlineStr"/>
      <c r="H3822" t="inlineStr"/>
    </row>
    <row r="3823">
      <c r="A3823" t="inlineStr">
        <is>
          <t>a6d3268f-e130-481c-b142-661dff6ab5af.jpg</t>
        </is>
      </c>
      <c r="B3823">
        <f>HYPERLINK("Объекты недвижимости, не соответствующие градостроительным нормам_00-022_Август/a6d3268f-e130-481c-b142-661dff6ab5af.jpg","open")</f>
        <v/>
      </c>
      <c r="C3823" t="inlineStr">
        <is>
          <t>cbf95b01-f708-45a3-9ec0-3603469b538e</t>
        </is>
      </c>
      <c r="D3823" t="n">
        <v>55.73849</v>
      </c>
      <c r="E3823" t="n">
        <v>37.67636</v>
      </c>
      <c r="F3823" t="inlineStr"/>
      <c r="G3823" t="inlineStr"/>
      <c r="H3823" t="inlineStr"/>
    </row>
    <row r="3824">
      <c r="A3824" t="inlineStr">
        <is>
          <t>b236e02c-5307-4412-8cc3-1bc04ba27a66.jpg</t>
        </is>
      </c>
      <c r="B3824">
        <f>HYPERLINK("Объекты недвижимости, не соответствующие градостроительным нормам_00-022_Август/b236e02c-5307-4412-8cc3-1bc04ba27a66.jpg","open")</f>
        <v/>
      </c>
      <c r="C3824" t="inlineStr">
        <is>
          <t>030e8755-17c1-44eb-9530-707d0d3121cb</t>
        </is>
      </c>
      <c r="D3824" t="n">
        <v>55.5952</v>
      </c>
      <c r="E3824" t="n">
        <v>37.64637</v>
      </c>
      <c r="F3824" t="inlineStr"/>
      <c r="G3824" t="inlineStr"/>
      <c r="H3824" t="inlineStr"/>
    </row>
    <row r="3825">
      <c r="A3825" t="inlineStr">
        <is>
          <t>f453afe3-ddba-49fa-b4b8-d14d3b5e1aa6.jpg</t>
        </is>
      </c>
      <c r="B3825">
        <f>HYPERLINK("Объекты недвижимости, не соответствующие градостроительным нормам_00-022_Август/f453afe3-ddba-49fa-b4b8-d14d3b5e1aa6.jpg","open")</f>
        <v/>
      </c>
      <c r="C3825" t="inlineStr">
        <is>
          <t>cbf95b01-f708-45a3-9ec0-3603469b538e</t>
        </is>
      </c>
      <c r="D3825" t="n">
        <v>55.74318</v>
      </c>
      <c r="E3825" t="n">
        <v>37.67736</v>
      </c>
      <c r="F3825" t="inlineStr"/>
      <c r="G3825" t="inlineStr"/>
      <c r="H3825" t="inlineStr"/>
    </row>
    <row r="3826">
      <c r="A3826" t="inlineStr">
        <is>
          <t>744e107d-2a66-4157-85fc-f7e3306aa380.jpg</t>
        </is>
      </c>
      <c r="B3826">
        <f>HYPERLINK("Объекты недвижимости, не соответствующие градостроительным нормам_00-022_Август/744e107d-2a66-4157-85fc-f7e3306aa380.jpg","open")</f>
        <v/>
      </c>
      <c r="C3826" t="inlineStr">
        <is>
          <t>cbf95b01-f708-45a3-9ec0-3603469b538e</t>
        </is>
      </c>
      <c r="D3826" t="n">
        <v>55.74311</v>
      </c>
      <c r="E3826" t="n">
        <v>37.67754</v>
      </c>
      <c r="F3826" t="inlineStr"/>
      <c r="G3826" t="inlineStr"/>
      <c r="H3826" t="inlineStr"/>
    </row>
    <row r="3827">
      <c r="A3827" t="inlineStr">
        <is>
          <t>21de4b51-048f-4e8f-a159-f0b40d8cd997.jpg</t>
        </is>
      </c>
      <c r="B3827">
        <f>HYPERLINK("Объекты недвижимости, не соответствующие градостроительным нормам_00-022_Август/21de4b51-048f-4e8f-a159-f0b40d8cd997.jpg","open")</f>
        <v/>
      </c>
      <c r="C3827" t="inlineStr">
        <is>
          <t>1a55986c-2c3f-40c0-b3d1-014dce77832e</t>
        </is>
      </c>
      <c r="D3827" t="n">
        <v>55.78268</v>
      </c>
      <c r="E3827" t="n">
        <v>37.48122</v>
      </c>
      <c r="F3827" t="inlineStr"/>
      <c r="G3827" t="inlineStr"/>
      <c r="H3827" t="inlineStr"/>
    </row>
    <row r="3828">
      <c r="A3828" t="inlineStr">
        <is>
          <t>c438f561-5a14-496a-9cc5-6c41906175ff.jpg</t>
        </is>
      </c>
      <c r="B3828">
        <f>HYPERLINK("Объекты недвижимости, не соответствующие градостроительным нормам_00-022_Август/c438f561-5a14-496a-9cc5-6c41906175ff.jpg","open")</f>
        <v/>
      </c>
      <c r="C3828" t="inlineStr">
        <is>
          <t>685d9054-b74f-49ab-857b-109fd2cec80d</t>
        </is>
      </c>
      <c r="D3828" t="n">
        <v>55.68016</v>
      </c>
      <c r="E3828" t="n">
        <v>37.60275</v>
      </c>
      <c r="F3828" t="inlineStr"/>
      <c r="G3828" t="inlineStr"/>
      <c r="H3828" t="inlineStr"/>
    </row>
    <row r="3829">
      <c r="A3829" t="inlineStr">
        <is>
          <t>b5669699-1c26-493a-8c08-b6848c98a6de.jpg</t>
        </is>
      </c>
      <c r="B3829">
        <f>HYPERLINK("Объекты недвижимости, не соответствующие градостроительным нормам_00-022_Август/b5669699-1c26-493a-8c08-b6848c98a6de.jpg","open")</f>
        <v/>
      </c>
      <c r="C3829" t="inlineStr">
        <is>
          <t>1231bbc5-e64c-4dc7-9acc-77710f47607a</t>
        </is>
      </c>
      <c r="D3829" t="n">
        <v>55.68018</v>
      </c>
      <c r="E3829" t="n">
        <v>37.60273</v>
      </c>
      <c r="F3829" t="inlineStr"/>
      <c r="G3829" t="inlineStr"/>
      <c r="H3829" t="inlineStr"/>
    </row>
    <row r="3830">
      <c r="A3830" t="inlineStr">
        <is>
          <t>29f1fc08-708e-4959-b351-ce3190465fe4.jpg</t>
        </is>
      </c>
      <c r="B3830">
        <f>HYPERLINK("Объекты недвижимости, не соответствующие градостроительным нормам_00-022_Август/29f1fc08-708e-4959-b351-ce3190465fe4.jpg","open")</f>
        <v/>
      </c>
      <c r="C3830" t="inlineStr">
        <is>
          <t>ed2bf0f1-3a66-4913-896e-4420a9796c0b</t>
        </is>
      </c>
      <c r="D3830" t="n">
        <v>55.78279</v>
      </c>
      <c r="E3830" t="n">
        <v>37.48145</v>
      </c>
      <c r="F3830" t="inlineStr"/>
      <c r="G3830" t="inlineStr"/>
      <c r="H3830" t="inlineStr"/>
    </row>
    <row r="3831">
      <c r="A3831" t="inlineStr">
        <is>
          <t>16d901b4-0679-4ab0-9cae-7483de6cc8be.jpg</t>
        </is>
      </c>
      <c r="B3831">
        <f>HYPERLINK("Объекты недвижимости, не соответствующие градостроительным нормам_00-022_Август/16d901b4-0679-4ab0-9cae-7483de6cc8be.jpg","open")</f>
        <v/>
      </c>
      <c r="C3831" t="inlineStr">
        <is>
          <t>685d9054-b74f-49ab-857b-109fd2cec80d</t>
        </is>
      </c>
      <c r="D3831" t="n">
        <v>55.68014</v>
      </c>
      <c r="E3831" t="n">
        <v>37.60265</v>
      </c>
      <c r="F3831" t="inlineStr"/>
      <c r="G3831" t="inlineStr"/>
      <c r="H3831" t="inlineStr"/>
    </row>
    <row r="3832">
      <c r="A3832" t="inlineStr">
        <is>
          <t>683ba546-5d22-4e8f-95e5-15e8bd13cb79.jpg</t>
        </is>
      </c>
      <c r="B3832">
        <f>HYPERLINK("Объекты недвижимости, не соответствующие градостроительным нормам_00-022_Август/683ba546-5d22-4e8f-95e5-15e8bd13cb79.jpg","open")</f>
        <v/>
      </c>
      <c r="C3832" t="inlineStr">
        <is>
          <t>1231bbc5-e64c-4dc7-9acc-77710f47607a</t>
        </is>
      </c>
      <c r="D3832" t="n">
        <v>55.68014</v>
      </c>
      <c r="E3832" t="n">
        <v>37.60265</v>
      </c>
      <c r="F3832" t="inlineStr"/>
      <c r="G3832" t="inlineStr"/>
      <c r="H3832" t="inlineStr"/>
    </row>
    <row r="3833">
      <c r="A3833" t="inlineStr">
        <is>
          <t>7af88983-0393-48b0-9a3d-f0a8b8150471.jpg</t>
        </is>
      </c>
      <c r="B3833">
        <f>HYPERLINK("Объекты недвижимости, не соответствующие градостроительным нормам_00-022_Август/7af88983-0393-48b0-9a3d-f0a8b8150471.jpg","open")</f>
        <v/>
      </c>
      <c r="C3833" t="inlineStr">
        <is>
          <t>1a55986c-2c3f-40c0-b3d1-014dce77832e</t>
        </is>
      </c>
      <c r="D3833" t="n">
        <v>55.78768</v>
      </c>
      <c r="E3833" t="n">
        <v>37.48441</v>
      </c>
      <c r="F3833" t="inlineStr"/>
      <c r="G3833" t="inlineStr"/>
      <c r="H3833" t="inlineStr"/>
    </row>
    <row r="3834">
      <c r="A3834" t="inlineStr">
        <is>
          <t>61067cf8-c27b-4e6d-9e9b-093ab2a670f0.jpg</t>
        </is>
      </c>
      <c r="B3834">
        <f>HYPERLINK("Объекты недвижимости, не соответствующие градостроительным нормам_00-022_Август/61067cf8-c27b-4e6d-9e9b-093ab2a670f0.jpg","open")</f>
        <v/>
      </c>
      <c r="C3834" t="inlineStr">
        <is>
          <t>1a55986c-2c3f-40c0-b3d1-014dce77832e</t>
        </is>
      </c>
      <c r="D3834" t="n">
        <v>55.78831</v>
      </c>
      <c r="E3834" t="n">
        <v>37.48406</v>
      </c>
      <c r="F3834" t="inlineStr"/>
      <c r="G3834" t="inlineStr"/>
      <c r="H3834" t="inlineStr"/>
    </row>
    <row r="3835">
      <c r="A3835" t="inlineStr">
        <is>
          <t>a3415df2-a810-4b68-b62b-3376dcd125eb.jpg</t>
        </is>
      </c>
      <c r="B3835">
        <f>HYPERLINK("Объекты недвижимости, не соответствующие градостроительным нормам_00-022_Август/a3415df2-a810-4b68-b62b-3376dcd125eb.jpg","open")</f>
        <v/>
      </c>
      <c r="C3835" t="inlineStr">
        <is>
          <t>ed2bf0f1-3a66-4913-896e-4420a9796c0b</t>
        </is>
      </c>
      <c r="D3835" t="n">
        <v>55.78856</v>
      </c>
      <c r="E3835" t="n">
        <v>37.48208</v>
      </c>
      <c r="F3835" t="inlineStr"/>
      <c r="G3835" t="inlineStr"/>
      <c r="H3835" t="inlineStr"/>
    </row>
    <row r="3836">
      <c r="A3836" t="inlineStr">
        <is>
          <t>93c54e78-aba0-4631-95d0-72ad7484e6b5.jpg</t>
        </is>
      </c>
      <c r="B3836">
        <f>HYPERLINK("Объекты недвижимости, не соответствующие градостроительным нормам_00-022_Август/93c54e78-aba0-4631-95d0-72ad7484e6b5.jpg","open")</f>
        <v/>
      </c>
      <c r="C3836" t="inlineStr">
        <is>
          <t>ed2bf0f1-3a66-4913-896e-4420a9796c0b</t>
        </is>
      </c>
      <c r="D3836" t="n">
        <v>55.78873</v>
      </c>
      <c r="E3836" t="n">
        <v>37.48051</v>
      </c>
      <c r="F3836" t="inlineStr"/>
      <c r="G3836" t="inlineStr"/>
      <c r="H3836" t="inlineStr"/>
    </row>
    <row r="3837">
      <c r="A3837" t="inlineStr">
        <is>
          <t>0c818d18-0e5e-4257-9850-a51f3e0dab16.jpg</t>
        </is>
      </c>
      <c r="B3837">
        <f>HYPERLINK("Объекты недвижимости, не соответствующие градостроительным нормам_00-022_Август/0c818d18-0e5e-4257-9850-a51f3e0dab16.jpg","open")</f>
        <v/>
      </c>
      <c r="C3837" t="inlineStr">
        <is>
          <t>1231bbc5-e64c-4dc7-9acc-77710f47607a</t>
        </is>
      </c>
      <c r="D3837" t="n">
        <v>55.67908</v>
      </c>
      <c r="E3837" t="n">
        <v>37.60409</v>
      </c>
      <c r="F3837" t="inlineStr"/>
      <c r="G3837" t="inlineStr"/>
      <c r="H3837" t="inlineStr"/>
    </row>
    <row r="3838">
      <c r="A3838" t="inlineStr">
        <is>
          <t>44121abd-5346-4418-9384-684ac1c62d4e.jpg</t>
        </is>
      </c>
      <c r="B3838">
        <f>HYPERLINK("Объекты недвижимости, не соответствующие градостроительным нормам_00-022_Август/44121abd-5346-4418-9384-684ac1c62d4e.jpg","open")</f>
        <v/>
      </c>
      <c r="C3838" t="inlineStr">
        <is>
          <t>685d9054-b74f-49ab-857b-109fd2cec80d</t>
        </is>
      </c>
      <c r="D3838" t="n">
        <v>55.67974</v>
      </c>
      <c r="E3838" t="n">
        <v>37.60189</v>
      </c>
      <c r="F3838" t="inlineStr"/>
      <c r="G3838" t="inlineStr"/>
      <c r="H3838" t="inlineStr"/>
    </row>
    <row r="3839">
      <c r="A3839" t="inlineStr">
        <is>
          <t>b9a6c6ec-0aa0-46c1-899b-b905f869b3f2.jpg</t>
        </is>
      </c>
      <c r="B3839">
        <f>HYPERLINK("Объекты недвижимости, не соответствующие градостроительным нормам_00-022_Август/b9a6c6ec-0aa0-46c1-899b-b905f869b3f2.jpg","open")</f>
        <v/>
      </c>
      <c r="C3839" t="inlineStr">
        <is>
          <t>1231bbc5-e64c-4dc7-9acc-77710f47607a</t>
        </is>
      </c>
      <c r="D3839" t="n">
        <v>55.68005</v>
      </c>
      <c r="E3839" t="n">
        <v>37.60155</v>
      </c>
      <c r="F3839" t="inlineStr"/>
      <c r="G3839" t="inlineStr"/>
      <c r="H3839" t="inlineStr"/>
    </row>
    <row r="3840">
      <c r="A3840" t="inlineStr">
        <is>
          <t>774d7bd6-fd11-42e7-bb8d-89607a143599.jpg</t>
        </is>
      </c>
      <c r="B3840">
        <f>HYPERLINK("Объекты недвижимости, не соответствующие градостроительным нормам_00-022_Август/774d7bd6-fd11-42e7-bb8d-89607a143599.jpg","open")</f>
        <v/>
      </c>
      <c r="C3840" t="inlineStr">
        <is>
          <t>685d9054-b74f-49ab-857b-109fd2cec80d</t>
        </is>
      </c>
      <c r="D3840" t="n">
        <v>55.68021</v>
      </c>
      <c r="E3840" t="n">
        <v>37.60173</v>
      </c>
      <c r="F3840" t="inlineStr"/>
      <c r="G3840" t="inlineStr"/>
      <c r="H3840" t="inlineStr"/>
    </row>
    <row r="3841">
      <c r="A3841" t="inlineStr">
        <is>
          <t>23c12830-27fc-425c-ac77-11e6b54b7454.jpg</t>
        </is>
      </c>
      <c r="B3841">
        <f>HYPERLINK("Объекты недвижимости, не соответствующие градостроительным нормам_00-022_Август/23c12830-27fc-425c-ac77-11e6b54b7454.jpg","open")</f>
        <v/>
      </c>
      <c r="C3841" t="inlineStr">
        <is>
          <t>685d9054-b74f-49ab-857b-109fd2cec80d</t>
        </is>
      </c>
      <c r="D3841" t="n">
        <v>55.68046</v>
      </c>
      <c r="E3841" t="n">
        <v>37.60213</v>
      </c>
      <c r="F3841" t="inlineStr"/>
      <c r="G3841" t="inlineStr"/>
      <c r="H3841" t="inlineStr"/>
    </row>
    <row r="3842">
      <c r="A3842" t="inlineStr">
        <is>
          <t>b26d392a-4ada-4c3e-9e48-784fa86a58f7.jpg</t>
        </is>
      </c>
      <c r="B3842">
        <f>HYPERLINK("Объекты недвижимости, не соответствующие градостроительным нормам_00-022_Август/b26d392a-4ada-4c3e-9e48-784fa86a58f7.jpg","open")</f>
        <v/>
      </c>
      <c r="C3842" t="inlineStr">
        <is>
          <t>1231bbc5-e64c-4dc7-9acc-77710f47607a</t>
        </is>
      </c>
      <c r="D3842" t="n">
        <v>55.68047</v>
      </c>
      <c r="E3842" t="n">
        <v>37.60204</v>
      </c>
      <c r="F3842" t="inlineStr"/>
      <c r="G3842" t="inlineStr"/>
      <c r="H3842" t="inlineStr"/>
    </row>
    <row r="3843">
      <c r="A3843" t="inlineStr">
        <is>
          <t>095134c8-35f3-44fe-b5e3-6292dd3f5e14.jpg</t>
        </is>
      </c>
      <c r="B3843">
        <f>HYPERLINK("Объекты недвижимости, не соответствующие градостроительным нормам_00-022_Август/095134c8-35f3-44fe-b5e3-6292dd3f5e14.jpg","open")</f>
        <v/>
      </c>
      <c r="C3843" t="inlineStr">
        <is>
          <t>12e795ad-2aa7-49de-b2da-2c6aa35a4559</t>
        </is>
      </c>
      <c r="D3843" t="n">
        <v>55.64289</v>
      </c>
      <c r="E3843" t="n">
        <v>37.59704</v>
      </c>
      <c r="F3843" t="inlineStr"/>
      <c r="G3843" t="inlineStr"/>
      <c r="H3843" t="inlineStr"/>
    </row>
    <row r="3844">
      <c r="A3844" t="inlineStr">
        <is>
          <t>851c39af-19d7-4786-ad3f-ce5e08cad659.jpg</t>
        </is>
      </c>
      <c r="B3844">
        <f>HYPERLINK("Объекты недвижимости, не соответствующие градостроительным нормам_00-022_Август/851c39af-19d7-4786-ad3f-ce5e08cad659.jpg","open")</f>
        <v/>
      </c>
      <c r="C3844" t="inlineStr">
        <is>
          <t>91248771-2c4d-44f3-b3cf-d536bd4ae73c</t>
        </is>
      </c>
      <c r="D3844" t="n">
        <v>55.78289</v>
      </c>
      <c r="E3844" t="n">
        <v>37.69873</v>
      </c>
      <c r="F3844" t="inlineStr"/>
      <c r="G3844" t="inlineStr"/>
      <c r="H3844" t="inlineStr"/>
    </row>
    <row r="3845">
      <c r="A3845" t="inlineStr">
        <is>
          <t>4d411ba3-882e-45a5-88c7-90027fab0070.jpg</t>
        </is>
      </c>
      <c r="B3845">
        <f>HYPERLINK("Объекты недвижимости, не соответствующие градостроительным нормам_00-022_Август/4d411ba3-882e-45a5-88c7-90027fab0070.jpg","open")</f>
        <v/>
      </c>
      <c r="C3845" t="inlineStr">
        <is>
          <t>030e8755-17c1-44eb-9530-707d0d3121cb</t>
        </is>
      </c>
      <c r="D3845" t="n">
        <v>55.5925</v>
      </c>
      <c r="E3845" t="n">
        <v>37.64648</v>
      </c>
      <c r="F3845" t="inlineStr"/>
      <c r="G3845" t="inlineStr"/>
      <c r="H3845" t="inlineStr"/>
    </row>
    <row r="3846">
      <c r="A3846" t="inlineStr">
        <is>
          <t>dc0333fe-45b2-4cfb-803c-aad545e7ac13.jpg</t>
        </is>
      </c>
      <c r="B3846">
        <f>HYPERLINK("Объекты недвижимости, не соответствующие градостроительным нормам_00-022_Август/dc0333fe-45b2-4cfb-803c-aad545e7ac13.jpg","open")</f>
        <v/>
      </c>
      <c r="C3846" t="inlineStr">
        <is>
          <t>1a55986c-2c3f-40c0-b3d1-014dce77832e</t>
        </is>
      </c>
      <c r="D3846" t="n">
        <v>55.79081</v>
      </c>
      <c r="E3846" t="n">
        <v>37.4631</v>
      </c>
      <c r="F3846" t="inlineStr"/>
      <c r="G3846" t="inlineStr"/>
      <c r="H3846" t="inlineStr"/>
    </row>
    <row r="3847">
      <c r="A3847" t="inlineStr">
        <is>
          <t>ccf6efc6-4fb1-4415-9588-36c2481a785b.jpg</t>
        </is>
      </c>
      <c r="B3847">
        <f>HYPERLINK("Объекты недвижимости, не соответствующие градостроительным нормам_00-022_Август/ccf6efc6-4fb1-4415-9588-36c2481a785b.jpg","open")</f>
        <v/>
      </c>
      <c r="C3847" t="inlineStr">
        <is>
          <t>ed2bf0f1-3a66-4913-896e-4420a9796c0b</t>
        </is>
      </c>
      <c r="D3847" t="n">
        <v>55.7909</v>
      </c>
      <c r="E3847" t="n">
        <v>37.46254</v>
      </c>
      <c r="F3847" t="inlineStr"/>
      <c r="G3847" t="inlineStr"/>
      <c r="H3847" t="inlineStr"/>
    </row>
    <row r="3848">
      <c r="A3848" t="inlineStr">
        <is>
          <t>5b5dfb8c-dc5e-4c82-bd9a-242ef7fec42a.jpg</t>
        </is>
      </c>
      <c r="B3848">
        <f>HYPERLINK("Объекты недвижимости, не соответствующие градостроительным нормам_00-022_Август/5b5dfb8c-dc5e-4c82-bd9a-242ef7fec42a.jpg","open")</f>
        <v/>
      </c>
      <c r="C3848" t="inlineStr">
        <is>
          <t>1231bbc5-e64c-4dc7-9acc-77710f47607a</t>
        </is>
      </c>
      <c r="D3848" t="n">
        <v>55.67917</v>
      </c>
      <c r="E3848" t="n">
        <v>37.60399</v>
      </c>
      <c r="F3848" t="inlineStr"/>
      <c r="G3848" t="inlineStr"/>
      <c r="H3848" t="inlineStr"/>
    </row>
    <row r="3849">
      <c r="A3849" t="inlineStr">
        <is>
          <t>4f376d73-3b92-4dc0-af50-117156d6872c.jpg</t>
        </is>
      </c>
      <c r="B3849">
        <f>HYPERLINK("Объекты недвижимости, не соответствующие градостроительным нормам_00-022_Август/4f376d73-3b92-4dc0-af50-117156d6872c.jpg","open")</f>
        <v/>
      </c>
      <c r="C3849" t="inlineStr">
        <is>
          <t>685d9054-b74f-49ab-857b-109fd2cec80d</t>
        </is>
      </c>
      <c r="D3849" t="n">
        <v>55.6797</v>
      </c>
      <c r="E3849" t="n">
        <v>37.6008</v>
      </c>
      <c r="F3849" t="inlineStr"/>
      <c r="G3849" t="inlineStr"/>
      <c r="H3849" t="inlineStr"/>
    </row>
    <row r="3850">
      <c r="A3850" t="inlineStr">
        <is>
          <t>2b9f02f6-de62-4656-81bb-f32d49c1b4c6.jpg</t>
        </is>
      </c>
      <c r="B3850">
        <f>HYPERLINK("Объекты недвижимости, не соответствующие градостроительным нормам_00-022_Август/2b9f02f6-de62-4656-81bb-f32d49c1b4c6.jpg","open")</f>
        <v/>
      </c>
      <c r="C3850" t="inlineStr">
        <is>
          <t>fce890a6-27da-4062-a046-08262a160ee6</t>
        </is>
      </c>
      <c r="D3850" t="n">
        <v>55.97603</v>
      </c>
      <c r="E3850" t="n">
        <v>37.39788</v>
      </c>
      <c r="F3850" t="inlineStr"/>
      <c r="G3850" t="inlineStr"/>
      <c r="H3850" t="inlineStr"/>
    </row>
    <row r="3851">
      <c r="A3851" t="inlineStr">
        <is>
          <t>44672cbf-c983-417e-9146-560574480194.jpg</t>
        </is>
      </c>
      <c r="B3851">
        <f>HYPERLINK("Объекты недвижимости, не соответствующие градостроительным нормам_00-022_Август/44672cbf-c983-417e-9146-560574480194.jpg","open")</f>
        <v/>
      </c>
      <c r="C3851" t="inlineStr">
        <is>
          <t>685d9054-b74f-49ab-857b-109fd2cec80d</t>
        </is>
      </c>
      <c r="D3851" t="n">
        <v>55.68018</v>
      </c>
      <c r="E3851" t="n">
        <v>37.60032</v>
      </c>
      <c r="F3851" t="inlineStr"/>
      <c r="G3851" t="inlineStr"/>
      <c r="H3851" t="inlineStr"/>
    </row>
    <row r="3852">
      <c r="A3852" t="inlineStr">
        <is>
          <t>c7319d10-4aa7-44d1-b76d-fcd39700a8b3.jpg</t>
        </is>
      </c>
      <c r="B3852">
        <f>HYPERLINK("Объекты недвижимости, не соответствующие градостроительным нормам_00-022_Август/c7319d10-4aa7-44d1-b76d-fcd39700a8b3.jpg","open")</f>
        <v/>
      </c>
      <c r="C3852" t="inlineStr">
        <is>
          <t>1231bbc5-e64c-4dc7-9acc-77710f47607a</t>
        </is>
      </c>
      <c r="D3852" t="n">
        <v>55.68021</v>
      </c>
      <c r="E3852" t="n">
        <v>37.60034</v>
      </c>
      <c r="F3852" t="inlineStr"/>
      <c r="G3852" t="inlineStr"/>
      <c r="H3852" t="inlineStr"/>
    </row>
    <row r="3853">
      <c r="A3853" t="inlineStr">
        <is>
          <t>00d9bfc8-6112-4a63-b0ee-87ac2cf69a56.jpg</t>
        </is>
      </c>
      <c r="B3853">
        <f>HYPERLINK("Объекты недвижимости, не соответствующие градостроительным нормам_00-022_Август/00d9bfc8-6112-4a63-b0ee-87ac2cf69a56.jpg","open")</f>
        <v/>
      </c>
      <c r="C3853" t="inlineStr">
        <is>
          <t>685d9054-b74f-49ab-857b-109fd2cec80d</t>
        </is>
      </c>
      <c r="D3853" t="n">
        <v>55.68019</v>
      </c>
      <c r="E3853" t="n">
        <v>37.60038</v>
      </c>
      <c r="F3853" t="inlineStr"/>
      <c r="G3853" t="inlineStr"/>
      <c r="H3853" t="inlineStr"/>
    </row>
    <row r="3854">
      <c r="A3854" t="inlineStr">
        <is>
          <t>320ec8c8-ebcd-4918-9f1f-9260801d8bd3.jpg</t>
        </is>
      </c>
      <c r="B3854">
        <f>HYPERLINK("Объекты недвижимости, не соответствующие градостроительным нормам_00-022_Август/320ec8c8-ebcd-4918-9f1f-9260801d8bd3.jpg","open")</f>
        <v/>
      </c>
      <c r="C3854" t="inlineStr">
        <is>
          <t>1231bbc5-e64c-4dc7-9acc-77710f47607a</t>
        </is>
      </c>
      <c r="D3854" t="n">
        <v>55.67967</v>
      </c>
      <c r="E3854" t="n">
        <v>37.59823</v>
      </c>
      <c r="F3854" t="inlineStr"/>
      <c r="G3854" t="inlineStr"/>
      <c r="H3854" t="inlineStr"/>
    </row>
    <row r="3855">
      <c r="A3855" t="inlineStr">
        <is>
          <t>95d194df-8351-4e38-8646-6924a488052d.jpg</t>
        </is>
      </c>
      <c r="B3855">
        <f>HYPERLINK("Объекты недвижимости, не соответствующие градостроительным нормам_00-022_Август/95d194df-8351-4e38-8646-6924a488052d.jpg","open")</f>
        <v/>
      </c>
      <c r="C3855" t="inlineStr">
        <is>
          <t>1a55986c-2c3f-40c0-b3d1-014dce77832e</t>
        </is>
      </c>
      <c r="D3855" t="n">
        <v>55.7792</v>
      </c>
      <c r="E3855" t="n">
        <v>37.4544</v>
      </c>
      <c r="F3855" t="inlineStr"/>
      <c r="G3855" t="inlineStr"/>
      <c r="H3855" t="inlineStr"/>
    </row>
    <row r="3856">
      <c r="A3856" t="inlineStr">
        <is>
          <t>547791fc-bb54-4432-aa5e-fe3ffae34af0.jpg</t>
        </is>
      </c>
      <c r="B3856">
        <f>HYPERLINK("Объекты недвижимости, не соответствующие градостроительным нормам_00-022_Август/547791fc-bb54-4432-aa5e-fe3ffae34af0.jpg","open")</f>
        <v/>
      </c>
      <c r="C3856" t="inlineStr">
        <is>
          <t>685d9054-b74f-49ab-857b-109fd2cec80d</t>
        </is>
      </c>
      <c r="D3856" t="n">
        <v>55.6796</v>
      </c>
      <c r="E3856" t="n">
        <v>37.59968</v>
      </c>
      <c r="F3856" t="inlineStr"/>
      <c r="G3856" t="inlineStr"/>
      <c r="H3856" t="inlineStr"/>
    </row>
    <row r="3857">
      <c r="A3857" t="inlineStr">
        <is>
          <t>3a6a56df-095b-47eb-b913-6bc7bd5b7901.jpg</t>
        </is>
      </c>
      <c r="B3857">
        <f>HYPERLINK("Объекты недвижимости, не соответствующие градостроительным нормам_00-022_Август/3a6a56df-095b-47eb-b913-6bc7bd5b7901.jpg","open")</f>
        <v/>
      </c>
      <c r="C3857" t="inlineStr">
        <is>
          <t>8cde1fd0-eca1-4510-86ab-3c743b65fdfc</t>
        </is>
      </c>
      <c r="D3857" t="n">
        <v>55.69919</v>
      </c>
      <c r="E3857" t="n">
        <v>37.56578</v>
      </c>
      <c r="F3857" t="inlineStr"/>
      <c r="G3857" t="inlineStr"/>
      <c r="H3857" t="inlineStr"/>
    </row>
    <row r="3858">
      <c r="A3858" t="inlineStr">
        <is>
          <t>7894c5c4-1eb8-4395-b077-13f0e7a2af5f.jpg</t>
        </is>
      </c>
      <c r="B3858">
        <f>HYPERLINK("Объекты недвижимости, не соответствующие градостроительным нормам_00-022_Август/7894c5c4-1eb8-4395-b077-13f0e7a2af5f.jpg","open")</f>
        <v/>
      </c>
      <c r="C3858" t="inlineStr">
        <is>
          <t>1c951e11-4940-43c6-a447-394097e5609a</t>
        </is>
      </c>
      <c r="D3858" t="n">
        <v>55.69954</v>
      </c>
      <c r="E3858" t="n">
        <v>37.56636</v>
      </c>
      <c r="F3858" t="inlineStr"/>
      <c r="G3858" t="inlineStr"/>
      <c r="H3858" t="inlineStr"/>
    </row>
    <row r="3859">
      <c r="A3859" t="inlineStr">
        <is>
          <t>372755ec-ceb4-4b82-a9b6-006a37580225.jpg</t>
        </is>
      </c>
      <c r="B3859">
        <f>HYPERLINK("Объекты недвижимости, не соответствующие градостроительным нормам_00-022_Август/372755ec-ceb4-4b82-a9b6-006a37580225.jpg","open")</f>
        <v/>
      </c>
      <c r="C3859" t="inlineStr">
        <is>
          <t>8cde1fd0-eca1-4510-86ab-3c743b65fdfc</t>
        </is>
      </c>
      <c r="D3859" t="n">
        <v>55.69968</v>
      </c>
      <c r="E3859" t="n">
        <v>37.56662</v>
      </c>
      <c r="F3859" t="inlineStr"/>
      <c r="G3859" t="inlineStr"/>
      <c r="H3859" t="inlineStr"/>
    </row>
    <row r="3860">
      <c r="A3860" t="inlineStr">
        <is>
          <t>8d01290f-c6ee-4148-aa8c-130529d4a408.jpg</t>
        </is>
      </c>
      <c r="B3860">
        <f>HYPERLINK("Объекты недвижимости, не соответствующие градостроительным нормам_00-022_Август/8d01290f-c6ee-4148-aa8c-130529d4a408.jpg","open")</f>
        <v/>
      </c>
      <c r="C3860" t="inlineStr">
        <is>
          <t>31a713a9-b910-424b-b847-e0eaa2f70c70</t>
        </is>
      </c>
      <c r="D3860" t="n">
        <v>55.79919</v>
      </c>
      <c r="E3860" t="n">
        <v>37.49349</v>
      </c>
      <c r="F3860" t="inlineStr"/>
      <c r="G3860" t="inlineStr"/>
      <c r="H3860" t="inlineStr"/>
    </row>
    <row r="3861">
      <c r="A3861" t="inlineStr">
        <is>
          <t>45246af9-6ee1-4acf-a6eb-0ac86baf04a2.jpg</t>
        </is>
      </c>
      <c r="B3861">
        <f>HYPERLINK("Объекты недвижимости, не соответствующие градостроительным нормам_00-022_Август/45246af9-6ee1-4acf-a6eb-0ac86baf04a2.jpg","open")</f>
        <v/>
      </c>
      <c r="C3861" t="inlineStr">
        <is>
          <t>8cde1fd0-eca1-4510-86ab-3c743b65fdfc</t>
        </is>
      </c>
      <c r="D3861" t="n">
        <v>55.70266</v>
      </c>
      <c r="E3861" t="n">
        <v>37.57188</v>
      </c>
      <c r="F3861" t="inlineStr"/>
      <c r="G3861" t="inlineStr"/>
      <c r="H3861" t="inlineStr"/>
    </row>
    <row r="3862">
      <c r="A3862" t="inlineStr">
        <is>
          <t>0a18cdcc-71d4-4b61-b7ff-242be66ef3c8.jpg</t>
        </is>
      </c>
      <c r="B3862">
        <f>HYPERLINK("Объекты недвижимости, не соответствующие градостроительным нормам_00-022_Август/0a18cdcc-71d4-4b61-b7ff-242be66ef3c8.jpg","open")</f>
        <v/>
      </c>
      <c r="C3862" t="inlineStr">
        <is>
          <t>8cde1fd0-eca1-4510-86ab-3c743b65fdfc</t>
        </is>
      </c>
      <c r="D3862" t="n">
        <v>55.70494</v>
      </c>
      <c r="E3862" t="n">
        <v>37.57625</v>
      </c>
      <c r="F3862" t="inlineStr"/>
      <c r="G3862" t="inlineStr"/>
      <c r="H3862" t="inlineStr"/>
    </row>
    <row r="3863">
      <c r="A3863" t="inlineStr">
        <is>
          <t>24056602-11d7-499e-8eeb-615cd73f628a.jpg</t>
        </is>
      </c>
      <c r="B3863">
        <f>HYPERLINK("Объекты недвижимости, не соответствующие градостроительным нормам_00-022_Август/24056602-11d7-499e-8eeb-615cd73f628a.jpg","open")</f>
        <v/>
      </c>
      <c r="C3863" t="inlineStr">
        <is>
          <t>7b951050-981e-4ccd-816e-e002f271ab6a</t>
        </is>
      </c>
      <c r="D3863" t="n">
        <v>55.73664</v>
      </c>
      <c r="E3863" t="n">
        <v>37.69815</v>
      </c>
      <c r="F3863" t="inlineStr"/>
      <c r="G3863" t="inlineStr"/>
      <c r="H3863" t="inlineStr"/>
    </row>
    <row r="3864">
      <c r="A3864" t="inlineStr">
        <is>
          <t>e7bdb7eb-cc69-4572-98d6-0a546c220b42.jpg</t>
        </is>
      </c>
      <c r="B3864">
        <f>HYPERLINK("Объекты недвижимости, не соответствующие градостроительным нормам_00-022_Август/e7bdb7eb-cc69-4572-98d6-0a546c220b42.jpg","open")</f>
        <v/>
      </c>
      <c r="C3864" t="inlineStr">
        <is>
          <t>685d9054-b74f-49ab-857b-109fd2cec80d</t>
        </is>
      </c>
      <c r="D3864" t="n">
        <v>55.67922</v>
      </c>
      <c r="E3864" t="n">
        <v>37.598</v>
      </c>
      <c r="F3864" t="inlineStr"/>
      <c r="G3864" t="inlineStr"/>
      <c r="H3864" t="inlineStr"/>
    </row>
    <row r="3865">
      <c r="A3865" t="inlineStr">
        <is>
          <t>2697c2e3-0f88-48fc-8765-71053cb3a26d.jpg</t>
        </is>
      </c>
      <c r="B3865">
        <f>HYPERLINK("Объекты недвижимости, не соответствующие градостроительным нормам_00-022_Август/2697c2e3-0f88-48fc-8765-71053cb3a26d.jpg","open")</f>
        <v/>
      </c>
      <c r="C3865" t="inlineStr">
        <is>
          <t>cbf95b01-f708-45a3-9ec0-3603469b538e</t>
        </is>
      </c>
      <c r="D3865" t="n">
        <v>55.74107</v>
      </c>
      <c r="E3865" t="n">
        <v>37.68866</v>
      </c>
      <c r="F3865" t="inlineStr"/>
      <c r="G3865" t="inlineStr"/>
      <c r="H3865" t="inlineStr"/>
    </row>
    <row r="3866">
      <c r="A3866" t="inlineStr">
        <is>
          <t>756b3472-86dd-4485-afdc-c102913407ef.jpg</t>
        </is>
      </c>
      <c r="B3866">
        <f>HYPERLINK("Объекты недвижимости, не соответствующие градостроительным нормам_00-022_Август/756b3472-86dd-4485-afdc-c102913407ef.jpg","open")</f>
        <v/>
      </c>
      <c r="C3866" t="inlineStr">
        <is>
          <t>cbf95b01-f708-45a3-9ec0-3603469b538e</t>
        </is>
      </c>
      <c r="D3866" t="n">
        <v>55.74107</v>
      </c>
      <c r="E3866" t="n">
        <v>37.68866</v>
      </c>
      <c r="F3866" t="inlineStr"/>
      <c r="G3866" t="inlineStr"/>
      <c r="H3866" t="inlineStr"/>
    </row>
    <row r="3867">
      <c r="A3867" t="inlineStr">
        <is>
          <t>18c2e8b2-386d-4866-b090-4b835f54df25.jpg</t>
        </is>
      </c>
      <c r="B3867">
        <f>HYPERLINK("Объекты недвижимости, не соответствующие градостроительным нормам_00-022_Август/18c2e8b2-386d-4866-b090-4b835f54df25.jpg","open")</f>
        <v/>
      </c>
      <c r="C3867" t="inlineStr">
        <is>
          <t>8cde1fd0-eca1-4510-86ab-3c743b65fdfc</t>
        </is>
      </c>
      <c r="D3867" t="n">
        <v>55.70263</v>
      </c>
      <c r="E3867" t="n">
        <v>37.57165</v>
      </c>
      <c r="F3867" t="inlineStr"/>
      <c r="G3867" t="inlineStr"/>
      <c r="H3867" t="inlineStr"/>
    </row>
    <row r="3868">
      <c r="A3868" t="inlineStr">
        <is>
          <t>f605e1de-387c-4563-90c1-c7ee370c25d7.jpg</t>
        </is>
      </c>
      <c r="B3868">
        <f>HYPERLINK("Объекты недвижимости, не соответствующие градостроительным нормам_00-022_Август/f605e1de-387c-4563-90c1-c7ee370c25d7.jpg","open")</f>
        <v/>
      </c>
      <c r="C3868" t="inlineStr">
        <is>
          <t>cbf95b01-f708-45a3-9ec0-3603469b538e</t>
        </is>
      </c>
      <c r="D3868" t="n">
        <v>55.74107</v>
      </c>
      <c r="E3868" t="n">
        <v>37.68866</v>
      </c>
      <c r="F3868" t="inlineStr"/>
      <c r="G3868" t="inlineStr"/>
      <c r="H3868" t="inlineStr"/>
    </row>
    <row r="3869">
      <c r="A3869" t="inlineStr">
        <is>
          <t>3d9ceb1e-a5ea-44e4-a3f0-a4889d187cb2.jpg</t>
        </is>
      </c>
      <c r="B3869">
        <f>HYPERLINK("Объекты недвижимости, не соответствующие градостроительным нормам_00-022_Август/3d9ceb1e-a5ea-44e4-a3f0-a4889d187cb2.jpg","open")</f>
        <v/>
      </c>
      <c r="C3869" t="inlineStr">
        <is>
          <t>a1a9db89-3f74-42ef-8fad-ad69705102cd</t>
        </is>
      </c>
      <c r="D3869" t="n">
        <v>55.74107</v>
      </c>
      <c r="E3869" t="n">
        <v>37.68866</v>
      </c>
      <c r="F3869" t="inlineStr"/>
      <c r="G3869" t="inlineStr"/>
      <c r="H3869" t="inlineStr"/>
    </row>
    <row r="3870">
      <c r="A3870" t="inlineStr">
        <is>
          <t>d1223845-a04a-4a26-85fb-46c3ec35dc0d.jpg</t>
        </is>
      </c>
      <c r="B3870">
        <f>HYPERLINK("Объекты недвижимости, не соответствующие градостроительным нормам_00-022_Август/d1223845-a04a-4a26-85fb-46c3ec35dc0d.jpg","open")</f>
        <v/>
      </c>
      <c r="C3870" t="inlineStr">
        <is>
          <t>cbf95b01-f708-45a3-9ec0-3603469b538e</t>
        </is>
      </c>
      <c r="D3870" t="n">
        <v>55.77802</v>
      </c>
      <c r="E3870" t="n">
        <v>37.67865</v>
      </c>
      <c r="F3870" t="inlineStr"/>
      <c r="G3870" t="inlineStr"/>
      <c r="H3870" t="inlineStr"/>
    </row>
    <row r="3871">
      <c r="A3871" t="inlineStr">
        <is>
          <t>5df1f595-0cb0-489a-9bf7-b8dfa801b5ca.jpg</t>
        </is>
      </c>
      <c r="B3871">
        <f>HYPERLINK("Объекты недвижимости, не соответствующие градостроительным нормам_00-022_Август/5df1f595-0cb0-489a-9bf7-b8dfa801b5ca.jpg","open")</f>
        <v/>
      </c>
      <c r="C3871" t="inlineStr">
        <is>
          <t>8cde1fd0-eca1-4510-86ab-3c743b65fdfc</t>
        </is>
      </c>
      <c r="D3871" t="n">
        <v>55.69706</v>
      </c>
      <c r="E3871" t="n">
        <v>37.56199</v>
      </c>
      <c r="F3871" t="inlineStr"/>
      <c r="G3871" t="inlineStr"/>
      <c r="H3871" t="inlineStr"/>
    </row>
    <row r="3872">
      <c r="A3872" t="inlineStr">
        <is>
          <t>5fde08ed-feb4-4a22-b354-c2cd42268c3b.jpg</t>
        </is>
      </c>
      <c r="B3872">
        <f>HYPERLINK("Объекты недвижимости, не соответствующие градостроительным нормам_00-022_Август/5fde08ed-feb4-4a22-b354-c2cd42268c3b.jpg","open")</f>
        <v/>
      </c>
      <c r="C3872" t="inlineStr">
        <is>
          <t>1c951e11-4940-43c6-a447-394097e5609a</t>
        </is>
      </c>
      <c r="D3872" t="n">
        <v>55.6971</v>
      </c>
      <c r="E3872" t="n">
        <v>37.56197</v>
      </c>
      <c r="F3872" t="inlineStr"/>
      <c r="G3872" t="inlineStr"/>
      <c r="H3872" t="inlineStr"/>
    </row>
    <row r="3873">
      <c r="A3873" t="inlineStr">
        <is>
          <t>5d412a1f-93ad-439d-b6fb-22d71a3e3725.jpg</t>
        </is>
      </c>
      <c r="B3873">
        <f>HYPERLINK("Объекты недвижимости, не соответствующие градостроительным нормам_00-022_Август/5d412a1f-93ad-439d-b6fb-22d71a3e3725.jpg","open")</f>
        <v/>
      </c>
      <c r="C3873" t="inlineStr">
        <is>
          <t>8cde1fd0-eca1-4510-86ab-3c743b65fdfc</t>
        </is>
      </c>
      <c r="D3873" t="n">
        <v>55.69921</v>
      </c>
      <c r="E3873" t="n">
        <v>37.56581</v>
      </c>
      <c r="F3873" t="inlineStr"/>
      <c r="G3873" t="inlineStr"/>
      <c r="H3873" t="inlineStr"/>
    </row>
    <row r="3874">
      <c r="A3874" t="inlineStr">
        <is>
          <t>880bc6b8-b7ae-4049-860c-66824d52c801.jpg</t>
        </is>
      </c>
      <c r="B3874">
        <f>HYPERLINK("Объекты недвижимости, не соответствующие градостроительным нормам_00-022_Август/880bc6b8-b7ae-4049-860c-66824d52c801.jpg","open")</f>
        <v/>
      </c>
      <c r="C3874" t="inlineStr">
        <is>
          <t>8cde1fd0-eca1-4510-86ab-3c743b65fdfc</t>
        </is>
      </c>
      <c r="D3874" t="n">
        <v>55.69909</v>
      </c>
      <c r="E3874" t="n">
        <v>37.5675</v>
      </c>
      <c r="F3874" t="inlineStr"/>
      <c r="G3874" t="inlineStr"/>
      <c r="H3874" t="inlineStr"/>
    </row>
    <row r="3875">
      <c r="A3875" t="inlineStr">
        <is>
          <t>6ef2dd66-07f9-4068-a906-d3254d52b766.jpg</t>
        </is>
      </c>
      <c r="B3875">
        <f>HYPERLINK("Объекты недвижимости, не соответствующие градостроительным нормам_00-022_Август/6ef2dd66-07f9-4068-a906-d3254d52b766.jpg","open")</f>
        <v/>
      </c>
      <c r="C3875" t="inlineStr">
        <is>
          <t>cbf95b01-f708-45a3-9ec0-3603469b538e</t>
        </is>
      </c>
      <c r="D3875" t="n">
        <v>55.78088</v>
      </c>
      <c r="E3875" t="n">
        <v>37.6687</v>
      </c>
      <c r="F3875" t="inlineStr"/>
      <c r="G3875" t="inlineStr"/>
      <c r="H3875" t="inlineStr"/>
    </row>
    <row r="3876">
      <c r="A3876" t="inlineStr">
        <is>
          <t>186f91be-9da0-4687-86e1-4744d9016cce.jpg</t>
        </is>
      </c>
      <c r="B3876">
        <f>HYPERLINK("Объекты недвижимости, не соответствующие градостроительным нормам_00-022_Август/186f91be-9da0-4687-86e1-4744d9016cce.jpg","open")</f>
        <v/>
      </c>
      <c r="C3876" t="inlineStr">
        <is>
          <t>a28f597e-d1cd-4d3b-b572-c86d033412e9</t>
        </is>
      </c>
      <c r="D3876" t="n">
        <v>55.72598</v>
      </c>
      <c r="E3876" t="n">
        <v>37.4143</v>
      </c>
      <c r="F3876" t="inlineStr"/>
      <c r="G3876" t="inlineStr"/>
      <c r="H3876" t="inlineStr"/>
    </row>
    <row r="3877">
      <c r="A3877" t="inlineStr">
        <is>
          <t>f9bac089-7bf0-4519-a485-f7d286480449.jpg</t>
        </is>
      </c>
      <c r="B3877">
        <f>HYPERLINK("Объекты недвижимости, не соответствующие градостроительным нормам_00-022_Август/f9bac089-7bf0-4519-a485-f7d286480449.jpg","open")</f>
        <v/>
      </c>
      <c r="C3877" t="inlineStr">
        <is>
          <t>036c664f-5408-4fd0-b479-342c00468eeb</t>
        </is>
      </c>
      <c r="D3877" t="n">
        <v>55.72598</v>
      </c>
      <c r="E3877" t="n">
        <v>37.4143</v>
      </c>
      <c r="F3877" t="inlineStr"/>
      <c r="G3877" t="inlineStr"/>
      <c r="H3877" t="inlineStr"/>
    </row>
    <row r="3878">
      <c r="A3878" t="inlineStr">
        <is>
          <t>aa8ef540-fd44-470c-882c-81b80c559063.jpg</t>
        </is>
      </c>
      <c r="B3878">
        <f>HYPERLINK("Объекты недвижимости, не соответствующие градостроительным нормам_00-022_Август/aa8ef540-fd44-470c-882c-81b80c559063.jpg","open")</f>
        <v/>
      </c>
      <c r="C3878" t="inlineStr">
        <is>
          <t>8cde1fd0-eca1-4510-86ab-3c743b65fdfc</t>
        </is>
      </c>
      <c r="D3878" t="n">
        <v>55.69787</v>
      </c>
      <c r="E3878" t="n">
        <v>37.56969</v>
      </c>
      <c r="F3878" t="inlineStr"/>
      <c r="G3878" t="inlineStr"/>
      <c r="H3878" t="inlineStr"/>
    </row>
    <row r="3879">
      <c r="A3879" t="inlineStr">
        <is>
          <t>ceda29e0-a998-47b5-bef3-9430398aa558.jpg</t>
        </is>
      </c>
      <c r="B3879">
        <f>HYPERLINK("Объекты недвижимости, не соответствующие градостроительным нормам_00-022_Август/ceda29e0-a998-47b5-bef3-9430398aa558.jpg","open")</f>
        <v/>
      </c>
      <c r="C3879" t="inlineStr">
        <is>
          <t>a1a9db89-3f74-42ef-8fad-ad69705102cd</t>
        </is>
      </c>
      <c r="D3879" t="n">
        <v>55.77998</v>
      </c>
      <c r="E3879" t="n">
        <v>37.66711</v>
      </c>
      <c r="F3879" t="inlineStr"/>
      <c r="G3879" t="inlineStr"/>
      <c r="H3879" t="inlineStr"/>
    </row>
    <row r="3880">
      <c r="A3880" t="inlineStr">
        <is>
          <t>113f3ada-7c41-4fa4-bafb-9caaffefbb30.jpg</t>
        </is>
      </c>
      <c r="B3880">
        <f>HYPERLINK("Объекты недвижимости, не соответствующие градостроительным нормам_00-022_Август/113f3ada-7c41-4fa4-bafb-9caaffefbb30.jpg","open")</f>
        <v/>
      </c>
      <c r="C3880" t="inlineStr">
        <is>
          <t>cbf95b01-f708-45a3-9ec0-3603469b538e</t>
        </is>
      </c>
      <c r="D3880" t="n">
        <v>55.78</v>
      </c>
      <c r="E3880" t="n">
        <v>37.66707</v>
      </c>
      <c r="F3880" t="inlineStr"/>
      <c r="G3880" t="inlineStr"/>
      <c r="H3880" t="inlineStr"/>
    </row>
    <row r="3881">
      <c r="A3881" t="inlineStr">
        <is>
          <t>c629721c-69b6-4323-8ecc-733652370ceb.jpg</t>
        </is>
      </c>
      <c r="B3881">
        <f>HYPERLINK("Объекты недвижимости, не соответствующие градостроительным нормам_00-022_Август/c629721c-69b6-4323-8ecc-733652370ceb.jpg","open")</f>
        <v/>
      </c>
      <c r="C3881" t="inlineStr">
        <is>
          <t>8cde1fd0-eca1-4510-86ab-3c743b65fdfc</t>
        </is>
      </c>
      <c r="D3881" t="n">
        <v>55.69635</v>
      </c>
      <c r="E3881" t="n">
        <v>37.56975</v>
      </c>
      <c r="F3881" t="inlineStr"/>
      <c r="G3881" t="inlineStr"/>
      <c r="H3881" t="inlineStr"/>
    </row>
    <row r="3882">
      <c r="A3882" t="inlineStr">
        <is>
          <t>8c599c40-1c45-4f13-a022-f785d8d885cf.jpg</t>
        </is>
      </c>
      <c r="B3882">
        <f>HYPERLINK("Объекты недвижимости, не соответствующие градостроительным нормам_00-022_Август/8c599c40-1c45-4f13-a022-f785d8d885cf.jpg","open")</f>
        <v/>
      </c>
      <c r="C3882" t="inlineStr">
        <is>
          <t>c008bda0-324b-4c90-9c2f-36cfc930e0b5</t>
        </is>
      </c>
      <c r="D3882" t="n">
        <v>55.77315</v>
      </c>
      <c r="E3882" t="n">
        <v>37.68701</v>
      </c>
      <c r="F3882" t="inlineStr"/>
      <c r="G3882" t="inlineStr"/>
      <c r="H3882" t="inlineStr"/>
    </row>
    <row r="3883">
      <c r="A3883" t="inlineStr">
        <is>
          <t>467b857d-99af-40a3-9fad-f9ed48c279c2.jpg</t>
        </is>
      </c>
      <c r="B3883">
        <f>HYPERLINK("Объекты недвижимости, не соответствующие градостроительным нормам_00-022_Август/467b857d-99af-40a3-9fad-f9ed48c279c2.jpg","open")</f>
        <v/>
      </c>
      <c r="C3883" t="inlineStr">
        <is>
          <t>8cde1fd0-eca1-4510-86ab-3c743b65fdfc</t>
        </is>
      </c>
      <c r="D3883" t="n">
        <v>55.69461</v>
      </c>
      <c r="E3883" t="n">
        <v>37.56657</v>
      </c>
      <c r="F3883" t="inlineStr"/>
      <c r="G3883" t="inlineStr"/>
      <c r="H3883" t="inlineStr"/>
    </row>
    <row r="3884">
      <c r="A3884" t="inlineStr">
        <is>
          <t>de16ed93-0c01-47cf-afb6-7c64bb0417c7.jpg</t>
        </is>
      </c>
      <c r="B3884">
        <f>HYPERLINK("Объекты недвижимости, не соответствующие градостроительным нормам_00-022_Август/de16ed93-0c01-47cf-afb6-7c64bb0417c7.jpg","open")</f>
        <v/>
      </c>
      <c r="C3884" t="inlineStr">
        <is>
          <t>cbf95b01-f708-45a3-9ec0-3603469b538e</t>
        </is>
      </c>
      <c r="D3884" t="n">
        <v>55.77998</v>
      </c>
      <c r="E3884" t="n">
        <v>37.6671</v>
      </c>
      <c r="F3884" t="inlineStr"/>
      <c r="G3884" t="inlineStr"/>
      <c r="H3884" t="inlineStr"/>
    </row>
    <row r="3885">
      <c r="A3885" t="inlineStr">
        <is>
          <t>30a66270-c8fb-4f21-964e-da5305ebec0f.jpg</t>
        </is>
      </c>
      <c r="B3885">
        <f>HYPERLINK("Объекты недвижимости, не соответствующие градостроительным нормам_00-022_Август/30a66270-c8fb-4f21-964e-da5305ebec0f.jpg","open")</f>
        <v/>
      </c>
      <c r="C3885" t="inlineStr">
        <is>
          <t>cbf95b01-f708-45a3-9ec0-3603469b538e</t>
        </is>
      </c>
      <c r="D3885" t="n">
        <v>55.78002</v>
      </c>
      <c r="E3885" t="n">
        <v>37.66704</v>
      </c>
      <c r="F3885" t="inlineStr"/>
      <c r="G3885" t="inlineStr"/>
      <c r="H3885" t="inlineStr"/>
    </row>
    <row r="3886">
      <c r="A3886" t="inlineStr">
        <is>
          <t>e3fd9b1d-9f85-4178-a814-50edd49c0059.jpg</t>
        </is>
      </c>
      <c r="B3886">
        <f>HYPERLINK("Объекты недвижимости, не соответствующие градостроительным нормам_00-022_Август/e3fd9b1d-9f85-4178-a814-50edd49c0059.jpg","open")</f>
        <v/>
      </c>
      <c r="C3886" t="inlineStr">
        <is>
          <t>cbf95b01-f708-45a3-9ec0-3603469b538e</t>
        </is>
      </c>
      <c r="D3886" t="n">
        <v>55.78002</v>
      </c>
      <c r="E3886" t="n">
        <v>37.66704</v>
      </c>
      <c r="F3886" t="inlineStr"/>
      <c r="G3886" t="inlineStr"/>
      <c r="H3886" t="inlineStr"/>
    </row>
    <row r="3887">
      <c r="A3887" t="inlineStr">
        <is>
          <t>31094bb0-b2d4-405b-a37c-05025c6974a1.jpg</t>
        </is>
      </c>
      <c r="B3887">
        <f>HYPERLINK("Объекты недвижимости, не соответствующие градостроительным нормам_00-022_Август/31094bb0-b2d4-405b-a37c-05025c6974a1.jpg","open")</f>
        <v/>
      </c>
      <c r="C3887" t="inlineStr">
        <is>
          <t>cbf95b01-f708-45a3-9ec0-3603469b538e</t>
        </is>
      </c>
      <c r="D3887" t="n">
        <v>55.78003</v>
      </c>
      <c r="E3887" t="n">
        <v>37.66703</v>
      </c>
      <c r="F3887" t="inlineStr"/>
      <c r="G3887" t="inlineStr"/>
      <c r="H3887" t="inlineStr"/>
    </row>
    <row r="3888">
      <c r="A3888" t="inlineStr">
        <is>
          <t>072c4559-8b7c-429a-bdc9-7da65e80d69b.jpg</t>
        </is>
      </c>
      <c r="B3888">
        <f>HYPERLINK("Объекты недвижимости, не соответствующие градостроительным нормам_00-022_Август/072c4559-8b7c-429a-bdc9-7da65e80d69b.jpg","open")</f>
        <v/>
      </c>
      <c r="C3888" t="inlineStr">
        <is>
          <t>55da50d9-6d31-4c29-a85b-6a228578c6de</t>
        </is>
      </c>
      <c r="D3888" t="n">
        <v>55.71009</v>
      </c>
      <c r="E3888" t="n">
        <v>37.66445</v>
      </c>
      <c r="F3888" t="inlineStr"/>
      <c r="G3888" t="inlineStr"/>
      <c r="H3888" t="inlineStr"/>
    </row>
    <row r="3889">
      <c r="A3889" t="inlineStr">
        <is>
          <t>a245a7dc-0729-4d8c-97c1-c56d2d0fc2e9.jpg</t>
        </is>
      </c>
      <c r="B3889">
        <f>HYPERLINK("Объекты недвижимости, не соответствующие градостроительным нормам_00-022_Август/a245a7dc-0729-4d8c-97c1-c56d2d0fc2e9.jpg","open")</f>
        <v/>
      </c>
      <c r="C3889" t="inlineStr">
        <is>
          <t>a1a9db89-3f74-42ef-8fad-ad69705102cd</t>
        </is>
      </c>
      <c r="D3889" t="n">
        <v>55.77483</v>
      </c>
      <c r="E3889" t="n">
        <v>37.65234</v>
      </c>
      <c r="F3889" t="inlineStr"/>
      <c r="G3889" t="inlineStr"/>
      <c r="H3889" t="inlineStr"/>
    </row>
    <row r="3890">
      <c r="A3890" t="inlineStr">
        <is>
          <t>49336653-20eb-438c-9f60-11f340bfa314.jpg</t>
        </is>
      </c>
      <c r="B3890">
        <f>HYPERLINK("Объекты недвижимости, не соответствующие градостроительным нормам_00-022_Август/49336653-20eb-438c-9f60-11f340bfa314.jpg","open")</f>
        <v/>
      </c>
      <c r="C3890" t="inlineStr">
        <is>
          <t>036c664f-5408-4fd0-b479-342c00468eeb</t>
        </is>
      </c>
      <c r="D3890" t="n">
        <v>55.72591</v>
      </c>
      <c r="E3890" t="n">
        <v>37.41428</v>
      </c>
      <c r="F3890" t="inlineStr"/>
      <c r="G3890" t="inlineStr"/>
      <c r="H3890" t="inlineStr"/>
    </row>
    <row r="3891">
      <c r="A3891" t="inlineStr">
        <is>
          <t>52dd31b6-7a51-4e6a-a320-4227d27894fe.jpg</t>
        </is>
      </c>
      <c r="B3891">
        <f>HYPERLINK("Объекты недвижимости, не соответствующие градостроительным нормам_00-022_Август/52dd31b6-7a51-4e6a-a320-4227d27894fe.jpg","open")</f>
        <v/>
      </c>
      <c r="C3891" t="inlineStr">
        <is>
          <t>a28f597e-d1cd-4d3b-b572-c86d033412e9</t>
        </is>
      </c>
      <c r="D3891" t="n">
        <v>55.72596</v>
      </c>
      <c r="E3891" t="n">
        <v>37.41425</v>
      </c>
      <c r="F3891" t="inlineStr"/>
      <c r="G3891" t="inlineStr"/>
      <c r="H3891" t="inlineStr"/>
    </row>
    <row r="3892">
      <c r="A3892" t="inlineStr">
        <is>
          <t>1c74159f-0fce-4075-8647-24402050fd8c.jpg</t>
        </is>
      </c>
      <c r="B3892">
        <f>HYPERLINK("Объекты недвижимости, не соответствующие градостроительным нормам_00-022_Август/1c74159f-0fce-4075-8647-24402050fd8c.jpg","open")</f>
        <v/>
      </c>
      <c r="C3892" t="inlineStr">
        <is>
          <t>f60286ac-55e7-4099-85bd-cc599a7a0c65</t>
        </is>
      </c>
      <c r="D3892" t="n">
        <v>55.8152</v>
      </c>
      <c r="E3892" t="n">
        <v>37.8311</v>
      </c>
      <c r="F3892" t="inlineStr"/>
      <c r="G3892" t="inlineStr"/>
      <c r="H3892" t="inlineStr"/>
    </row>
    <row r="3893">
      <c r="A3893" t="inlineStr">
        <is>
          <t>ee260acf-da19-492d-a31b-a3a97597d564.jpg</t>
        </is>
      </c>
      <c r="B3893">
        <f>HYPERLINK("Объекты недвижимости, не соответствующие градостроительным нормам_00-022_Август/ee260acf-da19-492d-a31b-a3a97597d564.jpg","open")</f>
        <v/>
      </c>
      <c r="C3893" t="inlineStr">
        <is>
          <t>ffd931da-542f-43e9-979f-5552b17fe3dc</t>
        </is>
      </c>
      <c r="D3893" t="n">
        <v>55.81518</v>
      </c>
      <c r="E3893" t="n">
        <v>37.83111</v>
      </c>
      <c r="F3893" t="inlineStr"/>
      <c r="G3893" t="inlineStr"/>
      <c r="H3893" t="inlineStr"/>
    </row>
    <row r="3894">
      <c r="A3894" t="inlineStr">
        <is>
          <t>8cb11d98-9a71-4918-a3f0-f8dabdf8c644.jpg</t>
        </is>
      </c>
      <c r="B3894">
        <f>HYPERLINK("Объекты недвижимости, не соответствующие градостроительным нормам_00-022_Август/8cb11d98-9a71-4918-a3f0-f8dabdf8c644.jpg","open")</f>
        <v/>
      </c>
      <c r="C3894" t="inlineStr">
        <is>
          <t>ffd931da-542f-43e9-979f-5552b17fe3dc</t>
        </is>
      </c>
      <c r="D3894" t="n">
        <v>55.81517</v>
      </c>
      <c r="E3894" t="n">
        <v>37.83112</v>
      </c>
      <c r="F3894" t="inlineStr"/>
      <c r="G3894" t="inlineStr"/>
      <c r="H3894" t="inlineStr"/>
    </row>
    <row r="3895">
      <c r="A3895" t="inlineStr">
        <is>
          <t>0a6bc552-3ef9-46ae-b943-dfaacb4349c0.jpg</t>
        </is>
      </c>
      <c r="B3895">
        <f>HYPERLINK("Объекты недвижимости, не соответствующие градостроительным нормам_00-022_Август/0a6bc552-3ef9-46ae-b943-dfaacb4349c0.jpg","open")</f>
        <v/>
      </c>
      <c r="C3895" t="inlineStr">
        <is>
          <t>f60286ac-55e7-4099-85bd-cc599a7a0c65</t>
        </is>
      </c>
      <c r="D3895" t="n">
        <v>55.81519</v>
      </c>
      <c r="E3895" t="n">
        <v>37.83112</v>
      </c>
      <c r="F3895" t="inlineStr"/>
      <c r="G3895" t="inlineStr"/>
      <c r="H3895" t="inlineStr"/>
    </row>
    <row r="3896">
      <c r="A3896" t="inlineStr">
        <is>
          <t>df9e1001-3801-4662-8199-188b6d4915fb.jpg</t>
        </is>
      </c>
      <c r="B3896">
        <f>HYPERLINK("Объекты недвижимости, не соответствующие градостроительным нормам_00-022_Август/df9e1001-3801-4662-8199-188b6d4915fb.jpg","open")</f>
        <v/>
      </c>
      <c r="C3896" t="inlineStr">
        <is>
          <t>cbf95b01-f708-45a3-9ec0-3603469b538e</t>
        </is>
      </c>
      <c r="D3896" t="n">
        <v>55.77644</v>
      </c>
      <c r="E3896" t="n">
        <v>37.64935</v>
      </c>
      <c r="F3896" t="inlineStr"/>
      <c r="G3896" t="inlineStr"/>
      <c r="H3896" t="inlineStr"/>
    </row>
    <row r="3897">
      <c r="A3897" t="inlineStr">
        <is>
          <t>52cf2ea5-f71a-4344-9045-c7f8b5463489.jpg</t>
        </is>
      </c>
      <c r="B3897">
        <f>HYPERLINK("Объекты недвижимости, не соответствующие градостроительным нормам_00-022_Август/52cf2ea5-f71a-4344-9045-c7f8b5463489.jpg","open")</f>
        <v/>
      </c>
      <c r="C3897" t="inlineStr">
        <is>
          <t>cbf95b01-f708-45a3-9ec0-3603469b538e</t>
        </is>
      </c>
      <c r="D3897" t="n">
        <v>55.77655</v>
      </c>
      <c r="E3897" t="n">
        <v>37.64913</v>
      </c>
      <c r="F3897" t="inlineStr"/>
      <c r="G3897" t="inlineStr"/>
      <c r="H3897" t="inlineStr"/>
    </row>
    <row r="3898">
      <c r="A3898" t="inlineStr">
        <is>
          <t>db7a295a-7d14-4adf-ac78-d4dd677a0ffc.jpg</t>
        </is>
      </c>
      <c r="B3898">
        <f>HYPERLINK("Объекты недвижимости, не соответствующие градостроительным нормам_00-022_Август/db7a295a-7d14-4adf-ac78-d4dd677a0ffc.jpg","open")</f>
        <v/>
      </c>
      <c r="C3898" t="inlineStr">
        <is>
          <t>cbf95b01-f708-45a3-9ec0-3603469b538e</t>
        </is>
      </c>
      <c r="D3898" t="n">
        <v>55.77692</v>
      </c>
      <c r="E3898" t="n">
        <v>37.6487</v>
      </c>
      <c r="F3898" t="inlineStr"/>
      <c r="G3898" t="inlineStr"/>
      <c r="H3898" t="inlineStr"/>
    </row>
    <row r="3899">
      <c r="A3899" t="inlineStr">
        <is>
          <t>9ecc74b6-934f-4d81-bd52-dbd4b0e35a00.jpg</t>
        </is>
      </c>
      <c r="B3899">
        <f>HYPERLINK("Объекты недвижимости, не соответствующие градостроительным нормам_00-022_Август/9ecc74b6-934f-4d81-bd52-dbd4b0e35a00.jpg","open")</f>
        <v/>
      </c>
      <c r="C3899" t="inlineStr">
        <is>
          <t>29ad9edb-d533-4272-a986-be24eb004851</t>
        </is>
      </c>
      <c r="D3899" t="n">
        <v>55.78704</v>
      </c>
      <c r="E3899" t="n">
        <v>37.66186</v>
      </c>
      <c r="F3899" t="inlineStr"/>
      <c r="G3899" t="inlineStr"/>
      <c r="H3899" t="inlineStr"/>
    </row>
    <row r="3900">
      <c r="A3900" t="inlineStr">
        <is>
          <t>c0917a67-65aa-46a7-9146-bd1eb4d20211.jpg</t>
        </is>
      </c>
      <c r="B3900">
        <f>HYPERLINK("Объекты недвижимости, не соответствующие градостроительным нормам_00-022_Август/c0917a67-65aa-46a7-9146-bd1eb4d20211.jpg","open")</f>
        <v/>
      </c>
      <c r="C3900" t="inlineStr">
        <is>
          <t>cbf95b01-f708-45a3-9ec0-3603469b538e</t>
        </is>
      </c>
      <c r="D3900" t="n">
        <v>55.77925</v>
      </c>
      <c r="E3900" t="n">
        <v>37.64542</v>
      </c>
      <c r="F3900" t="inlineStr"/>
      <c r="G3900" t="inlineStr"/>
      <c r="H3900" t="inlineStr"/>
    </row>
    <row r="3901">
      <c r="A3901" t="inlineStr">
        <is>
          <t>4e5edb5d-94ce-46fa-bd38-03905c513674.jpg</t>
        </is>
      </c>
      <c r="B3901">
        <f>HYPERLINK("Объекты недвижимости, не соответствующие градостроительным нормам_00-022_Август/4e5edb5d-94ce-46fa-bd38-03905c513674.jpg","open")</f>
        <v/>
      </c>
      <c r="C3901" t="inlineStr">
        <is>
          <t>8cde1fd0-eca1-4510-86ab-3c743b65fdfc</t>
        </is>
      </c>
      <c r="D3901" t="n">
        <v>55.6893</v>
      </c>
      <c r="E3901" t="n">
        <v>37.5588</v>
      </c>
      <c r="F3901" t="inlineStr"/>
      <c r="G3901" t="inlineStr"/>
      <c r="H3901" t="inlineStr"/>
    </row>
    <row r="3902">
      <c r="A3902" t="inlineStr">
        <is>
          <t>183c2038-74e4-4299-8e79-d5d6d022ee85.jpg</t>
        </is>
      </c>
      <c r="B3902">
        <f>HYPERLINK("Объекты недвижимости, не соответствующие градостроительным нормам_00-022_Август/183c2038-74e4-4299-8e79-d5d6d022ee85.jpg","open")</f>
        <v/>
      </c>
      <c r="C3902" t="inlineStr">
        <is>
          <t>1c951e11-4940-43c6-a447-394097e5609a</t>
        </is>
      </c>
      <c r="D3902" t="n">
        <v>55.6899</v>
      </c>
      <c r="E3902" t="n">
        <v>37.55959</v>
      </c>
      <c r="F3902" t="inlineStr"/>
      <c r="G3902" t="inlineStr"/>
      <c r="H3902" t="inlineStr"/>
    </row>
    <row r="3903">
      <c r="A3903" t="inlineStr">
        <is>
          <t>2629bb23-b3cb-4cf9-82e9-edbf18b93f88.jpg</t>
        </is>
      </c>
      <c r="B3903">
        <f>HYPERLINK("Объекты недвижимости, не соответствующие градостроительным нормам_00-022_Август/2629bb23-b3cb-4cf9-82e9-edbf18b93f88.jpg","open")</f>
        <v/>
      </c>
      <c r="C3903" t="inlineStr">
        <is>
          <t>cbf95b01-f708-45a3-9ec0-3603469b538e</t>
        </is>
      </c>
      <c r="D3903" t="n">
        <v>55.77943</v>
      </c>
      <c r="E3903" t="n">
        <v>37.64516</v>
      </c>
      <c r="F3903" t="inlineStr"/>
      <c r="G3903" t="inlineStr"/>
      <c r="H3903" t="inlineStr"/>
    </row>
    <row r="3904">
      <c r="A3904" t="inlineStr">
        <is>
          <t>3051ba2a-2820-4417-a97a-e0eb9c239ff6.jpg</t>
        </is>
      </c>
      <c r="B3904">
        <f>HYPERLINK("Объекты недвижимости, не соответствующие градостроительным нормам_00-022_Август/3051ba2a-2820-4417-a97a-e0eb9c239ff6.jpg","open")</f>
        <v/>
      </c>
      <c r="C3904" t="inlineStr">
        <is>
          <t>8cde1fd0-eca1-4510-86ab-3c743b65fdfc</t>
        </is>
      </c>
      <c r="D3904" t="n">
        <v>55.6927</v>
      </c>
      <c r="E3904" t="n">
        <v>37.56356</v>
      </c>
      <c r="F3904" t="inlineStr"/>
      <c r="G3904" t="inlineStr"/>
      <c r="H3904" t="inlineStr"/>
    </row>
    <row r="3905">
      <c r="A3905" t="inlineStr">
        <is>
          <t>6924debf-7c11-452f-9111-fe47c7b210f3.jpg</t>
        </is>
      </c>
      <c r="B3905">
        <f>HYPERLINK("Объекты недвижимости, не соответствующие градостроительным нормам_00-022_Август/6924debf-7c11-452f-9111-fe47c7b210f3.jpg","open")</f>
        <v/>
      </c>
      <c r="C3905" t="inlineStr">
        <is>
          <t>8cde1fd0-eca1-4510-86ab-3c743b65fdfc</t>
        </is>
      </c>
      <c r="D3905" t="n">
        <v>55.69341</v>
      </c>
      <c r="E3905" t="n">
        <v>37.5649</v>
      </c>
      <c r="F3905" t="inlineStr"/>
      <c r="G3905" t="inlineStr"/>
      <c r="H3905" t="inlineStr"/>
    </row>
    <row r="3906">
      <c r="A3906" t="inlineStr">
        <is>
          <t>70dd7db2-6645-4d91-84da-4b7a9989bcdf.jpg</t>
        </is>
      </c>
      <c r="B3906">
        <f>HYPERLINK("Объекты недвижимости, не соответствующие градостроительным нормам_00-022_Август/70dd7db2-6645-4d91-84da-4b7a9989bcdf.jpg","open")</f>
        <v/>
      </c>
      <c r="C3906" t="inlineStr">
        <is>
          <t>1c951e11-4940-43c6-a447-394097e5609a</t>
        </is>
      </c>
      <c r="D3906" t="n">
        <v>55.69338</v>
      </c>
      <c r="E3906" t="n">
        <v>37.56482</v>
      </c>
      <c r="F3906" t="inlineStr"/>
      <c r="G3906" t="inlineStr"/>
      <c r="H3906" t="inlineStr"/>
    </row>
    <row r="3907">
      <c r="A3907" t="inlineStr">
        <is>
          <t>7c76ebfd-3295-46cd-8a35-b245b016f5ba.jpg</t>
        </is>
      </c>
      <c r="B3907">
        <f>HYPERLINK("Объекты недвижимости, не соответствующие градостроительным нормам_00-022_Август/7c76ebfd-3295-46cd-8a35-b245b016f5ba.jpg","open")</f>
        <v/>
      </c>
      <c r="C3907" t="inlineStr">
        <is>
          <t>ffd931da-542f-43e9-979f-5552b17fe3dc</t>
        </is>
      </c>
      <c r="D3907" t="n">
        <v>55.81525</v>
      </c>
      <c r="E3907" t="n">
        <v>37.83105</v>
      </c>
      <c r="F3907" t="inlineStr"/>
      <c r="G3907" t="inlineStr"/>
      <c r="H3907" t="inlineStr"/>
    </row>
    <row r="3908">
      <c r="A3908" t="inlineStr">
        <is>
          <t>347cf068-a678-48cb-9875-250d5ec11484.jpg</t>
        </is>
      </c>
      <c r="B3908">
        <f>HYPERLINK("Объекты недвижимости, не соответствующие градостроительным нормам_00-022_Август/347cf068-a678-48cb-9875-250d5ec11484.jpg","open")</f>
        <v/>
      </c>
      <c r="C3908" t="inlineStr">
        <is>
          <t>1c951e11-4940-43c6-a447-394097e5609a</t>
        </is>
      </c>
      <c r="D3908" t="n">
        <v>55.69444</v>
      </c>
      <c r="E3908" t="n">
        <v>37.56674</v>
      </c>
      <c r="F3908" t="inlineStr"/>
      <c r="G3908" t="inlineStr"/>
      <c r="H3908" t="inlineStr"/>
    </row>
    <row r="3909">
      <c r="A3909" t="inlineStr">
        <is>
          <t>dd9eedca-4027-4d3d-b646-31fc70458714.jpg</t>
        </is>
      </c>
      <c r="B3909">
        <f>HYPERLINK("Объекты недвижимости, не соответствующие градостроительным нормам_00-022_Август/dd9eedca-4027-4d3d-b646-31fc70458714.jpg","open")</f>
        <v/>
      </c>
      <c r="C3909" t="inlineStr">
        <is>
          <t>789f6c51-64ee-4078-b7bd-443af8b8b68a</t>
        </is>
      </c>
      <c r="D3909" t="n">
        <v>55.85623</v>
      </c>
      <c r="E3909" t="n">
        <v>37.64079</v>
      </c>
      <c r="F3909" t="inlineStr"/>
      <c r="G3909" t="inlineStr"/>
      <c r="H3909" t="inlineStr"/>
    </row>
    <row r="3910">
      <c r="A3910" t="inlineStr">
        <is>
          <t>d259f250-2c9f-4199-96e7-bdd71f908edd.jpg</t>
        </is>
      </c>
      <c r="B3910">
        <f>HYPERLINK("Объекты недвижимости, не соответствующие градостроительным нормам_00-022_Август/d259f250-2c9f-4199-96e7-bdd71f908edd.jpg","open")</f>
        <v/>
      </c>
      <c r="C3910" t="inlineStr">
        <is>
          <t>2acfb2da-e3f6-464c-bd17-4b713522c142</t>
        </is>
      </c>
      <c r="D3910" t="n">
        <v>55.85623</v>
      </c>
      <c r="E3910" t="n">
        <v>37.64083</v>
      </c>
      <c r="F3910" t="inlineStr"/>
      <c r="G3910" t="inlineStr"/>
      <c r="H3910" t="inlineStr"/>
    </row>
    <row r="3911">
      <c r="A3911" t="inlineStr">
        <is>
          <t>18fc7e50-aad4-47cf-a71e-0067292e1ded.jpg</t>
        </is>
      </c>
      <c r="B3911">
        <f>HYPERLINK("Объекты недвижимости, не соответствующие градостроительным нормам_00-022_Август/18fc7e50-aad4-47cf-a71e-0067292e1ded.jpg","open")</f>
        <v/>
      </c>
      <c r="C3911" t="inlineStr">
        <is>
          <t>55da50d9-6d31-4c29-a85b-6a228578c6de</t>
        </is>
      </c>
      <c r="D3911" t="n">
        <v>55.71014</v>
      </c>
      <c r="E3911" t="n">
        <v>37.66426</v>
      </c>
      <c r="F3911" t="inlineStr"/>
      <c r="G3911" t="inlineStr"/>
      <c r="H3911" t="inlineStr"/>
    </row>
    <row r="3912">
      <c r="A3912" t="inlineStr">
        <is>
          <t>57e45075-193c-4199-84fe-5b0e07ebbe4d.jpg</t>
        </is>
      </c>
      <c r="B3912">
        <f>HYPERLINK("Объекты недвижимости, не соответствующие градостроительным нормам_00-022_Август/57e45075-193c-4199-84fe-5b0e07ebbe4d.jpg","open")</f>
        <v/>
      </c>
      <c r="C3912" t="inlineStr">
        <is>
          <t>55da50d9-6d31-4c29-a85b-6a228578c6de</t>
        </is>
      </c>
      <c r="D3912" t="n">
        <v>55.71014</v>
      </c>
      <c r="E3912" t="n">
        <v>37.66426</v>
      </c>
      <c r="F3912" t="inlineStr"/>
      <c r="G3912" t="inlineStr"/>
      <c r="H3912" t="inlineStr"/>
    </row>
    <row r="3913">
      <c r="A3913" t="inlineStr">
        <is>
          <t>287e483d-44b4-4871-8957-792829c1bc54.jpg</t>
        </is>
      </c>
      <c r="B3913">
        <f>HYPERLINK("Объекты недвижимости, не соответствующие градостроительным нормам_00-022_Август/287e483d-44b4-4871-8957-792829c1bc54.jpg","open")</f>
        <v/>
      </c>
      <c r="C3913" t="inlineStr">
        <is>
          <t>5e5b9944-4f9e-4223-bf96-0bc0c8a93dfa</t>
        </is>
      </c>
      <c r="D3913" t="n">
        <v>55.97639</v>
      </c>
      <c r="E3913" t="n">
        <v>37.43112</v>
      </c>
      <c r="F3913" t="inlineStr"/>
      <c r="G3913" t="inlineStr"/>
      <c r="H3913" t="inlineStr"/>
    </row>
    <row r="3914">
      <c r="A3914" t="inlineStr">
        <is>
          <t>f29b2713-bac7-411b-b3b7-0ff72a6cfd04.jpg</t>
        </is>
      </c>
      <c r="B3914">
        <f>HYPERLINK("Объекты недвижимости, не соответствующие градостроительным нормам_00-022_Август/f29b2713-bac7-411b-b3b7-0ff72a6cfd04.jpg","open")</f>
        <v/>
      </c>
      <c r="C3914" t="inlineStr">
        <is>
          <t>12e795ad-2aa7-49de-b2da-2c6aa35a4559</t>
        </is>
      </c>
      <c r="D3914" t="n">
        <v>55.64756</v>
      </c>
      <c r="E3914" t="n">
        <v>37.57962</v>
      </c>
      <c r="F3914" t="inlineStr"/>
      <c r="G3914" t="inlineStr"/>
      <c r="H3914" t="inlineStr"/>
    </row>
    <row r="3915">
      <c r="A3915" t="inlineStr">
        <is>
          <t>2d7b81e9-b410-4732-b235-4923f3128c9e.jpg</t>
        </is>
      </c>
      <c r="B3915">
        <f>HYPERLINK("Объекты недвижимости, не соответствующие градостроительным нормам_00-022_Август/2d7b81e9-b410-4732-b235-4923f3128c9e.jpg","open")</f>
        <v/>
      </c>
      <c r="C3915" t="inlineStr">
        <is>
          <t>ffd931da-542f-43e9-979f-5552b17fe3dc</t>
        </is>
      </c>
      <c r="D3915" t="n">
        <v>55.81517</v>
      </c>
      <c r="E3915" t="n">
        <v>37.83137</v>
      </c>
      <c r="F3915" t="inlineStr"/>
      <c r="G3915" t="inlineStr"/>
      <c r="H3915" t="inlineStr"/>
    </row>
    <row r="3916">
      <c r="A3916" t="inlineStr">
        <is>
          <t>43016900-af5b-45c2-8334-01fe166ed75b.jpg</t>
        </is>
      </c>
      <c r="B3916">
        <f>HYPERLINK("Объекты недвижимости, не соответствующие градостроительным нормам_00-022_Август/43016900-af5b-45c2-8334-01fe166ed75b.jpg","open")</f>
        <v/>
      </c>
      <c r="C3916" t="inlineStr">
        <is>
          <t>f60286ac-55e7-4099-85bd-cc599a7a0c65</t>
        </is>
      </c>
      <c r="D3916" t="n">
        <v>55.81518</v>
      </c>
      <c r="E3916" t="n">
        <v>37.83134</v>
      </c>
      <c r="F3916" t="inlineStr"/>
      <c r="G3916" t="inlineStr"/>
      <c r="H3916" t="inlineStr"/>
    </row>
    <row r="3917">
      <c r="A3917" t="inlineStr">
        <is>
          <t>dbdcb062-f3af-46f7-b074-2b4e20df46ef.jpg</t>
        </is>
      </c>
      <c r="B3917">
        <f>HYPERLINK("Объекты недвижимости, не соответствующие градостроительным нормам_00-022_Август/dbdcb062-f3af-46f7-b074-2b4e20df46ef.jpg","open")</f>
        <v/>
      </c>
      <c r="C3917" t="inlineStr">
        <is>
          <t>55da50d9-6d31-4c29-a85b-6a228578c6de</t>
        </is>
      </c>
      <c r="D3917" t="n">
        <v>55.71021</v>
      </c>
      <c r="E3917" t="n">
        <v>37.66428</v>
      </c>
      <c r="F3917" t="inlineStr"/>
      <c r="G3917" t="inlineStr"/>
      <c r="H3917" t="inlineStr"/>
    </row>
    <row r="3918">
      <c r="A3918" t="inlineStr">
        <is>
          <t>606ff287-7b10-439f-8033-16a25874f69e.jpg</t>
        </is>
      </c>
      <c r="B3918">
        <f>HYPERLINK("Объекты недвижимости, не соответствующие градостроительным нормам_00-022_Август/606ff287-7b10-439f-8033-16a25874f69e.jpg","open")</f>
        <v/>
      </c>
      <c r="C3918" t="inlineStr">
        <is>
          <t>fb40ed24-21ef-458a-a239-038ab19932cc</t>
        </is>
      </c>
      <c r="D3918" t="n">
        <v>55.78654</v>
      </c>
      <c r="E3918" t="n">
        <v>37.73014</v>
      </c>
      <c r="F3918" t="inlineStr"/>
      <c r="G3918" t="inlineStr"/>
      <c r="H3918" t="inlineStr"/>
    </row>
    <row r="3919">
      <c r="A3919" t="inlineStr">
        <is>
          <t>3be091d4-0766-4643-91c1-9036279530f6.jpg</t>
        </is>
      </c>
      <c r="B3919">
        <f>HYPERLINK("Объекты недвижимости, не соответствующие градостроительным нормам_00-022_Август/3be091d4-0766-4643-91c1-9036279530f6.jpg","open")</f>
        <v/>
      </c>
      <c r="C3919" t="inlineStr">
        <is>
          <t>8beacb4f-617e-4b34-8030-60c4dff5f8d1</t>
        </is>
      </c>
      <c r="D3919" t="n">
        <v>55.73805</v>
      </c>
      <c r="E3919" t="n">
        <v>37.72117</v>
      </c>
      <c r="F3919" t="inlineStr"/>
      <c r="G3919" t="inlineStr"/>
      <c r="H3919" t="inlineStr"/>
    </row>
    <row r="3920">
      <c r="A3920" t="inlineStr">
        <is>
          <t>6a32a10c-17b9-40ac-a1fe-a2f8a5f734f9.jpg</t>
        </is>
      </c>
      <c r="B3920">
        <f>HYPERLINK("Объекты недвижимости, не соответствующие градостроительным нормам_00-022_Август/6a32a10c-17b9-40ac-a1fe-a2f8a5f734f9.jpg","open")</f>
        <v/>
      </c>
      <c r="C3920" t="inlineStr">
        <is>
          <t>8cde1fd0-eca1-4510-86ab-3c743b65fdfc</t>
        </is>
      </c>
      <c r="D3920" t="n">
        <v>55.68173</v>
      </c>
      <c r="E3920" t="n">
        <v>37.59793</v>
      </c>
      <c r="F3920" t="inlineStr"/>
      <c r="G3920" t="inlineStr"/>
      <c r="H3920" t="inlineStr"/>
    </row>
    <row r="3921">
      <c r="A3921" t="inlineStr">
        <is>
          <t>8054f88d-1872-4f9a-bb11-193595866941.jpg</t>
        </is>
      </c>
      <c r="B3921">
        <f>HYPERLINK("Объекты недвижимости, не соответствующие градостроительным нормам_00-022_Август/8054f88d-1872-4f9a-bb11-193595866941.jpg","open")</f>
        <v/>
      </c>
      <c r="C3921" t="inlineStr">
        <is>
          <t>1a55986c-2c3f-40c0-b3d1-014dce77832e</t>
        </is>
      </c>
      <c r="D3921" t="n">
        <v>55.77323</v>
      </c>
      <c r="E3921" t="n">
        <v>37.47075</v>
      </c>
      <c r="F3921" t="inlineStr"/>
      <c r="G3921" t="inlineStr"/>
      <c r="H3921" t="inlineStr"/>
    </row>
    <row r="3922">
      <c r="A3922" t="inlineStr">
        <is>
          <t>474b1f02-1e4a-4095-882a-bb53bccc9b80.jpg</t>
        </is>
      </c>
      <c r="B3922">
        <f>HYPERLINK("Объекты недвижимости, не соответствующие градостроительным нормам_00-022_Август/474b1f02-1e4a-4095-882a-bb53bccc9b80.jpg","open")</f>
        <v/>
      </c>
      <c r="C3922" t="inlineStr">
        <is>
          <t>55da50d9-6d31-4c29-a85b-6a228578c6de</t>
        </is>
      </c>
      <c r="D3922" t="n">
        <v>55.70994</v>
      </c>
      <c r="E3922" t="n">
        <v>37.66386</v>
      </c>
      <c r="F3922" t="inlineStr"/>
      <c r="G3922" t="inlineStr"/>
      <c r="H3922" t="inlineStr"/>
    </row>
    <row r="3923">
      <c r="A3923" t="inlineStr">
        <is>
          <t>1202957d-903b-4e20-a64e-8c4fef566efe.jpg</t>
        </is>
      </c>
      <c r="B3923">
        <f>HYPERLINK("Объекты недвижимости, не соответствующие градостроительным нормам_00-022_Август/1202957d-903b-4e20-a64e-8c4fef566efe.jpg","open")</f>
        <v/>
      </c>
      <c r="C3923" t="inlineStr">
        <is>
          <t>1231bbc5-e64c-4dc7-9acc-77710f47607a</t>
        </is>
      </c>
      <c r="D3923" t="n">
        <v>55.67802</v>
      </c>
      <c r="E3923" t="n">
        <v>37.59895</v>
      </c>
      <c r="F3923" t="inlineStr"/>
      <c r="G3923" t="inlineStr"/>
      <c r="H3923" t="inlineStr"/>
    </row>
    <row r="3924">
      <c r="A3924" t="inlineStr">
        <is>
          <t>c74ced5c-f6a2-488c-bd01-b95a2b3bebc5.jpg</t>
        </is>
      </c>
      <c r="B3924">
        <f>HYPERLINK("Объекты недвижимости, не соответствующие градостроительным нормам_00-022_Август/c74ced5c-f6a2-488c-bd01-b95a2b3bebc5.jpg","open")</f>
        <v/>
      </c>
      <c r="C3924" t="inlineStr">
        <is>
          <t>685d9054-b74f-49ab-857b-109fd2cec80d</t>
        </is>
      </c>
      <c r="D3924" t="n">
        <v>55.67802</v>
      </c>
      <c r="E3924" t="n">
        <v>37.59895</v>
      </c>
      <c r="F3924" t="inlineStr"/>
      <c r="G3924" t="inlineStr"/>
      <c r="H3924" t="inlineStr"/>
    </row>
    <row r="3925">
      <c r="A3925" t="inlineStr">
        <is>
          <t>89d98564-a97b-4613-896f-7598930289c2.jpg</t>
        </is>
      </c>
      <c r="B3925">
        <f>HYPERLINK("Объекты недвижимости, не соответствующие градостроительным нормам_00-022_Август/89d98564-a97b-4613-896f-7598930289c2.jpg","open")</f>
        <v/>
      </c>
      <c r="C3925" t="inlineStr">
        <is>
          <t>ab4e767f-65c0-455b-af20-a5527124fd21</t>
        </is>
      </c>
      <c r="D3925" t="n">
        <v>55.72834</v>
      </c>
      <c r="E3925" t="n">
        <v>37.40563</v>
      </c>
      <c r="F3925" t="inlineStr"/>
      <c r="G3925" t="inlineStr"/>
      <c r="H3925" t="inlineStr"/>
    </row>
    <row r="3926">
      <c r="A3926" t="inlineStr">
        <is>
          <t>b2fca04b-4e9a-40c2-b5dd-a82abb794e0c.jpg</t>
        </is>
      </c>
      <c r="B3926">
        <f>HYPERLINK("Объекты недвижимости, не соответствующие градостроительным нормам_00-022_Август/b2fca04b-4e9a-40c2-b5dd-a82abb794e0c.jpg","open")</f>
        <v/>
      </c>
      <c r="C3926" t="inlineStr">
        <is>
          <t>55da50d9-6d31-4c29-a85b-6a228578c6de</t>
        </is>
      </c>
      <c r="D3926" t="n">
        <v>55.71028</v>
      </c>
      <c r="E3926" t="n">
        <v>37.66416</v>
      </c>
      <c r="F3926" t="inlineStr"/>
      <c r="G3926" t="inlineStr"/>
      <c r="H3926" t="inlineStr"/>
    </row>
    <row r="3927">
      <c r="A3927" t="inlineStr">
        <is>
          <t>1717dc1c-6667-4d8b-a8d6-21128e32b10b.jpg</t>
        </is>
      </c>
      <c r="B3927">
        <f>HYPERLINK("Объекты недвижимости, не соответствующие градостроительным нормам_00-022_Август/1717dc1c-6667-4d8b-a8d6-21128e32b10b.jpg","open")</f>
        <v/>
      </c>
      <c r="C3927" t="inlineStr">
        <is>
          <t>55da50d9-6d31-4c29-a85b-6a228578c6de</t>
        </is>
      </c>
      <c r="D3927" t="n">
        <v>55.71028</v>
      </c>
      <c r="E3927" t="n">
        <v>37.66415</v>
      </c>
      <c r="F3927" t="inlineStr"/>
      <c r="G3927" t="inlineStr"/>
      <c r="H3927" t="inlineStr"/>
    </row>
    <row r="3928">
      <c r="A3928" t="inlineStr">
        <is>
          <t>9698c42e-e336-43f8-84d4-50744ac032df.jpg</t>
        </is>
      </c>
      <c r="B3928">
        <f>HYPERLINK("Объекты недвижимости, не соответствующие градостроительным нормам_00-022_Август/9698c42e-e336-43f8-84d4-50744ac032df.jpg","open")</f>
        <v/>
      </c>
      <c r="C3928" t="inlineStr">
        <is>
          <t>8beacb4f-617e-4b34-8030-60c4dff5f8d1</t>
        </is>
      </c>
      <c r="D3928" t="n">
        <v>55.74657</v>
      </c>
      <c r="E3928" t="n">
        <v>37.68604</v>
      </c>
      <c r="F3928" t="inlineStr"/>
      <c r="G3928" t="inlineStr"/>
      <c r="H3928" t="inlineStr"/>
    </row>
    <row r="3929">
      <c r="A3929" t="inlineStr">
        <is>
          <t>9885e4bf-1b19-402b-be07-804ffd543ac9.jpg</t>
        </is>
      </c>
      <c r="B3929">
        <f>HYPERLINK("Объекты недвижимости, не соответствующие градостроительным нормам_00-022_Август/9885e4bf-1b19-402b-be07-804ffd543ac9.jpg","open")</f>
        <v/>
      </c>
      <c r="C3929" t="inlineStr">
        <is>
          <t>b6b3590f-f506-4399-8205-e7ac710132e7</t>
        </is>
      </c>
      <c r="D3929" t="n">
        <v>55.80943</v>
      </c>
      <c r="E3929" t="n">
        <v>37.5265</v>
      </c>
      <c r="F3929" t="inlineStr"/>
      <c r="G3929" t="inlineStr"/>
      <c r="H3929" t="inlineStr"/>
    </row>
    <row r="3930">
      <c r="A3930" t="inlineStr">
        <is>
          <t>00ee5432-281e-4061-9dd5-01349e39de60.jpg</t>
        </is>
      </c>
      <c r="B3930">
        <f>HYPERLINK("Объекты недвижимости, не соответствующие градостроительным нормам_00-022_Август/00ee5432-281e-4061-9dd5-01349e39de60.jpg","open")</f>
        <v/>
      </c>
      <c r="C3930" t="inlineStr">
        <is>
          <t>8cde1fd0-eca1-4510-86ab-3c743b65fdfc</t>
        </is>
      </c>
      <c r="D3930" t="n">
        <v>55.68051</v>
      </c>
      <c r="E3930" t="n">
        <v>37.53403</v>
      </c>
      <c r="F3930" t="inlineStr"/>
      <c r="G3930" t="inlineStr"/>
      <c r="H3930" t="inlineStr"/>
    </row>
    <row r="3931">
      <c r="A3931" t="inlineStr">
        <is>
          <t>3a07a1e7-0c49-4f7b-99cc-7d2f8e6411ad.jpg</t>
        </is>
      </c>
      <c r="B3931">
        <f>HYPERLINK("Объекты недвижимости, не соответствующие градостроительным нормам_00-022_Август/3a07a1e7-0c49-4f7b-99cc-7d2f8e6411ad.jpg","open")</f>
        <v/>
      </c>
      <c r="C3931" t="inlineStr">
        <is>
          <t>31a713a9-b910-424b-b847-e0eaa2f70c70</t>
        </is>
      </c>
      <c r="D3931" t="n">
        <v>55.80507</v>
      </c>
      <c r="E3931" t="n">
        <v>37.48384</v>
      </c>
      <c r="F3931" t="inlineStr"/>
      <c r="G3931" t="inlineStr"/>
      <c r="H3931" t="inlineStr"/>
    </row>
    <row r="3932">
      <c r="A3932" t="inlineStr">
        <is>
          <t>bad8d43f-4782-431b-bbac-78f56be29c00.jpg</t>
        </is>
      </c>
      <c r="B3932">
        <f>HYPERLINK("Объекты недвижимости, не соответствующие градостроительным нормам_00-022_Август/bad8d43f-4782-431b-bbac-78f56be29c00.jpg","open")</f>
        <v/>
      </c>
      <c r="C3932" t="inlineStr">
        <is>
          <t>ab4e767f-65c0-455b-af20-a5527124fd21</t>
        </is>
      </c>
      <c r="D3932" t="n">
        <v>55.74109</v>
      </c>
      <c r="E3932" t="n">
        <v>37.42789</v>
      </c>
      <c r="F3932" t="inlineStr"/>
      <c r="G3932" t="inlineStr"/>
      <c r="H3932" t="inlineStr"/>
    </row>
    <row r="3933">
      <c r="A3933" t="inlineStr">
        <is>
          <t>72c88bf0-50aa-4b88-900a-683c75f55c7e.jpg</t>
        </is>
      </c>
      <c r="B3933">
        <f>HYPERLINK("Объекты недвижимости, не соответствующие градостроительным нормам_00-022_Август/72c88bf0-50aa-4b88-900a-683c75f55c7e.jpg","open")</f>
        <v/>
      </c>
      <c r="C3933" t="inlineStr">
        <is>
          <t>1231bbc5-e64c-4dc7-9acc-77710f47607a</t>
        </is>
      </c>
      <c r="D3933" t="n">
        <v>55.67802</v>
      </c>
      <c r="E3933" t="n">
        <v>37.59895</v>
      </c>
      <c r="F3933" t="inlineStr"/>
      <c r="G3933" t="inlineStr"/>
      <c r="H3933" t="inlineStr"/>
    </row>
    <row r="3934">
      <c r="A3934" t="inlineStr">
        <is>
          <t>e422c484-723f-4e63-aa78-8a1c818fbab3.jpg</t>
        </is>
      </c>
      <c r="B3934">
        <f>HYPERLINK("Объекты недвижимости, не соответствующие градостроительным нормам_00-022_Август/e422c484-723f-4e63-aa78-8a1c818fbab3.jpg","open")</f>
        <v/>
      </c>
      <c r="C3934" t="inlineStr">
        <is>
          <t>8beacb4f-617e-4b34-8030-60c4dff5f8d1</t>
        </is>
      </c>
      <c r="D3934" t="n">
        <v>55.74657</v>
      </c>
      <c r="E3934" t="n">
        <v>37.68604</v>
      </c>
      <c r="F3934" t="inlineStr"/>
      <c r="G3934" t="inlineStr"/>
      <c r="H3934" t="inlineStr"/>
    </row>
    <row r="3935">
      <c r="A3935" t="inlineStr">
        <is>
          <t>c8e318b3-f66b-4555-8afe-ba3c29e6fb4f.jpg</t>
        </is>
      </c>
      <c r="B3935">
        <f>HYPERLINK("Объекты недвижимости, не соответствующие градостроительным нормам_00-022_Август/c8e318b3-f66b-4555-8afe-ba3c29e6fb4f.jpg","open")</f>
        <v/>
      </c>
      <c r="C3935" t="inlineStr">
        <is>
          <t>036c664f-5408-4fd0-b479-342c00468eeb</t>
        </is>
      </c>
      <c r="D3935" t="n">
        <v>55.72077</v>
      </c>
      <c r="E3935" t="n">
        <v>37.4091</v>
      </c>
      <c r="F3935" t="inlineStr"/>
      <c r="G3935" t="inlineStr"/>
      <c r="H3935" t="inlineStr"/>
    </row>
    <row r="3936">
      <c r="A3936" t="inlineStr">
        <is>
          <t>b5da69f0-9a87-4700-8e96-c399dc35c519.jpg</t>
        </is>
      </c>
      <c r="B3936">
        <f>HYPERLINK("Объекты недвижимости, не соответствующие градостроительным нормам_00-022_Август/b5da69f0-9a87-4700-8e96-c399dc35c519.jpg","open")</f>
        <v/>
      </c>
      <c r="C3936" t="inlineStr">
        <is>
          <t>71239877-3cfe-4ed6-87a7-5c84ab51c75a</t>
        </is>
      </c>
      <c r="D3936" t="n">
        <v>55.74657</v>
      </c>
      <c r="E3936" t="n">
        <v>37.68604</v>
      </c>
      <c r="F3936" t="inlineStr"/>
      <c r="G3936" t="inlineStr"/>
      <c r="H3936" t="inlineStr"/>
    </row>
    <row r="3937">
      <c r="A3937" t="inlineStr">
        <is>
          <t>9f2224fc-4988-438a-88dd-070adc356c19.jpg</t>
        </is>
      </c>
      <c r="B3937">
        <f>HYPERLINK("Объекты недвижимости, не соответствующие градостроительным нормам_00-022_Август/9f2224fc-4988-438a-88dd-070adc356c19.jpg","open")</f>
        <v/>
      </c>
      <c r="C3937" t="inlineStr">
        <is>
          <t>2acfb2da-e3f6-464c-bd17-4b713522c142</t>
        </is>
      </c>
      <c r="D3937" t="n">
        <v>55.85811</v>
      </c>
      <c r="E3937" t="n">
        <v>37.63745</v>
      </c>
      <c r="F3937" t="inlineStr"/>
      <c r="G3937" t="inlineStr"/>
      <c r="H3937" t="inlineStr"/>
    </row>
    <row r="3938">
      <c r="A3938" t="inlineStr">
        <is>
          <t>7865abe6-19c5-44ce-ac33-81f53dbedc9d.jpg</t>
        </is>
      </c>
      <c r="B3938">
        <f>HYPERLINK("Объекты недвижимости, не соответствующие градостроительным нормам_00-022_Август/7865abe6-19c5-44ce-ac33-81f53dbedc9d.jpg","open")</f>
        <v/>
      </c>
      <c r="C3938" t="inlineStr">
        <is>
          <t>1231bbc5-e64c-4dc7-9acc-77710f47607a</t>
        </is>
      </c>
      <c r="D3938" t="n">
        <v>55.67802</v>
      </c>
      <c r="E3938" t="n">
        <v>37.59895</v>
      </c>
      <c r="F3938" t="inlineStr"/>
      <c r="G3938" t="inlineStr"/>
      <c r="H3938" t="inlineStr"/>
    </row>
    <row r="3939">
      <c r="A3939" t="inlineStr">
        <is>
          <t>623b3bfe-4c94-478e-8d0d-d1faa155337a.jpg</t>
        </is>
      </c>
      <c r="B3939">
        <f>HYPERLINK("Объекты недвижимости, не соответствующие градостроительным нормам_00-022_Август/623b3bfe-4c94-478e-8d0d-d1faa155337a.jpg","open")</f>
        <v/>
      </c>
      <c r="C3939" t="inlineStr">
        <is>
          <t>ed2bf0f1-3a66-4913-896e-4420a9796c0b</t>
        </is>
      </c>
      <c r="D3939" t="n">
        <v>55.777</v>
      </c>
      <c r="E3939" t="n">
        <v>37.46642</v>
      </c>
      <c r="F3939" t="inlineStr"/>
      <c r="G3939" t="inlineStr"/>
      <c r="H3939" t="inlineStr"/>
    </row>
    <row r="3940">
      <c r="A3940" t="inlineStr">
        <is>
          <t>4f7ae80e-33a1-4497-aaff-baa0135fe92f.jpg</t>
        </is>
      </c>
      <c r="B3940">
        <f>HYPERLINK("Объекты недвижимости, не соответствующие градостроительным нормам_00-022_Август/4f7ae80e-33a1-4497-aaff-baa0135fe92f.jpg","open")</f>
        <v/>
      </c>
      <c r="C3940" t="inlineStr">
        <is>
          <t>ab4e767f-65c0-455b-af20-a5527124fd21</t>
        </is>
      </c>
      <c r="D3940" t="n">
        <v>55.74185</v>
      </c>
      <c r="E3940" t="n">
        <v>37.4176</v>
      </c>
      <c r="F3940" t="inlineStr"/>
      <c r="G3940" t="inlineStr"/>
      <c r="H3940" t="inlineStr"/>
    </row>
    <row r="3941">
      <c r="A3941" t="inlineStr">
        <is>
          <t>21f70159-f15c-4ade-a0a7-40f84b5a3855.jpg</t>
        </is>
      </c>
      <c r="B3941">
        <f>HYPERLINK("Объекты недвижимости, не соответствующие градостроительным нормам_00-022_Август/21f70159-f15c-4ade-a0a7-40f84b5a3855.jpg","open")</f>
        <v/>
      </c>
      <c r="C3941" t="inlineStr">
        <is>
          <t>ab4e767f-65c0-455b-af20-a5527124fd21</t>
        </is>
      </c>
      <c r="D3941" t="n">
        <v>55.74185</v>
      </c>
      <c r="E3941" t="n">
        <v>37.4176</v>
      </c>
      <c r="F3941" t="inlineStr"/>
      <c r="G3941" t="inlineStr"/>
      <c r="H3941" t="inlineStr"/>
    </row>
    <row r="3942">
      <c r="A3942" t="inlineStr">
        <is>
          <t>07901fc1-5e93-4d67-ba1a-d710ade4225f.jpg</t>
        </is>
      </c>
      <c r="B3942">
        <f>HYPERLINK("Объекты недвижимости, не соответствующие градостроительным нормам_00-022_Август/07901fc1-5e93-4d67-ba1a-d710ade4225f.jpg","open")</f>
        <v/>
      </c>
      <c r="C3942" t="inlineStr">
        <is>
          <t>5e5b9944-4f9e-4223-bf96-0bc0c8a93dfa</t>
        </is>
      </c>
      <c r="D3942" t="n">
        <v>55.97639</v>
      </c>
      <c r="E3942" t="n">
        <v>37.43112</v>
      </c>
      <c r="F3942" t="inlineStr"/>
      <c r="G3942" t="inlineStr"/>
      <c r="H3942" t="inlineStr"/>
    </row>
    <row r="3943">
      <c r="A3943" t="inlineStr">
        <is>
          <t>15e2314b-7a67-4e43-8034-0756503b06fe.jpg</t>
        </is>
      </c>
      <c r="B3943">
        <f>HYPERLINK("Объекты недвижимости, не соответствующие градостроительным нормам_00-022_Август/15e2314b-7a67-4e43-8034-0756503b06fe.jpg","open")</f>
        <v/>
      </c>
      <c r="C3943" t="inlineStr">
        <is>
          <t>036c664f-5408-4fd0-b479-342c00468eeb</t>
        </is>
      </c>
      <c r="D3943" t="n">
        <v>55.7231</v>
      </c>
      <c r="E3943" t="n">
        <v>37.40622</v>
      </c>
      <c r="F3943" t="inlineStr"/>
      <c r="G3943" t="inlineStr"/>
      <c r="H3943" t="inlineStr"/>
    </row>
    <row r="3944">
      <c r="A3944" t="inlineStr">
        <is>
          <t>8d8e8376-744e-41ba-9e54-df0ebb5b542f.jpg</t>
        </is>
      </c>
      <c r="B3944">
        <f>HYPERLINK("Объекты недвижимости, не соответствующие градостроительным нормам_00-022_Август/8d8e8376-744e-41ba-9e54-df0ebb5b542f.jpg","open")</f>
        <v/>
      </c>
      <c r="C3944" t="inlineStr">
        <is>
          <t>036c664f-5408-4fd0-b479-342c00468eeb</t>
        </is>
      </c>
      <c r="D3944" t="n">
        <v>55.72226</v>
      </c>
      <c r="E3944" t="n">
        <v>37.40676</v>
      </c>
      <c r="F3944" t="inlineStr"/>
      <c r="G3944" t="inlineStr"/>
      <c r="H3944" t="inlineStr"/>
    </row>
    <row r="3945">
      <c r="A3945" t="inlineStr">
        <is>
          <t>b204acd8-4fc1-4288-bcf3-119c90666df8.jpg</t>
        </is>
      </c>
      <c r="B3945">
        <f>HYPERLINK("Объекты недвижимости, не соответствующие градостроительным нормам_00-022_Август/b204acd8-4fc1-4288-bcf3-119c90666df8.jpg","open")</f>
        <v/>
      </c>
      <c r="C3945" t="inlineStr">
        <is>
          <t>789f6c51-64ee-4078-b7bd-443af8b8b68a</t>
        </is>
      </c>
      <c r="D3945" t="n">
        <v>55.85778</v>
      </c>
      <c r="E3945" t="n">
        <v>37.6347</v>
      </c>
      <c r="F3945" t="inlineStr"/>
      <c r="G3945" t="inlineStr"/>
      <c r="H3945" t="inlineStr"/>
    </row>
    <row r="3946">
      <c r="A3946" t="inlineStr">
        <is>
          <t>9d0bebb5-8e28-482f-b5ca-3dce9debc3db.jpg</t>
        </is>
      </c>
      <c r="B3946">
        <f>HYPERLINK("Объекты недвижимости, не соответствующие градостроительным нормам_00-022_Август/9d0bebb5-8e28-482f-b5ca-3dce9debc3db.jpg","open")</f>
        <v/>
      </c>
      <c r="C3946" t="inlineStr">
        <is>
          <t>ffd931da-542f-43e9-979f-5552b17fe3dc</t>
        </is>
      </c>
      <c r="D3946" t="n">
        <v>55.81974</v>
      </c>
      <c r="E3946" t="n">
        <v>37.83124</v>
      </c>
      <c r="F3946" t="inlineStr"/>
      <c r="G3946" t="inlineStr"/>
      <c r="H3946" t="inlineStr"/>
    </row>
    <row r="3947">
      <c r="A3947" t="inlineStr">
        <is>
          <t>0361bb38-2e9d-45a6-8ec9-f83652c8c679.jpg</t>
        </is>
      </c>
      <c r="B3947">
        <f>HYPERLINK("Объекты недвижимости, не соответствующие градостроительным нормам_00-022_Август/0361bb38-2e9d-45a6-8ec9-f83652c8c679.jpg","open")</f>
        <v/>
      </c>
      <c r="C3947" t="inlineStr">
        <is>
          <t>b6b3590f-f506-4399-8205-e7ac710132e7</t>
        </is>
      </c>
      <c r="D3947" t="n">
        <v>55.81003</v>
      </c>
      <c r="E3947" t="n">
        <v>37.53578</v>
      </c>
      <c r="F3947" t="inlineStr"/>
      <c r="G3947" t="inlineStr"/>
      <c r="H3947" t="inlineStr"/>
    </row>
    <row r="3948">
      <c r="A3948" t="inlineStr">
        <is>
          <t>671e498b-3458-47dc-afeb-6d6c47c22aec.jpg</t>
        </is>
      </c>
      <c r="B3948">
        <f>HYPERLINK("Объекты недвижимости, не соответствующие градостроительным нормам_00-022_Август/671e498b-3458-47dc-afeb-6d6c47c22aec.jpg","open")</f>
        <v/>
      </c>
      <c r="C3948" t="inlineStr">
        <is>
          <t>b6b3590f-f506-4399-8205-e7ac710132e7</t>
        </is>
      </c>
      <c r="D3948" t="n">
        <v>55.80998</v>
      </c>
      <c r="E3948" t="n">
        <v>37.5357</v>
      </c>
      <c r="F3948" t="inlineStr"/>
      <c r="G3948" t="inlineStr"/>
      <c r="H3948" t="inlineStr"/>
    </row>
    <row r="3949">
      <c r="A3949" t="inlineStr">
        <is>
          <t>d7f3fca0-5f79-4489-8dd1-8e323192fee2.jpg</t>
        </is>
      </c>
      <c r="B3949">
        <f>HYPERLINK("Объекты недвижимости, не соответствующие градостроительным нормам_00-022_Август/d7f3fca0-5f79-4489-8dd1-8e323192fee2.jpg","open")</f>
        <v/>
      </c>
      <c r="C3949" t="inlineStr">
        <is>
          <t>b0b7ea82-53be-40d0-b992-e2fd18611d5c</t>
        </is>
      </c>
      <c r="D3949" t="n">
        <v>55.65689</v>
      </c>
      <c r="E3949" t="n">
        <v>37.80622</v>
      </c>
      <c r="F3949" t="inlineStr"/>
      <c r="G3949" t="inlineStr"/>
      <c r="H3949" t="inlineStr"/>
    </row>
    <row r="3950">
      <c r="A3950" t="inlineStr">
        <is>
          <t>4b58f94e-0a88-40a7-933a-3d9392f27b76.jpg</t>
        </is>
      </c>
      <c r="B3950">
        <f>HYPERLINK("Объекты недвижимости, не соответствующие градостроительным нормам_00-022_Август/4b58f94e-0a88-40a7-933a-3d9392f27b76.jpg","open")</f>
        <v/>
      </c>
      <c r="C3950" t="inlineStr">
        <is>
          <t>29ad9edb-d533-4272-a986-be24eb004851</t>
        </is>
      </c>
      <c r="D3950" t="n">
        <v>55.7514</v>
      </c>
      <c r="E3950" t="n">
        <v>37.65886</v>
      </c>
      <c r="F3950" t="inlineStr"/>
      <c r="G3950" t="inlineStr"/>
      <c r="H3950" t="inlineStr"/>
    </row>
    <row r="3951">
      <c r="A3951" t="inlineStr">
        <is>
          <t>90d5c487-d1c7-4fe9-9b88-8fb66f8d7427.jpg</t>
        </is>
      </c>
      <c r="B3951">
        <f>HYPERLINK("Объекты недвижимости, не соответствующие градостроительным нормам_00-022_Август/90d5c487-d1c7-4fe9-9b88-8fb66f8d7427.jpg","open")</f>
        <v/>
      </c>
      <c r="C3951" t="inlineStr">
        <is>
          <t>1231bbc5-e64c-4dc7-9acc-77710f47607a</t>
        </is>
      </c>
      <c r="D3951" t="n">
        <v>55.67802</v>
      </c>
      <c r="E3951" t="n">
        <v>37.59895</v>
      </c>
      <c r="F3951" t="inlineStr"/>
      <c r="G3951" t="inlineStr"/>
      <c r="H3951" t="inlineStr"/>
    </row>
    <row r="3952">
      <c r="A3952" t="inlineStr">
        <is>
          <t>c3ef1998-b983-4b58-a09f-4f223484e402.jpg</t>
        </is>
      </c>
      <c r="B3952">
        <f>HYPERLINK("Объекты недвижимости, не соответствующие градостроительным нормам_00-022_Август/c3ef1998-b983-4b58-a09f-4f223484e402.jpg","open")</f>
        <v/>
      </c>
      <c r="C3952" t="inlineStr">
        <is>
          <t>685d9054-b74f-49ab-857b-109fd2cec80d</t>
        </is>
      </c>
      <c r="D3952" t="n">
        <v>55.67802</v>
      </c>
      <c r="E3952" t="n">
        <v>37.59895</v>
      </c>
      <c r="F3952" t="inlineStr"/>
      <c r="G3952" t="inlineStr"/>
      <c r="H3952" t="inlineStr"/>
    </row>
    <row r="3953">
      <c r="A3953" t="inlineStr">
        <is>
          <t>ddcf6c8d-ff68-4991-a396-8776af11b67a.jpg</t>
        </is>
      </c>
      <c r="B3953">
        <f>HYPERLINK("Объекты недвижимости, не соответствующие градостроительным нормам_00-022_Август/ddcf6c8d-ff68-4991-a396-8776af11b67a.jpg","open")</f>
        <v/>
      </c>
      <c r="C3953" t="inlineStr">
        <is>
          <t>12e795ad-2aa7-49de-b2da-2c6aa35a4559</t>
        </is>
      </c>
      <c r="D3953" t="n">
        <v>55.6486</v>
      </c>
      <c r="E3953" t="n">
        <v>37.58212</v>
      </c>
      <c r="F3953" t="inlineStr"/>
      <c r="G3953" t="inlineStr"/>
      <c r="H3953" t="inlineStr"/>
    </row>
    <row r="3954">
      <c r="A3954" t="inlineStr">
        <is>
          <t>201e4e80-1ba7-4320-9ba6-9e64b9fada56.jpg</t>
        </is>
      </c>
      <c r="B3954">
        <f>HYPERLINK("Объекты недвижимости, не соответствующие градостроительным нормам_00-022_Август/201e4e80-1ba7-4320-9ba6-9e64b9fada56.jpg","open")</f>
        <v/>
      </c>
      <c r="C3954" t="inlineStr">
        <is>
          <t>685d9054-b74f-49ab-857b-109fd2cec80d</t>
        </is>
      </c>
      <c r="D3954" t="n">
        <v>55.67802</v>
      </c>
      <c r="E3954" t="n">
        <v>37.59895</v>
      </c>
      <c r="F3954" t="inlineStr"/>
      <c r="G3954" t="inlineStr"/>
      <c r="H3954" t="inlineStr"/>
    </row>
    <row r="3955">
      <c r="A3955" t="inlineStr">
        <is>
          <t>3d896ab2-81ce-4c62-85eb-91ecab18a8f9.jpg</t>
        </is>
      </c>
      <c r="B3955">
        <f>HYPERLINK("Объекты недвижимости, не соответствующие градостроительным нормам_00-022_Август/3d896ab2-81ce-4c62-85eb-91ecab18a8f9.jpg","open")</f>
        <v/>
      </c>
      <c r="C3955" t="inlineStr">
        <is>
          <t>18a5c468-d9e6-4814-8477-1caf4a2e1fe9</t>
        </is>
      </c>
      <c r="D3955" t="n">
        <v>55.98158</v>
      </c>
      <c r="E3955" t="n">
        <v>37.40747</v>
      </c>
      <c r="F3955" t="inlineStr"/>
      <c r="G3955" t="inlineStr"/>
      <c r="H3955" t="inlineStr"/>
    </row>
    <row r="3956">
      <c r="A3956" t="inlineStr">
        <is>
          <t>a310e0c2-9573-4e77-a8f9-7f14fc7f82f3.jpg</t>
        </is>
      </c>
      <c r="B3956">
        <f>HYPERLINK("Объекты недвижимости, не соответствующие градостроительным нормам_00-022_Август/a310e0c2-9573-4e77-a8f9-7f14fc7f82f3.jpg","open")</f>
        <v/>
      </c>
      <c r="C3956" t="inlineStr">
        <is>
          <t>036c664f-5408-4fd0-b479-342c00468eeb</t>
        </is>
      </c>
      <c r="D3956" t="n">
        <v>55.71883</v>
      </c>
      <c r="E3956" t="n">
        <v>37.403</v>
      </c>
      <c r="F3956" t="inlineStr"/>
      <c r="G3956" t="inlineStr"/>
      <c r="H3956" t="inlineStr"/>
    </row>
    <row r="3957">
      <c r="A3957" t="inlineStr">
        <is>
          <t>f7658eac-7bec-4ae9-959e-668f0df404eb.jpg</t>
        </is>
      </c>
      <c r="B3957">
        <f>HYPERLINK("Объекты недвижимости, не соответствующие градостроительным нормам_00-022_Август/f7658eac-7bec-4ae9-959e-668f0df404eb.jpg","open")</f>
        <v/>
      </c>
      <c r="C3957" t="inlineStr">
        <is>
          <t>ad64e6b9-1ed5-44d7-a101-4945a1f9dec6</t>
        </is>
      </c>
      <c r="D3957" t="n">
        <v>55.6473</v>
      </c>
      <c r="E3957" t="n">
        <v>37.5835</v>
      </c>
      <c r="F3957" t="inlineStr"/>
      <c r="G3957" t="inlineStr"/>
      <c r="H3957" t="inlineStr"/>
    </row>
    <row r="3958">
      <c r="A3958" t="inlineStr">
        <is>
          <t>0ad3d3e9-7506-46d3-89af-fd98107944d2.jpg</t>
        </is>
      </c>
      <c r="B3958">
        <f>HYPERLINK("Объекты недвижимости, не соответствующие градостроительным нормам_00-022_Август/0ad3d3e9-7506-46d3-89af-fd98107944d2.jpg","open")</f>
        <v/>
      </c>
      <c r="C3958" t="inlineStr">
        <is>
          <t>1231bbc5-e64c-4dc7-9acc-77710f47607a</t>
        </is>
      </c>
      <c r="D3958" t="n">
        <v>55.67802</v>
      </c>
      <c r="E3958" t="n">
        <v>37.59895</v>
      </c>
      <c r="F3958" t="inlineStr"/>
      <c r="G3958" t="inlineStr"/>
      <c r="H3958" t="inlineStr"/>
    </row>
    <row r="3959">
      <c r="A3959" t="inlineStr">
        <is>
          <t>66cc1ce1-78a1-4276-a0e4-9d2ba8c4b02d.jpg</t>
        </is>
      </c>
      <c r="B3959">
        <f>HYPERLINK("Объекты недвижимости, не соответствующие градостроительным нормам_00-022_Август/66cc1ce1-78a1-4276-a0e4-9d2ba8c4b02d.jpg","open")</f>
        <v/>
      </c>
      <c r="C3959" t="inlineStr">
        <is>
          <t>a1a9db89-3f74-42ef-8fad-ad69705102cd</t>
        </is>
      </c>
      <c r="D3959" t="n">
        <v>55.78072</v>
      </c>
      <c r="E3959" t="n">
        <v>37.6327</v>
      </c>
      <c r="F3959" t="inlineStr"/>
      <c r="G3959" t="inlineStr"/>
      <c r="H3959" t="inlineStr"/>
    </row>
    <row r="3960">
      <c r="A3960" t="inlineStr">
        <is>
          <t>06053d31-e4d3-4e2e-bb3e-da09173f810f.jpg</t>
        </is>
      </c>
      <c r="B3960">
        <f>HYPERLINK("Объекты недвижимости, не соответствующие градостроительным нормам_00-022_Август/06053d31-e4d3-4e2e-bb3e-da09173f810f.jpg","open")</f>
        <v/>
      </c>
      <c r="C3960" t="inlineStr">
        <is>
          <t>789f6c51-64ee-4078-b7bd-443af8b8b68a</t>
        </is>
      </c>
      <c r="D3960" t="n">
        <v>55.85968</v>
      </c>
      <c r="E3960" t="n">
        <v>37.63803</v>
      </c>
      <c r="F3960" t="inlineStr"/>
      <c r="G3960" t="inlineStr"/>
      <c r="H3960" t="inlineStr"/>
    </row>
    <row r="3961">
      <c r="A3961" t="inlineStr">
        <is>
          <t>c4656f10-4795-486e-a17d-de5ec9b6afd2.jpg</t>
        </is>
      </c>
      <c r="B3961">
        <f>HYPERLINK("Объекты недвижимости, не соответствующие градостроительным нормам_00-022_Август/c4656f10-4795-486e-a17d-de5ec9b6afd2.jpg","open")</f>
        <v/>
      </c>
      <c r="C3961" t="inlineStr">
        <is>
          <t>ad64e6b9-1ed5-44d7-a101-4945a1f9dec6</t>
        </is>
      </c>
      <c r="D3961" t="n">
        <v>55.65151</v>
      </c>
      <c r="E3961" t="n">
        <v>37.58386</v>
      </c>
      <c r="F3961" t="inlineStr"/>
      <c r="G3961" t="inlineStr"/>
      <c r="H3961" t="inlineStr"/>
    </row>
    <row r="3962">
      <c r="A3962" t="inlineStr">
        <is>
          <t>474d7473-e757-476f-8e79-510bd728f8e4.jpg</t>
        </is>
      </c>
      <c r="B3962">
        <f>HYPERLINK("Объекты недвижимости, не соответствующие градостроительным нормам_00-022_Август/474d7473-e757-476f-8e79-510bd728f8e4.jpg","open")</f>
        <v/>
      </c>
      <c r="C3962" t="inlineStr">
        <is>
          <t>99f3abba-c55b-49f0-9de5-9f88e9597cc0</t>
        </is>
      </c>
      <c r="D3962" t="n">
        <v>55.62878</v>
      </c>
      <c r="E3962" t="n">
        <v>37.59624</v>
      </c>
      <c r="F3962" t="inlineStr"/>
      <c r="G3962" t="inlineStr"/>
      <c r="H3962" t="inlineStr"/>
    </row>
    <row r="3963">
      <c r="A3963" t="inlineStr">
        <is>
          <t>4a1d8d9a-9420-4e97-b821-4399be0934bd.jpg</t>
        </is>
      </c>
      <c r="B3963">
        <f>HYPERLINK("Объекты недвижимости, не соответствующие градостроительным нормам_00-022_Август/4a1d8d9a-9420-4e97-b821-4399be0934bd.jpg","open")</f>
        <v/>
      </c>
      <c r="C3963" t="inlineStr">
        <is>
          <t>b0429a31-0c70-4b9f-8ea5-73929d82f89e</t>
        </is>
      </c>
      <c r="D3963" t="n">
        <v>55.62858</v>
      </c>
      <c r="E3963" t="n">
        <v>37.59599</v>
      </c>
      <c r="F3963" t="inlineStr"/>
      <c r="G3963" t="inlineStr"/>
      <c r="H3963" t="inlineStr"/>
    </row>
    <row r="3964">
      <c r="A3964" t="inlineStr">
        <is>
          <t>a9297f92-fb2a-41d8-a743-36603ec2744f.jpg</t>
        </is>
      </c>
      <c r="B3964">
        <f>HYPERLINK("Объекты недвижимости, не соответствующие градостроительным нормам_00-022_Август/a9297f92-fb2a-41d8-a743-36603ec2744f.jpg","open")</f>
        <v/>
      </c>
      <c r="C3964" t="inlineStr">
        <is>
          <t>99ad831f-cb97-41d7-860c-2a48cf549c05</t>
        </is>
      </c>
      <c r="D3964" t="n">
        <v>55.80228</v>
      </c>
      <c r="E3964" t="n">
        <v>37.54535</v>
      </c>
      <c r="F3964" t="inlineStr"/>
      <c r="G3964" t="inlineStr"/>
      <c r="H3964" t="inlineStr"/>
    </row>
    <row r="3965">
      <c r="A3965" t="inlineStr">
        <is>
          <t>d28a4219-b4a1-48c9-bc29-fc7da1891b17.jpg</t>
        </is>
      </c>
      <c r="B3965">
        <f>HYPERLINK("Объекты недвижимости, не соответствующие градостроительным нормам_00-022_Август/d28a4219-b4a1-48c9-bc29-fc7da1891b17.jpg","open")</f>
        <v/>
      </c>
      <c r="C3965" t="inlineStr">
        <is>
          <t>b0429a31-0c70-4b9f-8ea5-73929d82f89e</t>
        </is>
      </c>
      <c r="D3965" t="n">
        <v>55.62714</v>
      </c>
      <c r="E3965" t="n">
        <v>37.59583</v>
      </c>
      <c r="F3965" t="inlineStr"/>
      <c r="G3965" t="inlineStr"/>
      <c r="H3965" t="inlineStr"/>
    </row>
    <row r="3966">
      <c r="A3966" t="inlineStr">
        <is>
          <t>b12c87f6-bf40-4d8a-b62e-9374256611fb.jpg</t>
        </is>
      </c>
      <c r="B3966">
        <f>HYPERLINK("Объекты недвижимости, не соответствующие градостроительным нормам_00-022_Август/b12c87f6-bf40-4d8a-b62e-9374256611fb.jpg","open")</f>
        <v/>
      </c>
      <c r="C3966" t="inlineStr">
        <is>
          <t>ed2bf0f1-3a66-4913-896e-4420a9796c0b</t>
        </is>
      </c>
      <c r="D3966" t="n">
        <v>55.78894</v>
      </c>
      <c r="E3966" t="n">
        <v>37.47253</v>
      </c>
      <c r="F3966" t="inlineStr"/>
      <c r="G3966" t="inlineStr"/>
      <c r="H3966" t="inlineStr"/>
    </row>
    <row r="3967">
      <c r="A3967" t="inlineStr">
        <is>
          <t>ac26b9aa-f8a2-4ae9-bde2-a034d677cfe3.jpg</t>
        </is>
      </c>
      <c r="B3967">
        <f>HYPERLINK("Объекты недвижимости, не соответствующие градостроительным нормам_00-022_Август/ac26b9aa-f8a2-4ae9-bde2-a034d677cfe3.jpg","open")</f>
        <v/>
      </c>
      <c r="C3967" t="inlineStr">
        <is>
          <t>b0429a31-0c70-4b9f-8ea5-73929d82f89e</t>
        </is>
      </c>
      <c r="D3967" t="n">
        <v>55.62747</v>
      </c>
      <c r="E3967" t="n">
        <v>37.59599</v>
      </c>
      <c r="F3967" t="inlineStr"/>
      <c r="G3967" t="inlineStr"/>
      <c r="H3967" t="inlineStr"/>
    </row>
    <row r="3968">
      <c r="A3968" t="inlineStr">
        <is>
          <t>0593392b-a1ea-4f3c-afe8-8040f08ffa60.jpg</t>
        </is>
      </c>
      <c r="B3968">
        <f>HYPERLINK("Объекты недвижимости, не соответствующие градостроительным нормам_00-022_Август/0593392b-a1ea-4f3c-afe8-8040f08ffa60.jpg","open")</f>
        <v/>
      </c>
      <c r="C3968" t="inlineStr">
        <is>
          <t>cbf95b01-f708-45a3-9ec0-3603469b538e</t>
        </is>
      </c>
      <c r="D3968" t="n">
        <v>55.76416</v>
      </c>
      <c r="E3968" t="n">
        <v>37.59668</v>
      </c>
      <c r="F3968" t="inlineStr"/>
      <c r="G3968" t="inlineStr"/>
      <c r="H3968" t="inlineStr"/>
    </row>
    <row r="3969">
      <c r="A3969" t="inlineStr">
        <is>
          <t>e34c79ae-79fc-4905-8eec-a94b976854a9.jpg</t>
        </is>
      </c>
      <c r="B3969">
        <f>HYPERLINK("Объекты недвижимости, не соответствующие градостроительным нормам_00-022_Август/e34c79ae-79fc-4905-8eec-a94b976854a9.jpg","open")</f>
        <v/>
      </c>
      <c r="C3969" t="inlineStr">
        <is>
          <t>cbf95b01-f708-45a3-9ec0-3603469b538e</t>
        </is>
      </c>
      <c r="D3969" t="n">
        <v>55.76416</v>
      </c>
      <c r="E3969" t="n">
        <v>37.59668</v>
      </c>
      <c r="F3969" t="inlineStr"/>
      <c r="G3969" t="inlineStr"/>
      <c r="H3969" t="inlineStr"/>
    </row>
    <row r="3970">
      <c r="A3970" t="inlineStr">
        <is>
          <t>a17d3efa-4ded-478f-a6cd-3f9f7eb6208c.jpg</t>
        </is>
      </c>
      <c r="B3970">
        <f>HYPERLINK("Объекты недвижимости, не соответствующие градостроительным нормам_00-022_Август/a17d3efa-4ded-478f-a6cd-3f9f7eb6208c.jpg","open")</f>
        <v/>
      </c>
      <c r="C3970" t="inlineStr">
        <is>
          <t>cbf95b01-f708-45a3-9ec0-3603469b538e</t>
        </is>
      </c>
      <c r="D3970" t="n">
        <v>55.76416</v>
      </c>
      <c r="E3970" t="n">
        <v>37.59668</v>
      </c>
      <c r="F3970" t="inlineStr"/>
      <c r="G3970" t="inlineStr"/>
      <c r="H3970" t="inlineStr"/>
    </row>
    <row r="3971">
      <c r="A3971" t="inlineStr">
        <is>
          <t>4ba0215f-b7f1-49ac-ab8a-4ba2d671ed5d.jpg</t>
        </is>
      </c>
      <c r="B3971">
        <f>HYPERLINK("Объекты недвижимости, не соответствующие градостроительным нормам_00-022_Август/4ba0215f-b7f1-49ac-ab8a-4ba2d671ed5d.jpg","open")</f>
        <v/>
      </c>
      <c r="C3971" t="inlineStr">
        <is>
          <t>1a55986c-2c3f-40c0-b3d1-014dce77832e</t>
        </is>
      </c>
      <c r="D3971" t="n">
        <v>55.78556</v>
      </c>
      <c r="E3971" t="n">
        <v>37.48103</v>
      </c>
      <c r="F3971" t="inlineStr"/>
      <c r="G3971" t="inlineStr"/>
      <c r="H3971" t="inlineStr"/>
    </row>
    <row r="3972">
      <c r="A3972" t="inlineStr">
        <is>
          <t>e3f3c8bc-d498-4b48-801b-3ed01ba9a186.jpg</t>
        </is>
      </c>
      <c r="B3972">
        <f>HYPERLINK("Объекты недвижимости, не соответствующие градостроительным нормам_00-022_Август/e3f3c8bc-d498-4b48-801b-3ed01ba9a186.jpg","open")</f>
        <v/>
      </c>
      <c r="C3972" t="inlineStr">
        <is>
          <t>29ad9edb-d533-4272-a986-be24eb004851</t>
        </is>
      </c>
      <c r="D3972" t="n">
        <v>55.7514</v>
      </c>
      <c r="E3972" t="n">
        <v>37.65886</v>
      </c>
      <c r="F3972" t="inlineStr"/>
      <c r="G3972" t="inlineStr"/>
      <c r="H3972" t="inlineStr"/>
    </row>
    <row r="3973">
      <c r="A3973" t="inlineStr">
        <is>
          <t>782cbd00-27df-4fe0-989c-c1fcec82e2c3.jpg</t>
        </is>
      </c>
      <c r="B3973">
        <f>HYPERLINK("Объекты недвижимости, не соответствующие градостроительным нормам_00-022_Август/782cbd00-27df-4fe0-989c-c1fcec82e2c3.jpg","open")</f>
        <v/>
      </c>
      <c r="C3973" t="inlineStr">
        <is>
          <t>cbf95b01-f708-45a3-9ec0-3603469b538e</t>
        </is>
      </c>
      <c r="D3973" t="n">
        <v>55.76416</v>
      </c>
      <c r="E3973" t="n">
        <v>37.59668</v>
      </c>
      <c r="F3973" t="inlineStr"/>
      <c r="G3973" t="inlineStr"/>
      <c r="H3973" t="inlineStr"/>
    </row>
    <row r="3974">
      <c r="A3974" t="inlineStr">
        <is>
          <t>4d76bf96-0233-40e3-b7dd-845d73e767ee.jpg</t>
        </is>
      </c>
      <c r="B3974">
        <f>HYPERLINK("Объекты недвижимости, не соответствующие градостроительным нормам_00-022_Август/4d76bf96-0233-40e3-b7dd-845d73e767ee.jpg","open")</f>
        <v/>
      </c>
      <c r="C3974" t="inlineStr">
        <is>
          <t>cbf95b01-f708-45a3-9ec0-3603469b538e</t>
        </is>
      </c>
      <c r="D3974" t="n">
        <v>55.76416</v>
      </c>
      <c r="E3974" t="n">
        <v>37.59668</v>
      </c>
      <c r="F3974" t="inlineStr"/>
      <c r="G3974" t="inlineStr"/>
      <c r="H3974" t="inlineStr"/>
    </row>
    <row r="3975">
      <c r="A3975" t="inlineStr">
        <is>
          <t>160f0f5a-cf16-4082-ac40-37166d27d135.jpg</t>
        </is>
      </c>
      <c r="B3975">
        <f>HYPERLINK("Объекты недвижимости, не соответствующие градостроительным нормам_00-022_Август/160f0f5a-cf16-4082-ac40-37166d27d135.jpg","open")</f>
        <v/>
      </c>
      <c r="C3975" t="inlineStr">
        <is>
          <t>1a55986c-2c3f-40c0-b3d1-014dce77832e</t>
        </is>
      </c>
      <c r="D3975" t="n">
        <v>55.78375</v>
      </c>
      <c r="E3975" t="n">
        <v>37.47754</v>
      </c>
      <c r="F3975" t="inlineStr"/>
      <c r="G3975" t="inlineStr"/>
      <c r="H3975" t="inlineStr"/>
    </row>
    <row r="3976">
      <c r="A3976" t="inlineStr">
        <is>
          <t>9dfae478-b741-4cb3-981c-f81db5ccb64a.jpg</t>
        </is>
      </c>
      <c r="B3976">
        <f>HYPERLINK("Объекты недвижимости, не соответствующие градостроительным нормам_00-022_Август/9dfae478-b741-4cb3-981c-f81db5ccb64a.jpg","open")</f>
        <v/>
      </c>
      <c r="C3976" t="inlineStr">
        <is>
          <t>a1a9db89-3f74-42ef-8fad-ad69705102cd</t>
        </is>
      </c>
      <c r="D3976" t="n">
        <v>55.8077</v>
      </c>
      <c r="E3976" t="n">
        <v>37.73789</v>
      </c>
      <c r="F3976" t="inlineStr"/>
      <c r="G3976" t="inlineStr"/>
      <c r="H3976" t="inlineStr"/>
    </row>
    <row r="3977">
      <c r="A3977" t="inlineStr">
        <is>
          <t>85f8cd8b-9fd1-4573-8e76-72b6496c32e0.jpg</t>
        </is>
      </c>
      <c r="B3977">
        <f>HYPERLINK("Объекты недвижимости, не соответствующие градостроительным нормам_00-022_Август/85f8cd8b-9fd1-4573-8e76-72b6496c32e0.jpg","open")</f>
        <v/>
      </c>
      <c r="C3977" t="inlineStr">
        <is>
          <t>a1a9db89-3f74-42ef-8fad-ad69705102cd</t>
        </is>
      </c>
      <c r="D3977" t="n">
        <v>55.8077</v>
      </c>
      <c r="E3977" t="n">
        <v>37.73789</v>
      </c>
      <c r="F3977" t="inlineStr"/>
      <c r="G3977" t="inlineStr"/>
      <c r="H3977" t="inlineStr"/>
    </row>
    <row r="3978">
      <c r="A3978" t="inlineStr">
        <is>
          <t>3c05e10c-9673-4bfe-ad42-86133f2658ab.jpg</t>
        </is>
      </c>
      <c r="B3978">
        <f>HYPERLINK("Объекты недвижимости, не соответствующие градостроительным нормам_00-022_Август/3c05e10c-9673-4bfe-ad42-86133f2658ab.jpg","open")</f>
        <v/>
      </c>
      <c r="C3978" t="inlineStr">
        <is>
          <t>1a55986c-2c3f-40c0-b3d1-014dce77832e</t>
        </is>
      </c>
      <c r="D3978" t="n">
        <v>55.78298</v>
      </c>
      <c r="E3978" t="n">
        <v>37.47977</v>
      </c>
      <c r="F3978" t="inlineStr"/>
      <c r="G3978" t="inlineStr"/>
      <c r="H3978" t="inlineStr"/>
    </row>
    <row r="3979">
      <c r="A3979" t="inlineStr">
        <is>
          <t>184fb7fc-ae61-4e4e-8169-a46775cdd4ac.jpg</t>
        </is>
      </c>
      <c r="B3979">
        <f>HYPERLINK("Объекты недвижимости, не соответствующие градостроительным нормам_00-022_Август/184fb7fc-ae61-4e4e-8169-a46775cdd4ac.jpg","open")</f>
        <v/>
      </c>
      <c r="C3979" t="inlineStr">
        <is>
          <t>a1a9db89-3f74-42ef-8fad-ad69705102cd</t>
        </is>
      </c>
      <c r="D3979" t="n">
        <v>55.81137</v>
      </c>
      <c r="E3979" t="n">
        <v>37.74498</v>
      </c>
      <c r="F3979" t="inlineStr"/>
      <c r="G3979" t="inlineStr"/>
      <c r="H3979" t="inlineStr"/>
    </row>
    <row r="3980">
      <c r="A3980" t="inlineStr">
        <is>
          <t>d6c4330c-dbea-4d2d-9fad-f3b9d2ce5e28.jpg</t>
        </is>
      </c>
      <c r="B3980">
        <f>HYPERLINK("Объекты недвижимости, не соответствующие градостроительным нормам_00-022_Август/d6c4330c-dbea-4d2d-9fad-f3b9d2ce5e28.jpg","open")</f>
        <v/>
      </c>
      <c r="C3980" t="inlineStr">
        <is>
          <t>cbf95b01-f708-45a3-9ec0-3603469b538e</t>
        </is>
      </c>
      <c r="D3980" t="n">
        <v>55.81609</v>
      </c>
      <c r="E3980" t="n">
        <v>37.75438</v>
      </c>
      <c r="F3980" t="inlineStr"/>
      <c r="G3980" t="inlineStr"/>
      <c r="H3980" t="inlineStr"/>
    </row>
    <row r="3981">
      <c r="A3981" t="inlineStr">
        <is>
          <t>8f568b52-d5c8-4b08-a3c2-13a9d7cd6a0b.jpg</t>
        </is>
      </c>
      <c r="B3981">
        <f>HYPERLINK("Объекты недвижимости, не соответствующие градостроительным нормам_00-022_Август/8f568b52-d5c8-4b08-a3c2-13a9d7cd6a0b.jpg","open")</f>
        <v/>
      </c>
      <c r="C3981" t="inlineStr">
        <is>
          <t>93848fc8-17e7-4748-9ebc-c7e379e11d2f</t>
        </is>
      </c>
      <c r="D3981" t="n">
        <v>55.67873</v>
      </c>
      <c r="E3981" t="n">
        <v>37.85963</v>
      </c>
      <c r="F3981" t="inlineStr"/>
      <c r="G3981" t="inlineStr"/>
      <c r="H3981" t="inlineStr"/>
    </row>
    <row r="3982">
      <c r="A3982" t="inlineStr">
        <is>
          <t>a6d2d54c-74b7-43e0-9852-bba7dffde5b9.jpg</t>
        </is>
      </c>
      <c r="B3982">
        <f>HYPERLINK("Объекты недвижимости, не соответствующие градостроительным нормам_00-022_Август/a6d2d54c-74b7-43e0-9852-bba7dffde5b9.jpg","open")</f>
        <v/>
      </c>
      <c r="C3982" t="inlineStr">
        <is>
          <t>a28f597e-d1cd-4d3b-b572-c86d033412e9</t>
        </is>
      </c>
      <c r="D3982" t="n">
        <v>55.72525</v>
      </c>
      <c r="E3982" t="n">
        <v>37.4041</v>
      </c>
      <c r="F3982" t="inlineStr"/>
      <c r="G3982" t="inlineStr"/>
      <c r="H3982" t="inlineStr"/>
    </row>
    <row r="3983">
      <c r="A3983" t="inlineStr">
        <is>
          <t>1f8e4c29-fd6e-405e-8972-0248801c5109.jpg</t>
        </is>
      </c>
      <c r="B3983">
        <f>HYPERLINK("Объекты недвижимости, не соответствующие градостроительным нормам_00-022_Август/1f8e4c29-fd6e-405e-8972-0248801c5109.jpg","open")</f>
        <v/>
      </c>
      <c r="C3983" t="inlineStr">
        <is>
          <t>036c664f-5408-4fd0-b479-342c00468eeb</t>
        </is>
      </c>
      <c r="D3983" t="n">
        <v>55.72525</v>
      </c>
      <c r="E3983" t="n">
        <v>37.4038</v>
      </c>
      <c r="F3983" t="inlineStr"/>
      <c r="G3983" t="inlineStr"/>
      <c r="H3983" t="inlineStr"/>
    </row>
    <row r="3984">
      <c r="A3984" t="inlineStr">
        <is>
          <t>195d90c7-926b-4c29-810c-8cad8ed56dd9.jpg</t>
        </is>
      </c>
      <c r="B3984">
        <f>HYPERLINK("Объекты недвижимости, не соответствующие градостроительным нормам_00-022_Август/195d90c7-926b-4c29-810c-8cad8ed56dd9.jpg","open")</f>
        <v/>
      </c>
      <c r="C3984" t="inlineStr">
        <is>
          <t>036c664f-5408-4fd0-b479-342c00468eeb</t>
        </is>
      </c>
      <c r="D3984" t="n">
        <v>55.72487</v>
      </c>
      <c r="E3984" t="n">
        <v>37.40229</v>
      </c>
      <c r="F3984" t="inlineStr"/>
      <c r="G3984" t="inlineStr"/>
      <c r="H3984" t="inlineStr"/>
    </row>
    <row r="3985">
      <c r="A3985" t="inlineStr">
        <is>
          <t>39a70808-41f7-4493-88e3-02cef212aa0d.jpg</t>
        </is>
      </c>
      <c r="B3985">
        <f>HYPERLINK("Объекты недвижимости, не соответствующие градостроительным нормам_00-022_Август/39a70808-41f7-4493-88e3-02cef212aa0d.jpg","open")</f>
        <v/>
      </c>
      <c r="C3985" t="inlineStr">
        <is>
          <t>036c664f-5408-4fd0-b479-342c00468eeb</t>
        </is>
      </c>
      <c r="D3985" t="n">
        <v>55.7247</v>
      </c>
      <c r="E3985" t="n">
        <v>37.40233</v>
      </c>
      <c r="F3985" t="inlineStr"/>
      <c r="G3985" t="inlineStr"/>
      <c r="H3985" t="inlineStr"/>
    </row>
    <row r="3986">
      <c r="A3986" t="inlineStr">
        <is>
          <t>fde053ad-9b55-4ef0-9033-f2f30f9ffa52.jpg</t>
        </is>
      </c>
      <c r="B3986">
        <f>HYPERLINK("Объекты недвижимости, не соответствующие градостроительным нормам_00-022_Август/fde053ad-9b55-4ef0-9033-f2f30f9ffa52.jpg","open")</f>
        <v/>
      </c>
      <c r="C3986" t="inlineStr">
        <is>
          <t>cbf95b01-f708-45a3-9ec0-3603469b538e</t>
        </is>
      </c>
      <c r="D3986" t="n">
        <v>55.84863</v>
      </c>
      <c r="E3986" t="n">
        <v>37.80923</v>
      </c>
      <c r="F3986" t="inlineStr"/>
      <c r="G3986" t="inlineStr"/>
      <c r="H3986" t="inlineStr"/>
    </row>
    <row r="3987">
      <c r="A3987" t="inlineStr">
        <is>
          <t>c5d6746b-c046-41c1-907a-4824acd600c3.jpg</t>
        </is>
      </c>
      <c r="B3987">
        <f>HYPERLINK("Объекты недвижимости, не соответствующие градостроительным нормам_00-022_Август/c5d6746b-c046-41c1-907a-4824acd600c3.jpg","open")</f>
        <v/>
      </c>
      <c r="C3987" t="inlineStr">
        <is>
          <t>ab4e767f-65c0-455b-af20-a5527124fd21</t>
        </is>
      </c>
      <c r="D3987" t="n">
        <v>55.73996</v>
      </c>
      <c r="E3987" t="n">
        <v>37.41478</v>
      </c>
      <c r="F3987" t="inlineStr"/>
      <c r="G3987" t="inlineStr"/>
      <c r="H3987" t="inlineStr"/>
    </row>
    <row r="3988">
      <c r="A3988" t="inlineStr">
        <is>
          <t>72d1f2e1-46f4-46e4-ba84-84bb581caa41.jpg</t>
        </is>
      </c>
      <c r="B3988">
        <f>HYPERLINK("Объекты недвижимости, не соответствующие градостроительным нормам_00-022_Август/72d1f2e1-46f4-46e4-ba84-84bb581caa41.jpg","open")</f>
        <v/>
      </c>
      <c r="C3988" t="inlineStr">
        <is>
          <t>cbf95b01-f708-45a3-9ec0-3603469b538e</t>
        </is>
      </c>
      <c r="D3988" t="n">
        <v>55.9061</v>
      </c>
      <c r="E3988" t="n">
        <v>37.89815</v>
      </c>
      <c r="F3988" t="inlineStr"/>
      <c r="G3988" t="inlineStr"/>
      <c r="H3988" t="inlineStr"/>
    </row>
    <row r="3989">
      <c r="A3989" t="inlineStr">
        <is>
          <t>ddd8fbe9-6282-4602-9612-8d684c6302f8.jpg</t>
        </is>
      </c>
      <c r="B3989">
        <f>HYPERLINK("Объекты недвижимости, не соответствующие градостроительным нормам_00-022_Август/ddd8fbe9-6282-4602-9612-8d684c6302f8.jpg","open")</f>
        <v/>
      </c>
      <c r="C3989" t="inlineStr">
        <is>
          <t>1a55986c-2c3f-40c0-b3d1-014dce77832e</t>
        </is>
      </c>
      <c r="D3989" t="n">
        <v>55.78403</v>
      </c>
      <c r="E3989" t="n">
        <v>37.47151</v>
      </c>
      <c r="F3989" t="inlineStr"/>
      <c r="G3989" t="inlineStr"/>
      <c r="H3989" t="inlineStr"/>
    </row>
    <row r="3990">
      <c r="A3990" t="inlineStr">
        <is>
          <t>e8c47a87-1234-468f-af68-97a0ba6b806a.jpg</t>
        </is>
      </c>
      <c r="B3990">
        <f>HYPERLINK("Объекты недвижимости, не соответствующие градостроительным нормам_00-022_Август/e8c47a87-1234-468f-af68-97a0ba6b806a.jpg","open")</f>
        <v/>
      </c>
      <c r="C3990" t="inlineStr">
        <is>
          <t>b0b7ea82-53be-40d0-b992-e2fd18611d5c</t>
        </is>
      </c>
      <c r="D3990" t="n">
        <v>55.65689</v>
      </c>
      <c r="E3990" t="n">
        <v>37.80622</v>
      </c>
      <c r="F3990" t="inlineStr"/>
      <c r="G3990" t="inlineStr"/>
      <c r="H3990" t="inlineStr"/>
    </row>
    <row r="3991">
      <c r="A3991" t="inlineStr">
        <is>
          <t>046c653e-b7c4-4d13-869a-fda82b7c0cb0.jpg</t>
        </is>
      </c>
      <c r="B3991">
        <f>HYPERLINK("Объекты недвижимости, не соответствующие градостроительным нормам_00-022_Август/046c653e-b7c4-4d13-869a-fda82b7c0cb0.jpg","open")</f>
        <v/>
      </c>
      <c r="C3991" t="inlineStr">
        <is>
          <t>ab4e767f-65c0-455b-af20-a5527124fd21</t>
        </is>
      </c>
      <c r="D3991" t="n">
        <v>55.74103</v>
      </c>
      <c r="E3991" t="n">
        <v>37.42789</v>
      </c>
      <c r="F3991" t="inlineStr"/>
      <c r="G3991" t="inlineStr"/>
      <c r="H3991" t="inlineStr"/>
    </row>
    <row r="3992">
      <c r="A3992" t="inlineStr">
        <is>
          <t>9507f983-f5f1-4bc9-8fb6-e9386f810ce6.jpg</t>
        </is>
      </c>
      <c r="B3992">
        <f>HYPERLINK("Объекты недвижимости, не соответствующие градостроительным нормам_00-022_Август/9507f983-f5f1-4bc9-8fb6-e9386f810ce6.jpg","open")</f>
        <v/>
      </c>
      <c r="C3992" t="inlineStr">
        <is>
          <t>5e5b9944-4f9e-4223-bf96-0bc0c8a93dfa</t>
        </is>
      </c>
      <c r="D3992" t="n">
        <v>55.97639</v>
      </c>
      <c r="E3992" t="n">
        <v>37.43112</v>
      </c>
      <c r="F3992" t="inlineStr"/>
      <c r="G3992" t="inlineStr"/>
      <c r="H3992" t="inlineStr"/>
    </row>
    <row r="3993">
      <c r="A3993" t="inlineStr">
        <is>
          <t>687205b4-9f09-4766-877a-a38170556b55.jpg</t>
        </is>
      </c>
      <c r="B3993">
        <f>HYPERLINK("Объекты недвижимости, не соответствующие градостроительным нормам_00-022_Август/687205b4-9f09-4766-877a-a38170556b55.jpg","open")</f>
        <v/>
      </c>
      <c r="C3993" t="inlineStr">
        <is>
          <t>a28f597e-d1cd-4d3b-b572-c86d033412e9</t>
        </is>
      </c>
      <c r="D3993" t="n">
        <v>55.72045</v>
      </c>
      <c r="E3993" t="n">
        <v>37.40012</v>
      </c>
      <c r="F3993" t="inlineStr"/>
      <c r="G3993" t="inlineStr"/>
      <c r="H3993" t="inlineStr"/>
    </row>
    <row r="3994">
      <c r="A3994" t="inlineStr">
        <is>
          <t>09a47427-7ba1-4bb6-8536-761ec6e5a92d.jpg</t>
        </is>
      </c>
      <c r="B3994">
        <f>HYPERLINK("Объекты недвижимости, не соответствующие градостроительным нормам_00-022_Август/09a47427-7ba1-4bb6-8536-761ec6e5a92d.jpg","open")</f>
        <v/>
      </c>
      <c r="C3994" t="inlineStr">
        <is>
          <t>71239877-3cfe-4ed6-87a7-5c84ab51c75a</t>
        </is>
      </c>
      <c r="D3994" t="n">
        <v>55.75631</v>
      </c>
      <c r="E3994" t="n">
        <v>37.55354</v>
      </c>
      <c r="F3994" t="inlineStr"/>
      <c r="G3994" t="inlineStr"/>
      <c r="H3994" t="inlineStr"/>
    </row>
    <row r="3995">
      <c r="A3995" t="inlineStr">
        <is>
          <t>7af96a95-5c0f-4eec-b97c-e54baa8c0b93.jpg</t>
        </is>
      </c>
      <c r="B3995">
        <f>HYPERLINK("Объекты недвижимости, не соответствующие градостроительным нормам_00-022_Август/7af96a95-5c0f-4eec-b97c-e54baa8c0b93.jpg","open")</f>
        <v/>
      </c>
      <c r="C3995" t="inlineStr">
        <is>
          <t>91248771-2c4d-44f3-b3cf-d536bd4ae73c</t>
        </is>
      </c>
      <c r="D3995" t="n">
        <v>55.78971</v>
      </c>
      <c r="E3995" t="n">
        <v>37.71008</v>
      </c>
      <c r="F3995" t="inlineStr"/>
      <c r="G3995" t="inlineStr"/>
      <c r="H3995" t="inlineStr"/>
    </row>
    <row r="3996">
      <c r="A3996" t="inlineStr">
        <is>
          <t>1a08021a-51af-4000-bcb6-81b94e27df03.jpg</t>
        </is>
      </c>
      <c r="B3996">
        <f>HYPERLINK("Объекты недвижимости, не соответствующие градостроительным нормам_00-022_Август/1a08021a-51af-4000-bcb6-81b94e27df03.jpg","open")</f>
        <v/>
      </c>
      <c r="C3996" t="inlineStr">
        <is>
          <t>1c951e11-4940-43c6-a447-394097e5609a</t>
        </is>
      </c>
      <c r="D3996" t="n">
        <v>55.75767</v>
      </c>
      <c r="E3996" t="n">
        <v>37.80343</v>
      </c>
      <c r="F3996" t="inlineStr"/>
      <c r="G3996" t="inlineStr"/>
      <c r="H3996" t="inlineStr"/>
    </row>
    <row r="3997">
      <c r="A3997" t="inlineStr">
        <is>
          <t>fee3b205-4d79-4d95-8930-d4680a7d71c1.jpg</t>
        </is>
      </c>
      <c r="B3997">
        <f>HYPERLINK("Объекты недвижимости, не соответствующие градостроительным нормам_00-022_Август/fee3b205-4d79-4d95-8930-d4680a7d71c1.jpg","open")</f>
        <v/>
      </c>
      <c r="C3997" t="inlineStr">
        <is>
          <t>cbf95b01-f708-45a3-9ec0-3603469b538e</t>
        </is>
      </c>
      <c r="D3997" t="n">
        <v>55.9061</v>
      </c>
      <c r="E3997" t="n">
        <v>37.89815</v>
      </c>
      <c r="F3997" t="inlineStr"/>
      <c r="G3997" t="inlineStr"/>
      <c r="H3997" t="inlineStr"/>
    </row>
    <row r="3998">
      <c r="A3998" t="inlineStr">
        <is>
          <t>58955bd4-1643-4c08-b99e-b7bf60d1eb7c.jpg</t>
        </is>
      </c>
      <c r="B3998">
        <f>HYPERLINK("Объекты недвижимости, не соответствующие градостроительным нормам_00-022_Август/58955bd4-1643-4c08-b99e-b7bf60d1eb7c.jpg","open")</f>
        <v/>
      </c>
      <c r="C3998" t="inlineStr">
        <is>
          <t>caa4772d-6278-4484-a046-ee25514bf521</t>
        </is>
      </c>
      <c r="D3998" t="n">
        <v>55.6459</v>
      </c>
      <c r="E3998" t="n">
        <v>37.67141</v>
      </c>
      <c r="F3998" t="inlineStr"/>
      <c r="G3998" t="inlineStr"/>
      <c r="H3998" t="inlineStr"/>
    </row>
    <row r="3999">
      <c r="A3999" t="inlineStr">
        <is>
          <t>87b87101-380a-4355-ba28-eced855c3aa5.jpg</t>
        </is>
      </c>
      <c r="B3999">
        <f>HYPERLINK("Объекты недвижимости, не соответствующие градостроительным нормам_00-022_Август/87b87101-380a-4355-ba28-eced855c3aa5.jpg","open")</f>
        <v/>
      </c>
      <c r="C3999" t="inlineStr">
        <is>
          <t>cbf95b01-f708-45a3-9ec0-3603469b538e</t>
        </is>
      </c>
      <c r="D3999" t="n">
        <v>55.77439</v>
      </c>
      <c r="E3999" t="n">
        <v>37.59339</v>
      </c>
      <c r="F3999" t="inlineStr"/>
      <c r="G3999" t="inlineStr"/>
      <c r="H3999" t="inlineStr"/>
    </row>
    <row r="4000">
      <c r="A4000" t="inlineStr">
        <is>
          <t>1c0e9b0e-a2f2-4c22-84a6-a783e629655f.jpg</t>
        </is>
      </c>
      <c r="B4000">
        <f>HYPERLINK("Объекты недвижимости, не соответствующие градостроительным нормам_00-022_Август/1c0e9b0e-a2f2-4c22-84a6-a783e629655f.jpg","open")</f>
        <v/>
      </c>
      <c r="C4000" t="inlineStr">
        <is>
          <t>91248771-2c4d-44f3-b3cf-d536bd4ae73c</t>
        </is>
      </c>
      <c r="D4000" t="n">
        <v>55.78795</v>
      </c>
      <c r="E4000" t="n">
        <v>37.71679</v>
      </c>
      <c r="F4000" t="inlineStr"/>
      <c r="G4000" t="inlineStr"/>
      <c r="H4000" t="inlineStr"/>
    </row>
    <row r="4001">
      <c r="A4001" t="inlineStr">
        <is>
          <t>edb6e511-1926-4e66-b5ba-2b689f42e8bd.jpg</t>
        </is>
      </c>
      <c r="B4001">
        <f>HYPERLINK("Объекты недвижимости, не соответствующие градостроительным нормам_00-022_Август/edb6e511-1926-4e66-b5ba-2b689f42e8bd.jpg","open")</f>
        <v/>
      </c>
      <c r="C4001" t="inlineStr">
        <is>
          <t>1231bbc5-e64c-4dc7-9acc-77710f47607a</t>
        </is>
      </c>
      <c r="D4001" t="n">
        <v>55.67521</v>
      </c>
      <c r="E4001" t="n">
        <v>37.60616</v>
      </c>
      <c r="F4001" t="inlineStr"/>
      <c r="G4001" t="inlineStr"/>
      <c r="H4001" t="inlineStr"/>
    </row>
    <row r="4002">
      <c r="A4002" t="inlineStr">
        <is>
          <t>05b616a2-f9e1-4cbe-b82a-1a96a39601b3.jpg</t>
        </is>
      </c>
      <c r="B4002">
        <f>HYPERLINK("Объекты недвижимости, не соответствующие градостроительным нормам_00-022_Август/05b616a2-f9e1-4cbe-b82a-1a96a39601b3.jpg","open")</f>
        <v/>
      </c>
      <c r="C4002" t="inlineStr">
        <is>
          <t>cbf95b01-f708-45a3-9ec0-3603469b538e</t>
        </is>
      </c>
      <c r="D4002" t="n">
        <v>55.77179</v>
      </c>
      <c r="E4002" t="n">
        <v>37.59777</v>
      </c>
      <c r="F4002" t="inlineStr"/>
      <c r="G4002" t="inlineStr"/>
      <c r="H4002" t="inlineStr"/>
    </row>
    <row r="4003">
      <c r="A4003" t="inlineStr">
        <is>
          <t>8770b6ae-ce19-40ba-b5ba-c2c3040afbb1.jpg</t>
        </is>
      </c>
      <c r="B4003">
        <f>HYPERLINK("Объекты недвижимости, не соответствующие градостроительным нормам_00-022_Август/8770b6ae-ce19-40ba-b5ba-c2c3040afbb1.jpg","open")</f>
        <v/>
      </c>
      <c r="C4003" t="inlineStr">
        <is>
          <t>1a55986c-2c3f-40c0-b3d1-014dce77832e</t>
        </is>
      </c>
      <c r="D4003" t="n">
        <v>55.77639</v>
      </c>
      <c r="E4003" t="n">
        <v>37.46598</v>
      </c>
      <c r="F4003" t="inlineStr"/>
      <c r="G4003" t="inlineStr"/>
      <c r="H4003" t="inlineStr"/>
    </row>
    <row r="4004">
      <c r="A4004" t="inlineStr">
        <is>
          <t>2d2eb3f2-a765-4fcf-8ec8-115b5949960f.jpg</t>
        </is>
      </c>
      <c r="B4004">
        <f>HYPERLINK("Объекты недвижимости, не соответствующие градостроительным нормам_00-022_Август/2d2eb3f2-a765-4fcf-8ec8-115b5949960f.jpg","open")</f>
        <v/>
      </c>
      <c r="C4004" t="inlineStr">
        <is>
          <t>685d9054-b74f-49ab-857b-109fd2cec80d</t>
        </is>
      </c>
      <c r="D4004" t="n">
        <v>55.67521</v>
      </c>
      <c r="E4004" t="n">
        <v>37.60616</v>
      </c>
      <c r="F4004" t="inlineStr"/>
      <c r="G4004" t="inlineStr"/>
      <c r="H4004" t="inlineStr"/>
    </row>
    <row r="4005">
      <c r="A4005" t="inlineStr">
        <is>
          <t>d10a8717-3611-4098-8775-e3872235300a.jpg</t>
        </is>
      </c>
      <c r="B4005">
        <f>HYPERLINK("Объекты недвижимости, не соответствующие градостроительным нормам_00-022_Август/d10a8717-3611-4098-8775-e3872235300a.jpg","open")</f>
        <v/>
      </c>
      <c r="C4005" t="inlineStr">
        <is>
          <t>036c664f-5408-4fd0-b479-342c00468eeb</t>
        </is>
      </c>
      <c r="D4005" t="n">
        <v>55.71822</v>
      </c>
      <c r="E4005" t="n">
        <v>37.39698</v>
      </c>
      <c r="F4005" t="inlineStr"/>
      <c r="G4005" t="inlineStr"/>
      <c r="H4005" t="inlineStr"/>
    </row>
    <row r="4006">
      <c r="A4006" t="inlineStr">
        <is>
          <t>91fbf1a3-7967-42d0-ba7f-7771c2e5ed9c.jpg</t>
        </is>
      </c>
      <c r="B4006">
        <f>HYPERLINK("Объекты недвижимости, не соответствующие градостроительным нормам_00-022_Август/91fbf1a3-7967-42d0-ba7f-7771c2e5ed9c.jpg","open")</f>
        <v/>
      </c>
      <c r="C4006" t="inlineStr">
        <is>
          <t>cbf95b01-f708-45a3-9ec0-3603469b538e</t>
        </is>
      </c>
      <c r="D4006" t="n">
        <v>55.77012</v>
      </c>
      <c r="E4006" t="n">
        <v>37.59783</v>
      </c>
      <c r="F4006" t="inlineStr"/>
      <c r="G4006" t="inlineStr"/>
      <c r="H4006" t="inlineStr"/>
    </row>
    <row r="4007">
      <c r="A4007" t="inlineStr">
        <is>
          <t>c1853429-7f8f-4e82-bec5-19c1d6ed1e7e.jpg</t>
        </is>
      </c>
      <c r="B4007">
        <f>HYPERLINK("Объекты недвижимости, не соответствующие градостроительным нормам_00-022_Август/c1853429-7f8f-4e82-bec5-19c1d6ed1e7e.jpg","open")</f>
        <v/>
      </c>
      <c r="C4007" t="inlineStr">
        <is>
          <t>a1a9db89-3f74-42ef-8fad-ad69705102cd</t>
        </is>
      </c>
      <c r="D4007" t="n">
        <v>55.77012</v>
      </c>
      <c r="E4007" t="n">
        <v>37.59783</v>
      </c>
      <c r="F4007" t="inlineStr"/>
      <c r="G4007" t="inlineStr"/>
      <c r="H4007" t="inlineStr"/>
    </row>
    <row r="4008">
      <c r="A4008" t="inlineStr">
        <is>
          <t>72e7aa0d-ca85-4411-817d-41c08f0b733b.jpg</t>
        </is>
      </c>
      <c r="B4008">
        <f>HYPERLINK("Объекты недвижимости, не соответствующие градостроительным нормам_00-022_Август/72e7aa0d-ca85-4411-817d-41c08f0b733b.jpg","open")</f>
        <v/>
      </c>
      <c r="C4008" t="inlineStr">
        <is>
          <t>f20fbc2b-b369-4734-bb66-92af02fbb0d1</t>
        </is>
      </c>
      <c r="D4008" t="n">
        <v>55.65689</v>
      </c>
      <c r="E4008" t="n">
        <v>37.80622</v>
      </c>
      <c r="F4008" t="inlineStr"/>
      <c r="G4008" t="inlineStr"/>
      <c r="H4008" t="inlineStr"/>
    </row>
    <row r="4009">
      <c r="A4009" t="inlineStr">
        <is>
          <t>9fbdad67-9460-4744-9e0b-7549674e7592.jpg</t>
        </is>
      </c>
      <c r="B4009">
        <f>HYPERLINK("Объекты недвижимости, не соответствующие градостроительным нормам_00-022_Август/9fbdad67-9460-4744-9e0b-7549674e7592.jpg","open")</f>
        <v/>
      </c>
      <c r="C4009" t="inlineStr">
        <is>
          <t>685d9054-b74f-49ab-857b-109fd2cec80d</t>
        </is>
      </c>
      <c r="D4009" t="n">
        <v>55.67521</v>
      </c>
      <c r="E4009" t="n">
        <v>37.60616</v>
      </c>
      <c r="F4009" t="inlineStr"/>
      <c r="G4009" t="inlineStr"/>
      <c r="H4009" t="inlineStr"/>
    </row>
    <row r="4010">
      <c r="A4010" t="inlineStr">
        <is>
          <t>d0931e32-154c-42e9-b87f-f550ede9a969.jpg</t>
        </is>
      </c>
      <c r="B4010">
        <f>HYPERLINK("Объекты недвижимости, не соответствующие градостроительным нормам_00-022_Август/d0931e32-154c-42e9-b87f-f550ede9a969.jpg","open")</f>
        <v/>
      </c>
      <c r="C4010" t="inlineStr">
        <is>
          <t>1a55986c-2c3f-40c0-b3d1-014dce77832e</t>
        </is>
      </c>
      <c r="D4010" t="n">
        <v>55.76891</v>
      </c>
      <c r="E4010" t="n">
        <v>37.47356</v>
      </c>
      <c r="F4010" t="inlineStr"/>
      <c r="G4010" t="inlineStr"/>
      <c r="H4010" t="inlineStr"/>
    </row>
    <row r="4011">
      <c r="A4011" t="inlineStr">
        <is>
          <t>ad772fe8-f3d4-4384-8efb-2c8f182d0641.jpg</t>
        </is>
      </c>
      <c r="B4011">
        <f>HYPERLINK("Объекты недвижимости, не соответствующие градостроительным нормам_00-022_Август/ad772fe8-f3d4-4384-8efb-2c8f182d0641.jpg","open")</f>
        <v/>
      </c>
      <c r="C4011" t="inlineStr">
        <is>
          <t>ed2bf0f1-3a66-4913-896e-4420a9796c0b</t>
        </is>
      </c>
      <c r="D4011" t="n">
        <v>55.76886</v>
      </c>
      <c r="E4011" t="n">
        <v>37.47356</v>
      </c>
      <c r="F4011" t="inlineStr"/>
      <c r="G4011" t="inlineStr"/>
      <c r="H4011" t="inlineStr"/>
    </row>
    <row r="4012">
      <c r="A4012" t="inlineStr">
        <is>
          <t>625d663b-fe73-45df-acd7-3653287811fd.jpg</t>
        </is>
      </c>
      <c r="B4012">
        <f>HYPERLINK("Объекты недвижимости, не соответствующие градостроительным нормам_00-022_Август/625d663b-fe73-45df-acd7-3653287811fd.jpg","open")</f>
        <v/>
      </c>
      <c r="C4012" t="inlineStr">
        <is>
          <t>31a713a9-b910-424b-b847-e0eaa2f70c70</t>
        </is>
      </c>
      <c r="D4012" t="n">
        <v>55.85377</v>
      </c>
      <c r="E4012" t="n">
        <v>37.61393</v>
      </c>
      <c r="F4012" t="inlineStr"/>
      <c r="G4012" t="inlineStr"/>
      <c r="H4012" t="inlineStr"/>
    </row>
    <row r="4013">
      <c r="A4013" t="inlineStr">
        <is>
          <t>d9fb22dc-2eeb-4651-ab2f-42baa3d4bbcf.jpg</t>
        </is>
      </c>
      <c r="B4013">
        <f>HYPERLINK("Объекты недвижимости, не соответствующие градостроительным нормам_00-022_Август/d9fb22dc-2eeb-4651-ab2f-42baa3d4bbcf.jpg","open")</f>
        <v/>
      </c>
      <c r="C4013" t="inlineStr">
        <is>
          <t>685d9054-b74f-49ab-857b-109fd2cec80d</t>
        </is>
      </c>
      <c r="D4013" t="n">
        <v>55.67521</v>
      </c>
      <c r="E4013" t="n">
        <v>37.60616</v>
      </c>
      <c r="F4013" t="inlineStr"/>
      <c r="G4013" t="inlineStr"/>
      <c r="H4013" t="inlineStr"/>
    </row>
    <row r="4014">
      <c r="A4014" t="inlineStr">
        <is>
          <t>e6c3241a-874f-44ba-b72a-86a5dd3e7edf.jpg</t>
        </is>
      </c>
      <c r="B4014">
        <f>HYPERLINK("Объекты недвижимости, не соответствующие градостроительным нормам_00-022_Август/e6c3241a-874f-44ba-b72a-86a5dd3e7edf.jpg","open")</f>
        <v/>
      </c>
      <c r="C4014" t="inlineStr">
        <is>
          <t>1231bbc5-e64c-4dc7-9acc-77710f47607a</t>
        </is>
      </c>
      <c r="D4014" t="n">
        <v>55.67521</v>
      </c>
      <c r="E4014" t="n">
        <v>37.60616</v>
      </c>
      <c r="F4014" t="inlineStr"/>
      <c r="G4014" t="inlineStr"/>
      <c r="H4014" t="inlineStr"/>
    </row>
    <row r="4015">
      <c r="A4015" t="inlineStr">
        <is>
          <t>2876e481-e01d-4e33-9dcb-3b79dfda46d7.jpg</t>
        </is>
      </c>
      <c r="B4015">
        <f>HYPERLINK("Объекты недвижимости, не соответствующие градостроительным нормам_00-022_Август/2876e481-e01d-4e33-9dcb-3b79dfda46d7.jpg","open")</f>
        <v/>
      </c>
      <c r="C4015" t="inlineStr">
        <is>
          <t>cbf95b01-f708-45a3-9ec0-3603469b538e</t>
        </is>
      </c>
      <c r="D4015" t="n">
        <v>55.75237</v>
      </c>
      <c r="E4015" t="n">
        <v>37.62259</v>
      </c>
      <c r="F4015" t="inlineStr"/>
      <c r="G4015" t="inlineStr"/>
      <c r="H4015" t="inlineStr"/>
    </row>
    <row r="4016">
      <c r="A4016" t="inlineStr">
        <is>
          <t>abdf0348-57cd-4a0c-bb39-c15e51af1f29.jpg</t>
        </is>
      </c>
      <c r="B4016">
        <f>HYPERLINK("Объекты недвижимости, не соответствующие градостроительным нормам_00-022_Август/abdf0348-57cd-4a0c-bb39-c15e51af1f29.jpg","open")</f>
        <v/>
      </c>
      <c r="C4016" t="inlineStr">
        <is>
          <t>cbf95b01-f708-45a3-9ec0-3603469b538e</t>
        </is>
      </c>
      <c r="D4016" t="n">
        <v>55.75237</v>
      </c>
      <c r="E4016" t="n">
        <v>37.62259</v>
      </c>
      <c r="F4016" t="inlineStr"/>
      <c r="G4016" t="inlineStr"/>
      <c r="H4016" t="inlineStr"/>
    </row>
    <row r="4017">
      <c r="A4017" t="inlineStr">
        <is>
          <t>a95dd810-253b-44fe-a8d5-931aacde86a0.jpg</t>
        </is>
      </c>
      <c r="B4017">
        <f>HYPERLINK("Объекты недвижимости, не соответствующие градостроительным нормам_00-022_Август/a95dd810-253b-44fe-a8d5-931aacde86a0.jpg","open")</f>
        <v/>
      </c>
      <c r="C4017" t="inlineStr">
        <is>
          <t>1231bbc5-e64c-4dc7-9acc-77710f47607a</t>
        </is>
      </c>
      <c r="D4017" t="n">
        <v>55.67521</v>
      </c>
      <c r="E4017" t="n">
        <v>37.60616</v>
      </c>
      <c r="F4017" t="inlineStr"/>
      <c r="G4017" t="inlineStr"/>
      <c r="H4017" t="inlineStr"/>
    </row>
    <row r="4018">
      <c r="A4018" t="inlineStr">
        <is>
          <t>f3ff2342-3baa-4033-b49a-5ebf51e0b665.jpg</t>
        </is>
      </c>
      <c r="B4018">
        <f>HYPERLINK("Объекты недвижимости, не соответствующие градостроительным нормам_00-022_Август/f3ff2342-3baa-4033-b49a-5ebf51e0b665.jpg","open")</f>
        <v/>
      </c>
      <c r="C4018" t="inlineStr">
        <is>
          <t>685d9054-b74f-49ab-857b-109fd2cec80d</t>
        </is>
      </c>
      <c r="D4018" t="n">
        <v>55.67521</v>
      </c>
      <c r="E4018" t="n">
        <v>37.60616</v>
      </c>
      <c r="F4018" t="inlineStr"/>
      <c r="G4018" t="inlineStr"/>
      <c r="H4018" t="inlineStr"/>
    </row>
    <row r="4019">
      <c r="A4019" t="inlineStr">
        <is>
          <t>7fa2a286-1517-4895-8bee-e40837c70f56.jpg</t>
        </is>
      </c>
      <c r="B4019">
        <f>HYPERLINK("Объекты недвижимости, не соответствующие градостроительным нормам_00-022_Август/7fa2a286-1517-4895-8bee-e40837c70f56.jpg","open")</f>
        <v/>
      </c>
      <c r="C4019" t="inlineStr">
        <is>
          <t>cbf95b01-f708-45a3-9ec0-3603469b538e</t>
        </is>
      </c>
      <c r="D4019" t="n">
        <v>55.75237</v>
      </c>
      <c r="E4019" t="n">
        <v>37.62259</v>
      </c>
      <c r="F4019" t="inlineStr"/>
      <c r="G4019" t="inlineStr"/>
      <c r="H4019" t="inlineStr"/>
    </row>
    <row r="4020">
      <c r="A4020" t="inlineStr">
        <is>
          <t>500b02e6-81a8-4262-995a-592aba0c4d7c.jpg</t>
        </is>
      </c>
      <c r="B4020">
        <f>HYPERLINK("Объекты недвижимости, не соответствующие градостроительным нормам_00-022_Август/500b02e6-81a8-4262-995a-592aba0c4d7c.jpg","open")</f>
        <v/>
      </c>
      <c r="C4020" t="inlineStr">
        <is>
          <t>cbf95b01-f708-45a3-9ec0-3603469b538e</t>
        </is>
      </c>
      <c r="D4020" t="n">
        <v>55.75237</v>
      </c>
      <c r="E4020" t="n">
        <v>37.62259</v>
      </c>
      <c r="F4020" t="inlineStr"/>
      <c r="G4020" t="inlineStr"/>
      <c r="H4020" t="inlineStr"/>
    </row>
    <row r="4021">
      <c r="A4021" t="inlineStr">
        <is>
          <t>0a634e76-cf62-4def-8186-6d53c2e80905.jpg</t>
        </is>
      </c>
      <c r="B4021">
        <f>HYPERLINK("Объекты недвижимости, не соответствующие градостроительным нормам_00-022_Август/0a634e76-cf62-4def-8186-6d53c2e80905.jpg","open")</f>
        <v/>
      </c>
      <c r="C4021" t="inlineStr">
        <is>
          <t>cbf95b01-f708-45a3-9ec0-3603469b538e</t>
        </is>
      </c>
      <c r="D4021" t="n">
        <v>55.75237</v>
      </c>
      <c r="E4021" t="n">
        <v>37.62259</v>
      </c>
      <c r="F4021" t="inlineStr"/>
      <c r="G4021" t="inlineStr"/>
      <c r="H4021" t="inlineStr"/>
    </row>
    <row r="4022">
      <c r="A4022" t="inlineStr">
        <is>
          <t>a537a9c3-0f46-4c41-9893-63a260666d74.jpg</t>
        </is>
      </c>
      <c r="B4022">
        <f>HYPERLINK("Объекты недвижимости, не соответствующие градостроительным нормам_00-022_Август/a537a9c3-0f46-4c41-9893-63a260666d74.jpg","open")</f>
        <v/>
      </c>
      <c r="C4022" t="inlineStr">
        <is>
          <t>cbf95b01-f708-45a3-9ec0-3603469b538e</t>
        </is>
      </c>
      <c r="D4022" t="n">
        <v>55.75237</v>
      </c>
      <c r="E4022" t="n">
        <v>37.62259</v>
      </c>
      <c r="F4022" t="inlineStr"/>
      <c r="G4022" t="inlineStr"/>
      <c r="H4022" t="inlineStr"/>
    </row>
    <row r="4023">
      <c r="A4023" t="inlineStr">
        <is>
          <t>b54cc942-a98e-4d86-b46e-3b632b4cd00d.jpg</t>
        </is>
      </c>
      <c r="B4023">
        <f>HYPERLINK("Объекты недвижимости, не соответствующие градостроительным нормам_00-022_Август/b54cc942-a98e-4d86-b46e-3b632b4cd00d.jpg","open")</f>
        <v/>
      </c>
      <c r="C4023" t="inlineStr">
        <is>
          <t>a1a9db89-3f74-42ef-8fad-ad69705102cd</t>
        </is>
      </c>
      <c r="D4023" t="n">
        <v>55.75237</v>
      </c>
      <c r="E4023" t="n">
        <v>37.62259</v>
      </c>
      <c r="F4023" t="inlineStr"/>
      <c r="G4023" t="inlineStr"/>
      <c r="H4023" t="inlineStr"/>
    </row>
    <row r="4024">
      <c r="A4024" t="inlineStr">
        <is>
          <t>72bfc6d0-bf78-4027-8b85-0e5675325d1f.jpg</t>
        </is>
      </c>
      <c r="B4024">
        <f>HYPERLINK("Объекты недвижимости, не соответствующие градостроительным нормам_00-022_Август/72bfc6d0-bf78-4027-8b85-0e5675325d1f.jpg","open")</f>
        <v/>
      </c>
      <c r="C4024" t="inlineStr">
        <is>
          <t>cbf95b01-f708-45a3-9ec0-3603469b538e</t>
        </is>
      </c>
      <c r="D4024" t="n">
        <v>55.75237</v>
      </c>
      <c r="E4024" t="n">
        <v>37.62259</v>
      </c>
      <c r="F4024" t="inlineStr"/>
      <c r="G4024" t="inlineStr"/>
      <c r="H4024" t="inlineStr"/>
    </row>
    <row r="4025">
      <c r="A4025" t="inlineStr">
        <is>
          <t>4ca57db5-02fa-464e-9066-14b0b680d0b7.jpg</t>
        </is>
      </c>
      <c r="B4025">
        <f>HYPERLINK("Объекты недвижимости, не соответствующие градостроительным нормам_00-022_Август/4ca57db5-02fa-464e-9066-14b0b680d0b7.jpg","open")</f>
        <v/>
      </c>
      <c r="C4025" t="inlineStr">
        <is>
          <t>685d9054-b74f-49ab-857b-109fd2cec80d</t>
        </is>
      </c>
      <c r="D4025" t="n">
        <v>55.67521</v>
      </c>
      <c r="E4025" t="n">
        <v>37.60616</v>
      </c>
      <c r="F4025" t="inlineStr"/>
      <c r="G4025" t="inlineStr"/>
      <c r="H4025" t="inlineStr"/>
    </row>
    <row r="4026">
      <c r="A4026" t="inlineStr">
        <is>
          <t>4f79c037-7637-4ae7-86d2-404d4dcc9080.jpg</t>
        </is>
      </c>
      <c r="B4026">
        <f>HYPERLINK("Объекты недвижимости, не соответствующие градостроительным нормам_00-022_Август/4f79c037-7637-4ae7-86d2-404d4dcc9080.jpg","open")</f>
        <v/>
      </c>
      <c r="C4026" t="inlineStr">
        <is>
          <t>a28f597e-d1cd-4d3b-b572-c86d033412e9</t>
        </is>
      </c>
      <c r="D4026" t="n">
        <v>55.72154</v>
      </c>
      <c r="E4026" t="n">
        <v>37.39436</v>
      </c>
      <c r="F4026" t="inlineStr"/>
      <c r="G4026" t="inlineStr"/>
      <c r="H4026" t="inlineStr"/>
    </row>
    <row r="4027">
      <c r="A4027" t="inlineStr">
        <is>
          <t>effc226d-f966-4e80-8a7f-b03bc7364162.jpg</t>
        </is>
      </c>
      <c r="B4027">
        <f>HYPERLINK("Объекты недвижимости, не соответствующие градостроительным нормам_00-022_Август/effc226d-f966-4e80-8a7f-b03bc7364162.jpg","open")</f>
        <v/>
      </c>
      <c r="C4027" t="inlineStr">
        <is>
          <t>cbf95b01-f708-45a3-9ec0-3603469b538e</t>
        </is>
      </c>
      <c r="D4027" t="n">
        <v>55.75237</v>
      </c>
      <c r="E4027" t="n">
        <v>37.62259</v>
      </c>
      <c r="F4027" t="inlineStr"/>
      <c r="G4027" t="inlineStr"/>
      <c r="H4027" t="inlineStr"/>
    </row>
    <row r="4028">
      <c r="A4028" t="inlineStr">
        <is>
          <t>2acf5388-8715-4e03-9132-e820ea3db91d.jpg</t>
        </is>
      </c>
      <c r="B4028">
        <f>HYPERLINK("Объекты недвижимости, не соответствующие градостроительным нормам_00-022_Август/2acf5388-8715-4e03-9132-e820ea3db91d.jpg","open")</f>
        <v/>
      </c>
      <c r="C4028" t="inlineStr">
        <is>
          <t>a1a9db89-3f74-42ef-8fad-ad69705102cd</t>
        </is>
      </c>
      <c r="D4028" t="n">
        <v>55.75237</v>
      </c>
      <c r="E4028" t="n">
        <v>37.62259</v>
      </c>
      <c r="F4028" t="inlineStr"/>
      <c r="G4028" t="inlineStr"/>
      <c r="H4028" t="inlineStr"/>
    </row>
    <row r="4029">
      <c r="A4029" t="inlineStr">
        <is>
          <t>f1ad00f3-f99f-4195-bbe9-182edcc3bc35.jpg</t>
        </is>
      </c>
      <c r="B4029">
        <f>HYPERLINK("Объекты недвижимости, не соответствующие градостроительным нормам_00-022_Август/f1ad00f3-f99f-4195-bbe9-182edcc3bc35.jpg","open")</f>
        <v/>
      </c>
      <c r="C4029" t="inlineStr">
        <is>
          <t>685d9054-b74f-49ab-857b-109fd2cec80d</t>
        </is>
      </c>
      <c r="D4029" t="n">
        <v>55.67926</v>
      </c>
      <c r="E4029" t="n">
        <v>37.61109</v>
      </c>
      <c r="F4029" t="inlineStr"/>
      <c r="G4029" t="inlineStr"/>
      <c r="H4029" t="inlineStr"/>
    </row>
    <row r="4030">
      <c r="A4030" t="inlineStr">
        <is>
          <t>3a8dc7ef-3b2c-43cc-b3ca-59b9cfef88ff.jpg</t>
        </is>
      </c>
      <c r="B4030">
        <f>HYPERLINK("Объекты недвижимости, не соответствующие градостроительным нормам_00-022_Август/3a8dc7ef-3b2c-43cc-b3ca-59b9cfef88ff.jpg","open")</f>
        <v/>
      </c>
      <c r="C4030" t="inlineStr">
        <is>
          <t>cbf95b01-f708-45a3-9ec0-3603469b538e</t>
        </is>
      </c>
      <c r="D4030" t="n">
        <v>55.75237</v>
      </c>
      <c r="E4030" t="n">
        <v>37.62259</v>
      </c>
      <c r="F4030" t="inlineStr"/>
      <c r="G4030" t="inlineStr"/>
      <c r="H4030" t="inlineStr"/>
    </row>
    <row r="4031">
      <c r="A4031" t="inlineStr">
        <is>
          <t>73925846-ca37-4989-9a45-f5b714094824.jpg</t>
        </is>
      </c>
      <c r="B4031">
        <f>HYPERLINK("Объекты недвижимости, не соответствующие градостроительным нормам_00-022_Август/73925846-ca37-4989-9a45-f5b714094824.jpg","open")</f>
        <v/>
      </c>
      <c r="C4031" t="inlineStr">
        <is>
          <t>a1a9db89-3f74-42ef-8fad-ad69705102cd</t>
        </is>
      </c>
      <c r="D4031" t="n">
        <v>55.78232</v>
      </c>
      <c r="E4031" t="n">
        <v>37.65982</v>
      </c>
      <c r="F4031" t="inlineStr"/>
      <c r="G4031" t="inlineStr"/>
      <c r="H4031" t="inlineStr"/>
    </row>
    <row r="4032">
      <c r="A4032" t="inlineStr">
        <is>
          <t>303e758c-c316-4871-8ba6-6e2e9ff1856a.jpg</t>
        </is>
      </c>
      <c r="B4032">
        <f>HYPERLINK("Объекты недвижимости, не соответствующие градостроительным нормам_00-022_Август/303e758c-c316-4871-8ba6-6e2e9ff1856a.jpg","open")</f>
        <v/>
      </c>
      <c r="C4032" t="inlineStr">
        <is>
          <t>8cde1fd0-eca1-4510-86ab-3c743b65fdfc</t>
        </is>
      </c>
      <c r="D4032" t="n">
        <v>56.33717</v>
      </c>
      <c r="E4032" t="n">
        <v>38.2225</v>
      </c>
      <c r="F4032" t="inlineStr"/>
      <c r="G4032" t="inlineStr"/>
      <c r="H4032" t="inlineStr"/>
    </row>
    <row r="4033">
      <c r="A4033" t="inlineStr">
        <is>
          <t>ee83c2fa-3d5f-41de-b110-17454b8a5d53.jpg</t>
        </is>
      </c>
      <c r="B4033">
        <f>HYPERLINK("Объекты недвижимости, не соответствующие градостроительным нормам_00-022_Август/ee83c2fa-3d5f-41de-b110-17454b8a5d53.jpg","open")</f>
        <v/>
      </c>
      <c r="C4033" t="inlineStr">
        <is>
          <t>cbf95b01-f708-45a3-9ec0-3603469b538e</t>
        </is>
      </c>
      <c r="D4033" t="n">
        <v>55.78232</v>
      </c>
      <c r="E4033" t="n">
        <v>37.65982</v>
      </c>
      <c r="F4033" t="inlineStr"/>
      <c r="G4033" t="inlineStr"/>
      <c r="H4033" t="inlineStr"/>
    </row>
    <row r="4034">
      <c r="A4034" t="inlineStr">
        <is>
          <t>a230f09a-8047-4cfc-aefe-b8d169a70a84.jpg</t>
        </is>
      </c>
      <c r="B4034">
        <f>HYPERLINK("Объекты недвижимости, не соответствующие градостроительным нормам_00-022_Август/a230f09a-8047-4cfc-aefe-b8d169a70a84.jpg","open")</f>
        <v/>
      </c>
      <c r="C4034" t="inlineStr">
        <is>
          <t>cbf95b01-f708-45a3-9ec0-3603469b538e</t>
        </is>
      </c>
      <c r="D4034" t="n">
        <v>55.78232</v>
      </c>
      <c r="E4034" t="n">
        <v>37.65982</v>
      </c>
      <c r="F4034" t="inlineStr"/>
      <c r="G4034" t="inlineStr"/>
      <c r="H4034" t="inlineStr"/>
    </row>
    <row r="4035">
      <c r="A4035" t="inlineStr">
        <is>
          <t>3a888bc4-7bf8-42ee-9a50-e4b4b2fd8fa5.jpg</t>
        </is>
      </c>
      <c r="B4035">
        <f>HYPERLINK("Объекты недвижимости, не соответствующие градостроительным нормам_00-022_Август/3a888bc4-7bf8-42ee-9a50-e4b4b2fd8fa5.jpg","open")</f>
        <v/>
      </c>
      <c r="C4035" t="inlineStr">
        <is>
          <t>cbf95b01-f708-45a3-9ec0-3603469b538e</t>
        </is>
      </c>
      <c r="D4035" t="n">
        <v>55.78232</v>
      </c>
      <c r="E4035" t="n">
        <v>37.65982</v>
      </c>
      <c r="F4035" t="inlineStr"/>
      <c r="G4035" t="inlineStr"/>
      <c r="H4035" t="inlineStr"/>
    </row>
    <row r="4036">
      <c r="A4036" t="inlineStr">
        <is>
          <t>0bf9583a-ef66-4981-a91e-b61a2cbe589e.jpg</t>
        </is>
      </c>
      <c r="B4036">
        <f>HYPERLINK("Объекты недвижимости, не соответствующие градостроительным нормам_00-022_Август/0bf9583a-ef66-4981-a91e-b61a2cbe589e.jpg","open")</f>
        <v/>
      </c>
      <c r="C4036" t="inlineStr">
        <is>
          <t>a1a9db89-3f74-42ef-8fad-ad69705102cd</t>
        </is>
      </c>
      <c r="D4036" t="n">
        <v>55.78232</v>
      </c>
      <c r="E4036" t="n">
        <v>37.65982</v>
      </c>
      <c r="F4036" t="inlineStr"/>
      <c r="G4036" t="inlineStr"/>
      <c r="H4036" t="inlineStr"/>
    </row>
    <row r="4037">
      <c r="A4037" t="inlineStr">
        <is>
          <t>999ed791-05fd-4d69-847e-d02d5bd72616.jpg</t>
        </is>
      </c>
      <c r="B4037">
        <f>HYPERLINK("Объекты недвижимости, не соответствующие градостроительным нормам_00-022_Август/999ed791-05fd-4d69-847e-d02d5bd72616.jpg","open")</f>
        <v/>
      </c>
      <c r="C4037" t="inlineStr">
        <is>
          <t>caa4772d-6278-4484-a046-ee25514bf521</t>
        </is>
      </c>
      <c r="D4037" t="n">
        <v>55.70675</v>
      </c>
      <c r="E4037" t="n">
        <v>37.65825</v>
      </c>
      <c r="F4037" t="inlineStr"/>
      <c r="G4037" t="inlineStr"/>
      <c r="H4037" t="inlineStr"/>
    </row>
    <row r="4038">
      <c r="A4038" t="inlineStr">
        <is>
          <t>786f52b5-da9a-4033-935f-7e6ee2f90d86.jpg</t>
        </is>
      </c>
      <c r="B4038">
        <f>HYPERLINK("Объекты недвижимости, не соответствующие градостроительным нормам_00-022_Август/786f52b5-da9a-4033-935f-7e6ee2f90d86.jpg","open")</f>
        <v/>
      </c>
      <c r="C4038" t="inlineStr">
        <is>
          <t>cbf95b01-f708-45a3-9ec0-3603469b538e</t>
        </is>
      </c>
      <c r="D4038" t="n">
        <v>55.78232</v>
      </c>
      <c r="E4038" t="n">
        <v>37.65982</v>
      </c>
      <c r="F4038" t="inlineStr"/>
      <c r="G4038" t="inlineStr"/>
      <c r="H4038" t="inlineStr"/>
    </row>
    <row r="4039">
      <c r="A4039" t="inlineStr">
        <is>
          <t>cdb1371e-b0c8-4897-b8c3-89d3a2fb8516.jpg</t>
        </is>
      </c>
      <c r="B4039">
        <f>HYPERLINK("Объекты недвижимости, не соответствующие градостроительным нормам_00-022_Август/cdb1371e-b0c8-4897-b8c3-89d3a2fb8516.jpg","open")</f>
        <v/>
      </c>
      <c r="C4039" t="inlineStr">
        <is>
          <t>ab4e767f-65c0-455b-af20-a5527124fd21</t>
        </is>
      </c>
      <c r="D4039" t="n">
        <v>55.78589</v>
      </c>
      <c r="E4039" t="n">
        <v>37.48227</v>
      </c>
      <c r="F4039" t="inlineStr"/>
      <c r="G4039" t="inlineStr"/>
      <c r="H4039" t="inlineStr"/>
    </row>
    <row r="4040">
      <c r="A4040" t="inlineStr">
        <is>
          <t>fc1ddde7-857d-4265-8fc1-ff217d49da3d.jpg</t>
        </is>
      </c>
      <c r="B4040">
        <f>HYPERLINK("Объекты недвижимости, не соответствующие градостроительным нормам_00-022_Август/fc1ddde7-857d-4265-8fc1-ff217d49da3d.jpg","open")</f>
        <v/>
      </c>
      <c r="C4040" t="inlineStr">
        <is>
          <t>cbf95b01-f708-45a3-9ec0-3603469b538e</t>
        </is>
      </c>
      <c r="D4040" t="n">
        <v>55.78232</v>
      </c>
      <c r="E4040" t="n">
        <v>37.65982</v>
      </c>
      <c r="F4040" t="inlineStr"/>
      <c r="G4040" t="inlineStr"/>
      <c r="H4040" t="inlineStr"/>
    </row>
    <row r="4041">
      <c r="A4041" t="inlineStr">
        <is>
          <t>22e4c4f3-bc18-4da8-8e49-58352566869c.jpg</t>
        </is>
      </c>
      <c r="B4041">
        <f>HYPERLINK("Объекты недвижимости, не соответствующие градостроительным нормам_00-022_Август/22e4c4f3-bc18-4da8-8e49-58352566869c.jpg","open")</f>
        <v/>
      </c>
      <c r="C4041" t="inlineStr">
        <is>
          <t>cbf95b01-f708-45a3-9ec0-3603469b538e</t>
        </is>
      </c>
      <c r="D4041" t="n">
        <v>55.78232</v>
      </c>
      <c r="E4041" t="n">
        <v>37.65982</v>
      </c>
      <c r="F4041" t="inlineStr"/>
      <c r="G4041" t="inlineStr"/>
      <c r="H4041" t="inlineStr"/>
    </row>
    <row r="4042">
      <c r="A4042" t="inlineStr">
        <is>
          <t>f1b6bbbc-9978-4303-954a-77e48e205b7e.jpg</t>
        </is>
      </c>
      <c r="B4042">
        <f>HYPERLINK("Объекты недвижимости, не соответствующие градостроительным нормам_00-022_Август/f1b6bbbc-9978-4303-954a-77e48e205b7e.jpg","open")</f>
        <v/>
      </c>
      <c r="C4042" t="inlineStr">
        <is>
          <t>cbf95b01-f708-45a3-9ec0-3603469b538e</t>
        </is>
      </c>
      <c r="D4042" t="n">
        <v>55.78232</v>
      </c>
      <c r="E4042" t="n">
        <v>37.65982</v>
      </c>
      <c r="F4042" t="inlineStr"/>
      <c r="G4042" t="inlineStr"/>
      <c r="H4042" t="inlineStr"/>
    </row>
    <row r="4043">
      <c r="A4043" t="inlineStr">
        <is>
          <t>2306e874-8864-4545-9580-94b42598e728.jpg</t>
        </is>
      </c>
      <c r="B4043">
        <f>HYPERLINK("Объекты недвижимости, не соответствующие градостроительным нормам_00-022_Август/2306e874-8864-4545-9580-94b42598e728.jpg","open")</f>
        <v/>
      </c>
      <c r="C4043" t="inlineStr">
        <is>
          <t>8cde1fd0-eca1-4510-86ab-3c743b65fdfc</t>
        </is>
      </c>
      <c r="D4043" t="n">
        <v>56.33717</v>
      </c>
      <c r="E4043" t="n">
        <v>38.2225</v>
      </c>
      <c r="F4043" t="inlineStr"/>
      <c r="G4043" t="inlineStr"/>
      <c r="H4043" t="inlineStr"/>
    </row>
    <row r="4044">
      <c r="A4044" t="inlineStr">
        <is>
          <t>9693abcc-259d-4a69-a149-8f5bc04cef48.jpg</t>
        </is>
      </c>
      <c r="B4044">
        <f>HYPERLINK("Объекты недвижимости, не соответствующие градостроительным нормам_00-022_Август/9693abcc-259d-4a69-a149-8f5bc04cef48.jpg","open")</f>
        <v/>
      </c>
      <c r="C4044" t="inlineStr">
        <is>
          <t>a1a9db89-3f74-42ef-8fad-ad69705102cd</t>
        </is>
      </c>
      <c r="D4044" t="n">
        <v>55.78232</v>
      </c>
      <c r="E4044" t="n">
        <v>37.65982</v>
      </c>
      <c r="F4044" t="inlineStr"/>
      <c r="G4044" t="inlineStr"/>
      <c r="H4044" t="inlineStr"/>
    </row>
    <row r="4045">
      <c r="A4045" t="inlineStr">
        <is>
          <t>580a3131-4e90-4a71-9210-9192c5eea1af.jpg</t>
        </is>
      </c>
      <c r="B4045">
        <f>HYPERLINK("Объекты недвижимости, не соответствующие градостроительным нормам_00-022_Август/580a3131-4e90-4a71-9210-9192c5eea1af.jpg","open")</f>
        <v/>
      </c>
      <c r="C4045" t="inlineStr">
        <is>
          <t>cbf95b01-f708-45a3-9ec0-3603469b538e</t>
        </is>
      </c>
      <c r="D4045" t="n">
        <v>55.78232</v>
      </c>
      <c r="E4045" t="n">
        <v>37.65982</v>
      </c>
      <c r="F4045" t="inlineStr"/>
      <c r="G4045" t="inlineStr"/>
      <c r="H4045" t="inlineStr"/>
    </row>
    <row r="4046">
      <c r="A4046" t="inlineStr">
        <is>
          <t>6e75470e-7841-4919-ab1a-63eda3add7c6.jpg</t>
        </is>
      </c>
      <c r="B4046">
        <f>HYPERLINK("Объекты недвижимости, не соответствующие градостроительным нормам_00-022_Август/6e75470e-7841-4919-ab1a-63eda3add7c6.jpg","open")</f>
        <v/>
      </c>
      <c r="C4046" t="inlineStr">
        <is>
          <t>caa4772d-6278-4484-a046-ee25514bf521</t>
        </is>
      </c>
      <c r="D4046" t="n">
        <v>55.70993</v>
      </c>
      <c r="E4046" t="n">
        <v>37.66499</v>
      </c>
      <c r="F4046" t="inlineStr"/>
      <c r="G4046" t="inlineStr"/>
      <c r="H4046" t="inlineStr"/>
    </row>
    <row r="4047">
      <c r="A4047" t="inlineStr">
        <is>
          <t>cb8fd16b-6e9d-4055-9800-3505219f35ad.jpg</t>
        </is>
      </c>
      <c r="B4047">
        <f>HYPERLINK("Объекты недвижимости, не соответствующие градостроительным нормам_00-022_Август/cb8fd16b-6e9d-4055-9800-3505219f35ad.jpg","open")</f>
        <v/>
      </c>
      <c r="C4047" t="inlineStr">
        <is>
          <t>036c664f-5408-4fd0-b479-342c00468eeb</t>
        </is>
      </c>
      <c r="D4047" t="n">
        <v>55.72104</v>
      </c>
      <c r="E4047" t="n">
        <v>37.39618</v>
      </c>
      <c r="F4047" t="inlineStr"/>
      <c r="G4047" t="inlineStr"/>
      <c r="H4047" t="inlineStr"/>
    </row>
    <row r="4048">
      <c r="A4048" t="inlineStr">
        <is>
          <t>8f7345c3-85b3-4129-9938-a22311bf222a.jpg</t>
        </is>
      </c>
      <c r="B4048">
        <f>HYPERLINK("Объекты недвижимости, не соответствующие градостроительным нормам_00-022_Август/8f7345c3-85b3-4129-9938-a22311bf222a.jpg","open")</f>
        <v/>
      </c>
      <c r="C4048" t="inlineStr">
        <is>
          <t>cbf95b01-f708-45a3-9ec0-3603469b538e</t>
        </is>
      </c>
      <c r="D4048" t="n">
        <v>55.78232</v>
      </c>
      <c r="E4048" t="n">
        <v>37.65982</v>
      </c>
      <c r="F4048" t="inlineStr"/>
      <c r="G4048" t="inlineStr"/>
      <c r="H4048" t="inlineStr"/>
    </row>
    <row r="4049">
      <c r="A4049" t="inlineStr">
        <is>
          <t>d43b78df-aa1c-4e2b-99a6-0a91401d2fbf.jpg</t>
        </is>
      </c>
      <c r="B4049">
        <f>HYPERLINK("Объекты недвижимости, не соответствующие градостроительным нормам_00-022_Август/d43b78df-aa1c-4e2b-99a6-0a91401d2fbf.jpg","open")</f>
        <v/>
      </c>
      <c r="C4049" t="inlineStr">
        <is>
          <t>cbf95b01-f708-45a3-9ec0-3603469b538e</t>
        </is>
      </c>
      <c r="D4049" t="n">
        <v>55.78232</v>
      </c>
      <c r="E4049" t="n">
        <v>37.65982</v>
      </c>
      <c r="F4049" t="inlineStr"/>
      <c r="G4049" t="inlineStr"/>
      <c r="H4049" t="inlineStr"/>
    </row>
    <row r="4050">
      <c r="A4050" t="inlineStr">
        <is>
          <t>75ab6df4-7df5-4bb6-b224-ed5115023c37.jpg</t>
        </is>
      </c>
      <c r="B4050">
        <f>HYPERLINK("Объекты недвижимости, не соответствующие градостроительным нормам_00-022_Август/75ab6df4-7df5-4bb6-b224-ed5115023c37.jpg","open")</f>
        <v/>
      </c>
      <c r="C4050" t="inlineStr">
        <is>
          <t>91248771-2c4d-44f3-b3cf-d536bd4ae73c</t>
        </is>
      </c>
      <c r="D4050" t="n">
        <v>55.79409</v>
      </c>
      <c r="E4050" t="n">
        <v>37.69429</v>
      </c>
      <c r="F4050" t="inlineStr"/>
      <c r="G4050" t="inlineStr"/>
      <c r="H4050" t="inlineStr"/>
    </row>
    <row r="4051">
      <c r="A4051" t="inlineStr">
        <is>
          <t>50dd2a05-667f-4330-8ba8-c2a1aabb4e81.jpg</t>
        </is>
      </c>
      <c r="B4051">
        <f>HYPERLINK("Объекты недвижимости, не соответствующие градостроительным нормам_00-022_Август/50dd2a05-667f-4330-8ba8-c2a1aabb4e81.jpg","open")</f>
        <v/>
      </c>
      <c r="C4051" t="inlineStr">
        <is>
          <t>036c664f-5408-4fd0-b479-342c00468eeb</t>
        </is>
      </c>
      <c r="D4051" t="n">
        <v>55.72104</v>
      </c>
      <c r="E4051" t="n">
        <v>37.39619</v>
      </c>
      <c r="F4051" t="inlineStr"/>
      <c r="G4051" t="inlineStr"/>
      <c r="H4051" t="inlineStr"/>
    </row>
    <row r="4052">
      <c r="A4052" t="inlineStr">
        <is>
          <t>3981cef3-449a-407b-96cd-0f1c257ff055.jpg</t>
        </is>
      </c>
      <c r="B4052">
        <f>HYPERLINK("Объекты недвижимости, не соответствующие градостроительным нормам_00-022_Август/3981cef3-449a-407b-96cd-0f1c257ff055.jpg","open")</f>
        <v/>
      </c>
      <c r="C4052" t="inlineStr">
        <is>
          <t>a28f597e-d1cd-4d3b-b572-c86d033412e9</t>
        </is>
      </c>
      <c r="D4052" t="n">
        <v>55.7216</v>
      </c>
      <c r="E4052" t="n">
        <v>37.39612</v>
      </c>
      <c r="F4052" t="inlineStr"/>
      <c r="G4052" t="inlineStr"/>
      <c r="H4052" t="inlineStr"/>
    </row>
    <row r="4053">
      <c r="A4053" t="inlineStr">
        <is>
          <t>de8f4510-837d-48ba-adef-4db7c794150a.jpg</t>
        </is>
      </c>
      <c r="B4053">
        <f>HYPERLINK("Объекты недвижимости, не соответствующие градостроительным нормам_00-022_Август/de8f4510-837d-48ba-adef-4db7c794150a.jpg","open")</f>
        <v/>
      </c>
      <c r="C4053" t="inlineStr">
        <is>
          <t>12e795ad-2aa7-49de-b2da-2c6aa35a4559</t>
        </is>
      </c>
      <c r="D4053" t="n">
        <v>55.64883</v>
      </c>
      <c r="E4053" t="n">
        <v>37.57296</v>
      </c>
      <c r="F4053" t="inlineStr"/>
      <c r="G4053" t="inlineStr"/>
      <c r="H4053" t="inlineStr"/>
    </row>
    <row r="4054">
      <c r="A4054" t="inlineStr">
        <is>
          <t>73ae8824-cff5-4874-ad98-e2ae0ad59b2a.jpg</t>
        </is>
      </c>
      <c r="B4054">
        <f>HYPERLINK("Объекты недвижимости, не соответствующие градостроительным нормам_00-022_Август/73ae8824-cff5-4874-ad98-e2ae0ad59b2a.jpg","open")</f>
        <v/>
      </c>
      <c r="C4054" t="inlineStr">
        <is>
          <t>ffd931da-542f-43e9-979f-5552b17fe3dc</t>
        </is>
      </c>
      <c r="D4054" t="n">
        <v>55.82927</v>
      </c>
      <c r="E4054" t="n">
        <v>37.81746</v>
      </c>
      <c r="F4054" t="inlineStr"/>
      <c r="G4054" t="inlineStr"/>
      <c r="H4054" t="inlineStr"/>
    </row>
    <row r="4055">
      <c r="A4055" t="inlineStr">
        <is>
          <t>b172c133-aff7-4129-9578-25482718374d.jpg</t>
        </is>
      </c>
      <c r="B4055">
        <f>HYPERLINK("Объекты недвижимости, не соответствующие градостроительным нормам_00-022_Август/b172c133-aff7-4129-9578-25482718374d.jpg","open")</f>
        <v/>
      </c>
      <c r="C4055" t="inlineStr">
        <is>
          <t>93848fc8-17e7-4748-9ebc-c7e379e11d2f</t>
        </is>
      </c>
      <c r="D4055" t="n">
        <v>55.68429</v>
      </c>
      <c r="E4055" t="n">
        <v>37.8545</v>
      </c>
      <c r="F4055" t="inlineStr"/>
      <c r="G4055" t="inlineStr"/>
      <c r="H4055" t="inlineStr"/>
    </row>
    <row r="4056">
      <c r="A4056" t="inlineStr">
        <is>
          <t>3bc21233-8c2b-43cb-a3e1-b8fa33ed994e.jpg</t>
        </is>
      </c>
      <c r="B4056">
        <f>HYPERLINK("Объекты недвижимости, не соответствующие градостроительным нормам_00-022_Август/3bc21233-8c2b-43cb-a3e1-b8fa33ed994e.jpg","open")</f>
        <v/>
      </c>
      <c r="C4056" t="inlineStr">
        <is>
          <t>d2c4eccd-3e4b-406c-a903-0f5e43d0be35</t>
        </is>
      </c>
      <c r="D4056" t="n">
        <v>55.98158</v>
      </c>
      <c r="E4056" t="n">
        <v>37.40747</v>
      </c>
      <c r="F4056" t="inlineStr"/>
      <c r="G4056" t="inlineStr"/>
      <c r="H4056" t="inlineStr"/>
    </row>
    <row r="4057">
      <c r="A4057" t="inlineStr">
        <is>
          <t>a6075383-12af-46ac-b02d-9348663b859d.jpg</t>
        </is>
      </c>
      <c r="B4057">
        <f>HYPERLINK("Объекты недвижимости, не соответствующие градостроительным нормам_00-022_Август/a6075383-12af-46ac-b02d-9348663b859d.jpg","open")</f>
        <v/>
      </c>
      <c r="C4057" t="inlineStr">
        <is>
          <t>8cde1fd0-eca1-4510-86ab-3c743b65fdfc</t>
        </is>
      </c>
      <c r="D4057" t="n">
        <v>56.54414</v>
      </c>
      <c r="E4057" t="n">
        <v>35.42348</v>
      </c>
      <c r="F4057" t="inlineStr"/>
      <c r="G4057" t="inlineStr"/>
      <c r="H4057" t="inlineStr"/>
    </row>
    <row r="4058">
      <c r="A4058" t="inlineStr">
        <is>
          <t>22a19106-d06d-41ee-8607-f47ddeb9812b.jpg</t>
        </is>
      </c>
      <c r="B4058">
        <f>HYPERLINK("Объекты недвижимости, не соответствующие градостроительным нормам_00-022_Август/22a19106-d06d-41ee-8607-f47ddeb9812b.jpg","open")</f>
        <v/>
      </c>
      <c r="C4058" t="inlineStr">
        <is>
          <t>cbf95b01-f708-45a3-9ec0-3603469b538e</t>
        </is>
      </c>
      <c r="D4058" t="n">
        <v>55.74435</v>
      </c>
      <c r="E4058" t="n">
        <v>37.6204</v>
      </c>
      <c r="F4058" t="inlineStr"/>
      <c r="G4058" t="inlineStr"/>
      <c r="H4058" t="inlineStr"/>
    </row>
    <row r="4059">
      <c r="A4059" t="inlineStr">
        <is>
          <t>cba2e4bb-3b1d-4ff1-a0e5-b632a4f9f6f3.jpg</t>
        </is>
      </c>
      <c r="B4059">
        <f>HYPERLINK("Объекты недвижимости, не соответствующие градостроительным нормам_00-022_Август/cba2e4bb-3b1d-4ff1-a0e5-b632a4f9f6f3.jpg","open")</f>
        <v/>
      </c>
      <c r="C4059" t="inlineStr">
        <is>
          <t>8cde1fd0-eca1-4510-86ab-3c743b65fdfc</t>
        </is>
      </c>
      <c r="D4059" t="n">
        <v>56.54589</v>
      </c>
      <c r="E4059" t="n">
        <v>35.41604</v>
      </c>
      <c r="F4059" t="inlineStr"/>
      <c r="G4059" t="inlineStr"/>
      <c r="H4059" t="inlineStr"/>
    </row>
    <row r="4060">
      <c r="A4060" t="inlineStr">
        <is>
          <t>3bd77974-a53d-471c-9503-5e659c91f7cc.jpg</t>
        </is>
      </c>
      <c r="B4060">
        <f>HYPERLINK("Объекты недвижимости, не соответствующие градостроительным нормам_00-022_Август/3bd77974-a53d-471c-9503-5e659c91f7cc.jpg","open")</f>
        <v/>
      </c>
      <c r="C4060" t="inlineStr">
        <is>
          <t>61936922-4d4b-458e-80ea-6d4c450aa1d5</t>
        </is>
      </c>
      <c r="D4060" t="n">
        <v>55.69696</v>
      </c>
      <c r="E4060" t="n">
        <v>37.50002</v>
      </c>
      <c r="F4060" t="inlineStr"/>
      <c r="G4060" t="inlineStr"/>
      <c r="H4060" t="inlineStr"/>
    </row>
    <row r="4061">
      <c r="A4061" t="inlineStr">
        <is>
          <t>25284b71-a752-4f5b-890b-2cd979653edd.jpg</t>
        </is>
      </c>
      <c r="B4061">
        <f>HYPERLINK("Объекты недвижимости, не соответствующие градостроительным нормам_00-022_Август/25284b71-a752-4f5b-890b-2cd979653edd.jpg","open")</f>
        <v/>
      </c>
      <c r="C4061" t="inlineStr">
        <is>
          <t>685d9054-b74f-49ab-857b-109fd2cec80d</t>
        </is>
      </c>
      <c r="D4061" t="n">
        <v>55.67965</v>
      </c>
      <c r="E4061" t="n">
        <v>37.61088</v>
      </c>
      <c r="F4061" t="inlineStr"/>
      <c r="G4061" t="inlineStr"/>
      <c r="H4061" t="inlineStr"/>
    </row>
    <row r="4062">
      <c r="A4062" t="inlineStr">
        <is>
          <t>d397080c-4d48-4e4e-8494-3747a47b9495.jpg</t>
        </is>
      </c>
      <c r="B4062">
        <f>HYPERLINK("Объекты недвижимости, не соответствующие градостроительным нормам_00-022_Август/d397080c-4d48-4e4e-8494-3747a47b9495.jpg","open")</f>
        <v/>
      </c>
      <c r="C4062" t="inlineStr">
        <is>
          <t>1231bbc5-e64c-4dc7-9acc-77710f47607a</t>
        </is>
      </c>
      <c r="D4062" t="n">
        <v>55.67965</v>
      </c>
      <c r="E4062" t="n">
        <v>37.61088</v>
      </c>
      <c r="F4062" t="inlineStr"/>
      <c r="G4062" t="inlineStr"/>
      <c r="H4062" t="inlineStr"/>
    </row>
    <row r="4063">
      <c r="A4063" t="inlineStr">
        <is>
          <t>17212981-ca58-493f-b1b3-a6d3195718a9.jpg</t>
        </is>
      </c>
      <c r="B4063">
        <f>HYPERLINK("Объекты недвижимости, не соответствующие градостроительным нормам_00-022_Август/17212981-ca58-493f-b1b3-a6d3195718a9.jpg","open")</f>
        <v/>
      </c>
      <c r="C4063" t="inlineStr">
        <is>
          <t>685d9054-b74f-49ab-857b-109fd2cec80d</t>
        </is>
      </c>
      <c r="D4063" t="n">
        <v>55.67965</v>
      </c>
      <c r="E4063" t="n">
        <v>37.61088</v>
      </c>
      <c r="F4063" t="inlineStr"/>
      <c r="G4063" t="inlineStr"/>
      <c r="H4063" t="inlineStr"/>
    </row>
    <row r="4064">
      <c r="A4064" t="inlineStr">
        <is>
          <t>aab9c861-5cbb-4c60-8412-a2ab9585affc.jpg</t>
        </is>
      </c>
      <c r="B4064">
        <f>HYPERLINK("Объекты недвижимости, не соответствующие градостроительным нормам_00-022_Август/aab9c861-5cbb-4c60-8412-a2ab9585affc.jpg","open")</f>
        <v/>
      </c>
      <c r="C4064" t="inlineStr">
        <is>
          <t>e26f5fc2-1353-4f29-85f3-87c56419161c</t>
        </is>
      </c>
      <c r="D4064" t="n">
        <v>55.78231</v>
      </c>
      <c r="E4064" t="n">
        <v>37.67038</v>
      </c>
      <c r="F4064" t="inlineStr"/>
      <c r="G4064" t="inlineStr"/>
      <c r="H4064" t="inlineStr"/>
    </row>
    <row r="4065">
      <c r="A4065" t="inlineStr">
        <is>
          <t>617b632f-de6e-4461-9e89-689a3b729fa9.jpg</t>
        </is>
      </c>
      <c r="B4065">
        <f>HYPERLINK("Объекты недвижимости, не соответствующие градостроительным нормам_00-022_Август/617b632f-de6e-4461-9e89-689a3b729fa9.jpg","open")</f>
        <v/>
      </c>
      <c r="C4065" t="inlineStr">
        <is>
          <t>a28f597e-d1cd-4d3b-b572-c86d033412e9</t>
        </is>
      </c>
      <c r="D4065" t="n">
        <v>55.71961</v>
      </c>
      <c r="E4065" t="n">
        <v>37.393</v>
      </c>
      <c r="F4065" t="inlineStr"/>
      <c r="G4065" t="inlineStr"/>
      <c r="H4065" t="inlineStr"/>
    </row>
    <row r="4066">
      <c r="A4066" t="inlineStr">
        <is>
          <t>715afe05-18eb-4988-8ec9-3414b2b22808.jpg</t>
        </is>
      </c>
      <c r="B4066">
        <f>HYPERLINK("Объекты недвижимости, не соответствующие градостроительным нормам_00-022_Август/715afe05-18eb-4988-8ec9-3414b2b22808.jpg","open")</f>
        <v/>
      </c>
      <c r="C4066" t="inlineStr">
        <is>
          <t>fce890a6-27da-4062-a046-08262a160ee6</t>
        </is>
      </c>
      <c r="D4066" t="n">
        <v>55.97537</v>
      </c>
      <c r="E4066" t="n">
        <v>37.39922</v>
      </c>
      <c r="F4066" t="inlineStr"/>
      <c r="G4066" t="inlineStr"/>
      <c r="H4066" t="inlineStr"/>
    </row>
    <row r="4067">
      <c r="A4067" t="inlineStr">
        <is>
          <t>ccc84a4f-4daf-4a17-8efb-ede25856b069.jpg</t>
        </is>
      </c>
      <c r="B4067">
        <f>HYPERLINK("Объекты недвижимости, не соответствующие градостроительным нормам_00-022_Август/ccc84a4f-4daf-4a17-8efb-ede25856b069.jpg","open")</f>
        <v/>
      </c>
      <c r="C4067" t="inlineStr">
        <is>
          <t>a28f597e-d1cd-4d3b-b572-c86d033412e9</t>
        </is>
      </c>
      <c r="D4067" t="n">
        <v>55.71983</v>
      </c>
      <c r="E4067" t="n">
        <v>37.39288</v>
      </c>
      <c r="F4067" t="inlineStr"/>
      <c r="G4067" t="inlineStr"/>
      <c r="H4067" t="inlineStr"/>
    </row>
    <row r="4068">
      <c r="A4068" t="inlineStr">
        <is>
          <t>30ced2d3-a4f6-4087-ae5f-001cf0bcbed6.jpg</t>
        </is>
      </c>
      <c r="B4068">
        <f>HYPERLINK("Объекты недвижимости, не соответствующие градостроительным нормам_00-022_Август/30ced2d3-a4f6-4087-ae5f-001cf0bcbed6.jpg","open")</f>
        <v/>
      </c>
      <c r="C4068" t="inlineStr">
        <is>
          <t>685d9054-b74f-49ab-857b-109fd2cec80d</t>
        </is>
      </c>
      <c r="D4068" t="n">
        <v>55.68127</v>
      </c>
      <c r="E4068" t="n">
        <v>37.61383</v>
      </c>
      <c r="F4068" t="inlineStr"/>
      <c r="G4068" t="inlineStr"/>
      <c r="H4068" t="inlineStr"/>
    </row>
    <row r="4069">
      <c r="A4069" t="inlineStr">
        <is>
          <t>9e85eed9-03b1-49df-897a-f646988e0391.jpg</t>
        </is>
      </c>
      <c r="B4069">
        <f>HYPERLINK("Объекты недвижимости, не соответствующие градостроительным нормам_00-022_Август/9e85eed9-03b1-49df-897a-f646988e0391.jpg","open")</f>
        <v/>
      </c>
      <c r="C4069" t="inlineStr">
        <is>
          <t>cbf95b01-f708-45a3-9ec0-3603469b538e</t>
        </is>
      </c>
      <c r="D4069" t="n">
        <v>55.69157</v>
      </c>
      <c r="E4069" t="n">
        <v>37.75986</v>
      </c>
      <c r="F4069" t="inlineStr"/>
      <c r="G4069" t="inlineStr"/>
      <c r="H4069" t="inlineStr"/>
    </row>
    <row r="4070">
      <c r="A4070" t="inlineStr">
        <is>
          <t>63e0dc04-c33b-4b1e-b4d5-e5c2753b4c66.jpg</t>
        </is>
      </c>
      <c r="B4070">
        <f>HYPERLINK("Объекты недвижимости, не соответствующие градостроительным нормам_00-022_Август/63e0dc04-c33b-4b1e-b4d5-e5c2753b4c66.jpg","open")</f>
        <v/>
      </c>
      <c r="C4070" t="inlineStr">
        <is>
          <t>9c930d0e-e445-452d-a046-325646b21ab7</t>
        </is>
      </c>
      <c r="D4070" t="n">
        <v>55.76992</v>
      </c>
      <c r="E4070" t="n">
        <v>37.62925</v>
      </c>
      <c r="F4070" t="inlineStr"/>
      <c r="G4070" t="inlineStr"/>
      <c r="H4070" t="inlineStr"/>
    </row>
    <row r="4071">
      <c r="A4071" t="inlineStr">
        <is>
          <t>aad6d552-5baa-42e7-a157-d16b876dbfd7.jpg</t>
        </is>
      </c>
      <c r="B4071">
        <f>HYPERLINK("Объекты недвижимости, не соответствующие градостроительным нормам_00-022_Август/aad6d552-5baa-42e7-a157-d16b876dbfd7.jpg","open")</f>
        <v/>
      </c>
      <c r="C4071" t="inlineStr">
        <is>
          <t>9c930d0e-e445-452d-a046-325646b21ab7</t>
        </is>
      </c>
      <c r="D4071" t="n">
        <v>55.76992</v>
      </c>
      <c r="E4071" t="n">
        <v>37.62925</v>
      </c>
      <c r="F4071" t="inlineStr"/>
      <c r="G4071" t="inlineStr"/>
      <c r="H4071" t="inlineStr"/>
    </row>
    <row r="4072">
      <c r="A4072" t="inlineStr">
        <is>
          <t>f0c41cf1-8e20-45f1-a75a-32b7cf18be8f.jpg</t>
        </is>
      </c>
      <c r="B4072">
        <f>HYPERLINK("Объекты недвижимости, не соответствующие градостроительным нормам_00-022_Август/f0c41cf1-8e20-45f1-a75a-32b7cf18be8f.jpg","open")</f>
        <v/>
      </c>
      <c r="C4072" t="inlineStr">
        <is>
          <t>cbf95b01-f708-45a3-9ec0-3603469b538e</t>
        </is>
      </c>
      <c r="D4072" t="n">
        <v>55.69157</v>
      </c>
      <c r="E4072" t="n">
        <v>37.75986</v>
      </c>
      <c r="F4072" t="inlineStr"/>
      <c r="G4072" t="inlineStr"/>
      <c r="H4072" t="inlineStr"/>
    </row>
    <row r="4073">
      <c r="A4073" t="inlineStr">
        <is>
          <t>0ae18144-d77e-411a-bdcf-7ba79eb0e715.jpg</t>
        </is>
      </c>
      <c r="B4073">
        <f>HYPERLINK("Объекты недвижимости, не соответствующие градостроительным нормам_00-022_Август/0ae18144-d77e-411a-bdcf-7ba79eb0e715.jpg","open")</f>
        <v/>
      </c>
      <c r="C4073" t="inlineStr">
        <is>
          <t>1231bbc5-e64c-4dc7-9acc-77710f47607a</t>
        </is>
      </c>
      <c r="D4073" t="n">
        <v>55.68171</v>
      </c>
      <c r="E4073" t="n">
        <v>37.61188</v>
      </c>
      <c r="F4073" t="inlineStr"/>
      <c r="G4073" t="inlineStr"/>
      <c r="H4073" t="inlineStr"/>
    </row>
    <row r="4074">
      <c r="A4074" t="inlineStr">
        <is>
          <t>353b9262-5df2-4381-a2e5-2f2c29b077a9.jpg</t>
        </is>
      </c>
      <c r="B4074">
        <f>HYPERLINK("Объекты недвижимости, не соответствующие градостроительным нормам_00-022_Август/353b9262-5df2-4381-a2e5-2f2c29b077a9.jpg","open")</f>
        <v/>
      </c>
      <c r="C4074" t="inlineStr">
        <is>
          <t>a1a9db89-3f74-42ef-8fad-ad69705102cd</t>
        </is>
      </c>
      <c r="D4074" t="n">
        <v>55.69157</v>
      </c>
      <c r="E4074" t="n">
        <v>37.75986</v>
      </c>
      <c r="F4074" t="inlineStr"/>
      <c r="G4074" t="inlineStr"/>
      <c r="H4074" t="inlineStr"/>
    </row>
    <row r="4075">
      <c r="A4075" t="inlineStr">
        <is>
          <t>89d6bc58-d8f9-4566-91d7-a085ef80c083.jpg</t>
        </is>
      </c>
      <c r="B4075">
        <f>HYPERLINK("Объекты недвижимости, не соответствующие градостроительным нормам_00-022_Август/89d6bc58-d8f9-4566-91d7-a085ef80c083.jpg","open")</f>
        <v/>
      </c>
      <c r="C4075" t="inlineStr">
        <is>
          <t>cbf95b01-f708-45a3-9ec0-3603469b538e</t>
        </is>
      </c>
      <c r="D4075" t="n">
        <v>55.69157</v>
      </c>
      <c r="E4075" t="n">
        <v>37.75986</v>
      </c>
      <c r="F4075" t="inlineStr"/>
      <c r="G4075" t="inlineStr"/>
      <c r="H4075" t="inlineStr"/>
    </row>
    <row r="4076">
      <c r="A4076" t="inlineStr">
        <is>
          <t>d866bc7e-1a44-4f07-a64f-8115f9d1308f.jpg</t>
        </is>
      </c>
      <c r="B4076">
        <f>HYPERLINK("Объекты недвижимости, не соответствующие градостроительным нормам_00-022_Август/d866bc7e-1a44-4f07-a64f-8115f9d1308f.jpg","open")</f>
        <v/>
      </c>
      <c r="C4076" t="inlineStr">
        <is>
          <t>f20fbc2b-b369-4734-bb66-92af02fbb0d1</t>
        </is>
      </c>
      <c r="D4076" t="n">
        <v>55.65689</v>
      </c>
      <c r="E4076" t="n">
        <v>37.80622</v>
      </c>
      <c r="F4076" t="inlineStr"/>
      <c r="G4076" t="inlineStr"/>
      <c r="H4076" t="inlineStr"/>
    </row>
    <row r="4077">
      <c r="A4077" t="inlineStr">
        <is>
          <t>3c1ad26c-7b10-4244-a04f-2071a0157ad5.jpg</t>
        </is>
      </c>
      <c r="B4077">
        <f>HYPERLINK("Объекты недвижимости, не соответствующие градостроительным нормам_00-022_Август/3c1ad26c-7b10-4244-a04f-2071a0157ad5.jpg","open")</f>
        <v/>
      </c>
      <c r="C4077" t="inlineStr">
        <is>
          <t>fb40ed24-21ef-458a-a239-038ab19932cc</t>
        </is>
      </c>
      <c r="D4077" t="n">
        <v>55.80296</v>
      </c>
      <c r="E4077" t="n">
        <v>37.78463</v>
      </c>
      <c r="F4077" t="inlineStr"/>
      <c r="G4077" t="inlineStr"/>
      <c r="H4077" t="inlineStr"/>
    </row>
    <row r="4078">
      <c r="A4078" t="inlineStr">
        <is>
          <t>135263c7-b841-4dd1-bb25-df8f652cd9cd.jpg</t>
        </is>
      </c>
      <c r="B4078">
        <f>HYPERLINK("Объекты недвижимости, не соответствующие градостроительным нормам_00-022_Август/135263c7-b841-4dd1-bb25-df8f652cd9cd.jpg","open")</f>
        <v/>
      </c>
      <c r="C4078" t="inlineStr">
        <is>
          <t>a1a9db89-3f74-42ef-8fad-ad69705102cd</t>
        </is>
      </c>
      <c r="D4078" t="n">
        <v>55.69157</v>
      </c>
      <c r="E4078" t="n">
        <v>37.75986</v>
      </c>
      <c r="F4078" t="inlineStr"/>
      <c r="G4078" t="inlineStr"/>
      <c r="H4078" t="inlineStr"/>
    </row>
    <row r="4079">
      <c r="A4079" t="inlineStr">
        <is>
          <t>9d985e20-29d2-4bc7-bed8-40bfd7357dbe.jpg</t>
        </is>
      </c>
      <c r="B4079">
        <f>HYPERLINK("Объекты недвижимости, не соответствующие градостроительным нормам_00-022_Август/9d985e20-29d2-4bc7-bed8-40bfd7357dbe.jpg","open")</f>
        <v/>
      </c>
      <c r="C4079" t="inlineStr">
        <is>
          <t>cbf95b01-f708-45a3-9ec0-3603469b538e</t>
        </is>
      </c>
      <c r="D4079" t="n">
        <v>55.69157</v>
      </c>
      <c r="E4079" t="n">
        <v>37.75986</v>
      </c>
      <c r="F4079" t="inlineStr"/>
      <c r="G4079" t="inlineStr"/>
      <c r="H4079" t="inlineStr"/>
    </row>
    <row r="4080">
      <c r="A4080" t="inlineStr">
        <is>
          <t>7e37eb1c-ae64-4d96-bffc-bd914f72dedd.jpg</t>
        </is>
      </c>
      <c r="B4080">
        <f>HYPERLINK("Объекты недвижимости, не соответствующие градостроительным нормам_00-022_Август/7e37eb1c-ae64-4d96-bffc-bd914f72dedd.jpg","open")</f>
        <v/>
      </c>
      <c r="C4080" t="inlineStr">
        <is>
          <t>cbf95b01-f708-45a3-9ec0-3603469b538e</t>
        </is>
      </c>
      <c r="D4080" t="n">
        <v>55.69157</v>
      </c>
      <c r="E4080" t="n">
        <v>37.75986</v>
      </c>
      <c r="F4080" t="inlineStr"/>
      <c r="G4080" t="inlineStr"/>
      <c r="H4080" t="inlineStr"/>
    </row>
    <row r="4081">
      <c r="A4081" t="inlineStr">
        <is>
          <t>47ecb012-262d-44c4-b633-6e544345182e.jpg</t>
        </is>
      </c>
      <c r="B4081">
        <f>HYPERLINK("Объекты недвижимости, не соответствующие градостроительным нормам_00-022_Август/47ecb012-262d-44c4-b633-6e544345182e.jpg","open")</f>
        <v/>
      </c>
      <c r="C4081" t="inlineStr">
        <is>
          <t>cbf95b01-f708-45a3-9ec0-3603469b538e</t>
        </is>
      </c>
      <c r="D4081" t="n">
        <v>55.69157</v>
      </c>
      <c r="E4081" t="n">
        <v>37.75986</v>
      </c>
      <c r="F4081" t="inlineStr"/>
      <c r="G4081" t="inlineStr"/>
      <c r="H4081" t="inlineStr"/>
    </row>
    <row r="4082">
      <c r="A4082" t="inlineStr">
        <is>
          <t>3fa6a79b-7bac-43e0-adc9-02575466c5ef.jpg</t>
        </is>
      </c>
      <c r="B4082">
        <f>HYPERLINK("Объекты недвижимости, не соответствующие градостроительным нормам_00-022_Август/3fa6a79b-7bac-43e0-adc9-02575466c5ef.jpg","open")</f>
        <v/>
      </c>
      <c r="C4082" t="inlineStr">
        <is>
          <t>685d9054-b74f-49ab-857b-109fd2cec80d</t>
        </is>
      </c>
      <c r="D4082" t="n">
        <v>55.6762</v>
      </c>
      <c r="E4082" t="n">
        <v>37.59778</v>
      </c>
      <c r="F4082" t="inlineStr"/>
      <c r="G4082" t="inlineStr"/>
      <c r="H4082" t="inlineStr"/>
    </row>
    <row r="4083">
      <c r="A4083" t="inlineStr">
        <is>
          <t>dcbdcbe0-a128-441b-bafa-80ac0e48a215.jpg</t>
        </is>
      </c>
      <c r="B4083">
        <f>HYPERLINK("Объекты недвижимости, не соответствующие градостроительным нормам_00-022_Август/dcbdcbe0-a128-441b-bafa-80ac0e48a215.jpg","open")</f>
        <v/>
      </c>
      <c r="C4083" t="inlineStr">
        <is>
          <t>a28f597e-d1cd-4d3b-b572-c86d033412e9</t>
        </is>
      </c>
      <c r="D4083" t="n">
        <v>55.7163</v>
      </c>
      <c r="E4083" t="n">
        <v>37.39229</v>
      </c>
      <c r="F4083" t="inlineStr"/>
      <c r="G4083" t="inlineStr"/>
      <c r="H4083" t="inlineStr"/>
    </row>
    <row r="4084">
      <c r="A4084" t="inlineStr">
        <is>
          <t>887b7e50-9669-47db-9dc2-599d2acbd9db.jpg</t>
        </is>
      </c>
      <c r="B4084">
        <f>HYPERLINK("Объекты недвижимости, не соответствующие градостроительным нормам_00-022_Август/887b7e50-9669-47db-9dc2-599d2acbd9db.jpg","open")</f>
        <v/>
      </c>
      <c r="C4084" t="inlineStr">
        <is>
          <t>cbf95b01-f708-45a3-9ec0-3603469b538e</t>
        </is>
      </c>
      <c r="D4084" t="n">
        <v>55.69157</v>
      </c>
      <c r="E4084" t="n">
        <v>37.75986</v>
      </c>
      <c r="F4084" t="inlineStr"/>
      <c r="G4084" t="inlineStr"/>
      <c r="H4084" t="inlineStr"/>
    </row>
    <row r="4085">
      <c r="A4085" t="inlineStr">
        <is>
          <t>0f2ebac4-d20e-4739-b843-d5dba9130830.jpg</t>
        </is>
      </c>
      <c r="B4085">
        <f>HYPERLINK("Объекты недвижимости, не соответствующие градостроительным нормам_00-022_Август/0f2ebac4-d20e-4739-b843-d5dba9130830.jpg","open")</f>
        <v/>
      </c>
      <c r="C4085" t="inlineStr">
        <is>
          <t>a1a9db89-3f74-42ef-8fad-ad69705102cd</t>
        </is>
      </c>
      <c r="D4085" t="n">
        <v>55.69157</v>
      </c>
      <c r="E4085" t="n">
        <v>37.75986</v>
      </c>
      <c r="F4085" t="inlineStr"/>
      <c r="G4085" t="inlineStr"/>
      <c r="H4085" t="inlineStr"/>
    </row>
    <row r="4086">
      <c r="A4086" t="inlineStr">
        <is>
          <t>02b80a6a-72fc-4b23-b2e7-6874aeed3e6a.jpg</t>
        </is>
      </c>
      <c r="B4086">
        <f>HYPERLINK("Объекты недвижимости, не соответствующие градостроительным нормам_00-022_Август/02b80a6a-72fc-4b23-b2e7-6874aeed3e6a.jpg","open")</f>
        <v/>
      </c>
      <c r="C4086" t="inlineStr">
        <is>
          <t>cbf95b01-f708-45a3-9ec0-3603469b538e</t>
        </is>
      </c>
      <c r="D4086" t="n">
        <v>55.69157</v>
      </c>
      <c r="E4086" t="n">
        <v>37.75986</v>
      </c>
      <c r="F4086" t="inlineStr"/>
      <c r="G4086" t="inlineStr"/>
      <c r="H4086" t="inlineStr"/>
    </row>
    <row r="4087">
      <c r="A4087" t="inlineStr">
        <is>
          <t>b1602e2d-8e2e-4669-85d8-be92426875ca.jpg</t>
        </is>
      </c>
      <c r="B4087">
        <f>HYPERLINK("Объекты недвижимости, не соответствующие градостроительным нормам_00-022_Август/b1602e2d-8e2e-4669-85d8-be92426875ca.jpg","open")</f>
        <v/>
      </c>
      <c r="C4087" t="inlineStr">
        <is>
          <t>cbf95b01-f708-45a3-9ec0-3603469b538e</t>
        </is>
      </c>
      <c r="D4087" t="n">
        <v>55.69157</v>
      </c>
      <c r="E4087" t="n">
        <v>37.75986</v>
      </c>
      <c r="F4087" t="inlineStr"/>
      <c r="G4087" t="inlineStr"/>
      <c r="H4087" t="inlineStr"/>
    </row>
    <row r="4088">
      <c r="A4088" t="inlineStr">
        <is>
          <t>c1583a74-dbb0-432d-a462-0234a5fbede7.jpg</t>
        </is>
      </c>
      <c r="B4088">
        <f>HYPERLINK("Объекты недвижимости, не соответствующие градостроительным нормам_00-022_Август/c1583a74-dbb0-432d-a462-0234a5fbede7.jpg","open")</f>
        <v/>
      </c>
      <c r="C4088" t="inlineStr">
        <is>
          <t>936502dd-24a4-4256-9fdf-0d8fb72af3ed</t>
        </is>
      </c>
      <c r="D4088" t="n">
        <v>55.58595</v>
      </c>
      <c r="E4088" t="n">
        <v>37.6506</v>
      </c>
      <c r="F4088" t="inlineStr"/>
      <c r="G4088" t="inlineStr"/>
      <c r="H4088" t="inlineStr"/>
    </row>
    <row r="4089">
      <c r="A4089" t="inlineStr">
        <is>
          <t>f7584a02-775f-4f03-bd9b-12432d36253a.jpg</t>
        </is>
      </c>
      <c r="B4089">
        <f>HYPERLINK("Объекты недвижимости, не соответствующие градостроительным нормам_00-022_Август/f7584a02-775f-4f03-bd9b-12432d36253a.jpg","open")</f>
        <v/>
      </c>
      <c r="C4089" t="inlineStr">
        <is>
          <t>acedacc2-0d8b-4fc1-9622-25621a89d071</t>
        </is>
      </c>
      <c r="D4089" t="n">
        <v>55.7193</v>
      </c>
      <c r="E4089" t="n">
        <v>37.82413</v>
      </c>
      <c r="F4089" t="inlineStr"/>
      <c r="G4089" t="inlineStr"/>
      <c r="H4089" t="inlineStr"/>
    </row>
    <row r="4090">
      <c r="A4090" t="inlineStr">
        <is>
          <t>ec229ec4-4b23-4dce-b778-d226a7343c87.jpg</t>
        </is>
      </c>
      <c r="B4090">
        <f>HYPERLINK("Объекты недвижимости, не соответствующие градостроительным нормам_00-022_Август/ec229ec4-4b23-4dce-b778-d226a7343c87.jpg","open")</f>
        <v/>
      </c>
      <c r="C4090" t="inlineStr">
        <is>
          <t>57aae8a4-582b-4309-8045-c8127a9f86ae</t>
        </is>
      </c>
      <c r="D4090" t="n">
        <v>55.71931</v>
      </c>
      <c r="E4090" t="n">
        <v>37.82412</v>
      </c>
      <c r="F4090" t="inlineStr"/>
      <c r="G4090" t="inlineStr"/>
      <c r="H4090" t="inlineStr"/>
    </row>
    <row r="4091">
      <c r="A4091" t="inlineStr">
        <is>
          <t>8eb26479-da9b-429f-802d-1f1be405b27e.jpg</t>
        </is>
      </c>
      <c r="B4091">
        <f>HYPERLINK("Объекты недвижимости, не соответствующие градостроительным нормам_00-022_Август/8eb26479-da9b-429f-802d-1f1be405b27e.jpg","open")</f>
        <v/>
      </c>
      <c r="C4091" t="inlineStr">
        <is>
          <t>685d9054-b74f-49ab-857b-109fd2cec80d</t>
        </is>
      </c>
      <c r="D4091" t="n">
        <v>55.67463</v>
      </c>
      <c r="E4091" t="n">
        <v>37.60041</v>
      </c>
      <c r="F4091" t="inlineStr"/>
      <c r="G4091" t="inlineStr"/>
      <c r="H4091" t="inlineStr"/>
    </row>
    <row r="4092">
      <c r="A4092" t="inlineStr">
        <is>
          <t>6f3a084d-84d5-4356-bf6b-836c5377e723.jpg</t>
        </is>
      </c>
      <c r="B4092">
        <f>HYPERLINK("Объекты недвижимости, не соответствующие градостроительным нормам_00-022_Август/6f3a084d-84d5-4356-bf6b-836c5377e723.jpg","open")</f>
        <v/>
      </c>
      <c r="C4092" t="inlineStr">
        <is>
          <t>685d9054-b74f-49ab-857b-109fd2cec80d</t>
        </is>
      </c>
      <c r="D4092" t="n">
        <v>55.6745</v>
      </c>
      <c r="E4092" t="n">
        <v>37.60058</v>
      </c>
      <c r="F4092" t="inlineStr"/>
      <c r="G4092" t="inlineStr"/>
      <c r="H4092" t="inlineStr"/>
    </row>
    <row r="4093">
      <c r="A4093" t="inlineStr">
        <is>
          <t>543ca83e-8a46-42db-8793-30eddf2eb4ab.jpg</t>
        </is>
      </c>
      <c r="B4093">
        <f>HYPERLINK("Объекты недвижимости, не соответствующие градостроительным нормам_00-022_Август/543ca83e-8a46-42db-8793-30eddf2eb4ab.jpg","open")</f>
        <v/>
      </c>
      <c r="C4093" t="inlineStr">
        <is>
          <t>8beacb4f-617e-4b34-8030-60c4dff5f8d1</t>
        </is>
      </c>
      <c r="D4093" t="n">
        <v>55.75288</v>
      </c>
      <c r="E4093" t="n">
        <v>37.58266</v>
      </c>
      <c r="F4093" t="inlineStr"/>
      <c r="G4093" t="inlineStr"/>
      <c r="H4093" t="inlineStr"/>
    </row>
    <row r="4094">
      <c r="A4094" t="inlineStr">
        <is>
          <t>f7555496-b272-4f56-856a-36548a4641c8.jpg</t>
        </is>
      </c>
      <c r="B4094">
        <f>HYPERLINK("Объекты недвижимости, не соответствующие градостроительным нормам_00-022_Август/f7555496-b272-4f56-856a-36548a4641c8.jpg","open")</f>
        <v/>
      </c>
      <c r="C4094" t="inlineStr">
        <is>
          <t>1231bbc5-e64c-4dc7-9acc-77710f47607a</t>
        </is>
      </c>
      <c r="D4094" t="n">
        <v>55.67409</v>
      </c>
      <c r="E4094" t="n">
        <v>37.60065</v>
      </c>
      <c r="F4094" t="inlineStr"/>
      <c r="G4094" t="inlineStr"/>
      <c r="H4094" t="inlineStr"/>
    </row>
    <row r="4095">
      <c r="A4095" t="inlineStr">
        <is>
          <t>9d75d720-5ae9-4d13-a35d-909f20984341.jpg</t>
        </is>
      </c>
      <c r="B4095">
        <f>HYPERLINK("Объекты недвижимости, не соответствующие градостроительным нормам_00-022_Август/9d75d720-5ae9-4d13-a35d-909f20984341.jpg","open")</f>
        <v/>
      </c>
      <c r="C4095" t="inlineStr">
        <is>
          <t>cbf95b01-f708-45a3-9ec0-3603469b538e</t>
        </is>
      </c>
      <c r="D4095" t="n">
        <v>55.69157</v>
      </c>
      <c r="E4095" t="n">
        <v>37.75986</v>
      </c>
      <c r="F4095" t="inlineStr"/>
      <c r="G4095" t="inlineStr"/>
      <c r="H4095" t="inlineStr"/>
    </row>
    <row r="4096">
      <c r="A4096" t="inlineStr">
        <is>
          <t>649b48ca-224c-4ebc-aa65-8ecd96b8d254.jpg</t>
        </is>
      </c>
      <c r="B4096">
        <f>HYPERLINK("Объекты недвижимости, не соответствующие градостроительным нормам_00-022_Август/649b48ca-224c-4ebc-aa65-8ecd96b8d254.jpg","open")</f>
        <v/>
      </c>
      <c r="C4096" t="inlineStr">
        <is>
          <t>cbf95b01-f708-45a3-9ec0-3603469b538e</t>
        </is>
      </c>
      <c r="D4096" t="n">
        <v>55.69157</v>
      </c>
      <c r="E4096" t="n">
        <v>37.75986</v>
      </c>
      <c r="F4096" t="inlineStr"/>
      <c r="G4096" t="inlineStr"/>
      <c r="H4096" t="inlineStr"/>
    </row>
    <row r="4097">
      <c r="A4097" t="inlineStr">
        <is>
          <t>75f6c0a9-3a49-4146-af5f-0bdaa4e0d825.jpg</t>
        </is>
      </c>
      <c r="B4097">
        <f>HYPERLINK("Объекты недвижимости, не соответствующие градостроительным нормам_00-022_Август/75f6c0a9-3a49-4146-af5f-0bdaa4e0d825.jpg","open")</f>
        <v/>
      </c>
      <c r="C4097" t="inlineStr">
        <is>
          <t>a1a9db89-3f74-42ef-8fad-ad69705102cd</t>
        </is>
      </c>
      <c r="D4097" t="n">
        <v>55.69157</v>
      </c>
      <c r="E4097" t="n">
        <v>37.75986</v>
      </c>
      <c r="F4097" t="inlineStr"/>
      <c r="G4097" t="inlineStr"/>
      <c r="H4097" t="inlineStr"/>
    </row>
    <row r="4098">
      <c r="A4098" t="inlineStr">
        <is>
          <t>0312eb0b-5b32-4595-8607-70fc7b7acc45.jpg</t>
        </is>
      </c>
      <c r="B4098">
        <f>HYPERLINK("Объекты недвижимости, не соответствующие градостроительным нормам_00-022_Август/0312eb0b-5b32-4595-8607-70fc7b7acc45.jpg","open")</f>
        <v/>
      </c>
      <c r="C4098" t="inlineStr">
        <is>
          <t>caa4772d-6278-4484-a046-ee25514bf521</t>
        </is>
      </c>
      <c r="D4098" t="n">
        <v>55.70532</v>
      </c>
      <c r="E4098" t="n">
        <v>37.64766</v>
      </c>
      <c r="F4098" t="inlineStr"/>
      <c r="G4098" t="inlineStr"/>
      <c r="H4098" t="inlineStr"/>
    </row>
    <row r="4099">
      <c r="A4099" t="inlineStr">
        <is>
          <t>120230f8-335f-4ea4-bc13-5bb004f9c8a9.jpg</t>
        </is>
      </c>
      <c r="B4099">
        <f>HYPERLINK("Объекты недвижимости, не соответствующие градостроительным нормам_00-022_Август/120230f8-335f-4ea4-bc13-5bb004f9c8a9.jpg","open")</f>
        <v/>
      </c>
      <c r="C4099" t="inlineStr">
        <is>
          <t>caa4772d-6278-4484-a046-ee25514bf521</t>
        </is>
      </c>
      <c r="D4099" t="n">
        <v>55.70532</v>
      </c>
      <c r="E4099" t="n">
        <v>37.64764</v>
      </c>
      <c r="F4099" t="inlineStr"/>
      <c r="G4099" t="inlineStr"/>
      <c r="H4099" t="inlineStr"/>
    </row>
    <row r="4100">
      <c r="A4100" t="inlineStr">
        <is>
          <t>1867d1bd-7e6c-45d3-9410-3c6d3a7f28ff.jpg</t>
        </is>
      </c>
      <c r="B4100">
        <f>HYPERLINK("Объекты недвижимости, не соответствующие градостроительным нормам_00-022_Август/1867d1bd-7e6c-45d3-9410-3c6d3a7f28ff.jpg","open")</f>
        <v/>
      </c>
      <c r="C4100" t="inlineStr">
        <is>
          <t>caa4772d-6278-4484-a046-ee25514bf521</t>
        </is>
      </c>
      <c r="D4100" t="n">
        <v>55.70531</v>
      </c>
      <c r="E4100" t="n">
        <v>37.64757</v>
      </c>
      <c r="F4100" t="inlineStr"/>
      <c r="G4100" t="inlineStr"/>
      <c r="H4100" t="inlineStr"/>
    </row>
    <row r="4101">
      <c r="A4101" t="inlineStr">
        <is>
          <t>2302d72a-6825-4519-8b81-c8d5b9e148f0.jpg</t>
        </is>
      </c>
      <c r="B4101">
        <f>HYPERLINK("Объекты недвижимости, не соответствующие градостроительным нормам_00-022_Август/2302d72a-6825-4519-8b81-c8d5b9e148f0.jpg","open")</f>
        <v/>
      </c>
      <c r="C4101" t="inlineStr">
        <is>
          <t>caa4772d-6278-4484-a046-ee25514bf521</t>
        </is>
      </c>
      <c r="D4101" t="n">
        <v>55.70531</v>
      </c>
      <c r="E4101" t="n">
        <v>37.64761</v>
      </c>
      <c r="F4101" t="inlineStr"/>
      <c r="G4101" t="inlineStr"/>
      <c r="H4101" t="inlineStr"/>
    </row>
    <row r="4102">
      <c r="A4102" t="inlineStr">
        <is>
          <t>577439fc-a367-42e7-9cc8-f858d6a8dc4a.jpg</t>
        </is>
      </c>
      <c r="B4102">
        <f>HYPERLINK("Объекты недвижимости, не соответствующие градостроительным нормам_00-022_Август/577439fc-a367-42e7-9cc8-f858d6a8dc4a.jpg","open")</f>
        <v/>
      </c>
      <c r="C4102" t="inlineStr">
        <is>
          <t>caa4772d-6278-4484-a046-ee25514bf521</t>
        </is>
      </c>
      <c r="D4102" t="n">
        <v>55.70533</v>
      </c>
      <c r="E4102" t="n">
        <v>37.64764</v>
      </c>
      <c r="F4102" t="inlineStr"/>
      <c r="G4102" t="inlineStr"/>
      <c r="H4102" t="inlineStr"/>
    </row>
    <row r="4103">
      <c r="A4103" t="inlineStr">
        <is>
          <t>a971f348-dd6a-478b-a55c-8d6fff728bef.jpg</t>
        </is>
      </c>
      <c r="B4103">
        <f>HYPERLINK("Объекты недвижимости, не соответствующие градостроительным нормам_00-022_Август/a971f348-dd6a-478b-a55c-8d6fff728bef.jpg","open")</f>
        <v/>
      </c>
      <c r="C4103" t="inlineStr">
        <is>
          <t>caa4772d-6278-4484-a046-ee25514bf521</t>
        </is>
      </c>
      <c r="D4103" t="n">
        <v>55.70535</v>
      </c>
      <c r="E4103" t="n">
        <v>37.64771</v>
      </c>
      <c r="F4103" t="inlineStr"/>
      <c r="G4103" t="inlineStr"/>
      <c r="H4103" t="inlineStr"/>
    </row>
    <row r="4104">
      <c r="A4104" t="inlineStr">
        <is>
          <t>a9500595-8125-40f7-92af-c0b5fa2c3518.jpg</t>
        </is>
      </c>
      <c r="B4104">
        <f>HYPERLINK("Объекты недвижимости, не соответствующие градостроительным нормам_00-022_Август/a9500595-8125-40f7-92af-c0b5fa2c3518.jpg","open")</f>
        <v/>
      </c>
      <c r="C4104" t="inlineStr">
        <is>
          <t>036c664f-5408-4fd0-b479-342c00468eeb</t>
        </is>
      </c>
      <c r="D4104" t="n">
        <v>55.72567</v>
      </c>
      <c r="E4104" t="n">
        <v>37.4037</v>
      </c>
      <c r="F4104" t="inlineStr"/>
      <c r="G4104" t="inlineStr"/>
      <c r="H4104" t="inlineStr"/>
    </row>
    <row r="4105">
      <c r="A4105" t="inlineStr">
        <is>
          <t>308bcf41-8640-49ed-8bc5-12c6d5aec319.jpg</t>
        </is>
      </c>
      <c r="B4105">
        <f>HYPERLINK("Объекты недвижимости, не соответствующие градостроительным нормам_00-022_Август/308bcf41-8640-49ed-8bc5-12c6d5aec319.jpg","open")</f>
        <v/>
      </c>
      <c r="C4105" t="inlineStr">
        <is>
          <t>8cde1fd0-eca1-4510-86ab-3c743b65fdfc</t>
        </is>
      </c>
      <c r="D4105" t="n">
        <v>56.9455</v>
      </c>
      <c r="E4105" t="n">
        <v>33.3138</v>
      </c>
      <c r="F4105" t="inlineStr"/>
      <c r="G4105" t="inlineStr"/>
      <c r="H4105" t="inlineStr"/>
    </row>
    <row r="4106">
      <c r="A4106" t="inlineStr">
        <is>
          <t>f9b96c0e-b38a-418e-a13d-96ef0ff9c84f.jpg</t>
        </is>
      </c>
      <c r="B4106">
        <f>HYPERLINK("Объекты недвижимости, не соответствующие градостроительным нормам_00-022_Август/f9b96c0e-b38a-418e-a13d-96ef0ff9c84f.jpg","open")</f>
        <v/>
      </c>
      <c r="C4106" t="inlineStr">
        <is>
          <t>8cde1fd0-eca1-4510-86ab-3c743b65fdfc</t>
        </is>
      </c>
      <c r="D4106" t="n">
        <v>56.9455</v>
      </c>
      <c r="E4106" t="n">
        <v>33.3138</v>
      </c>
      <c r="F4106" t="inlineStr"/>
      <c r="G4106" t="inlineStr"/>
      <c r="H4106" t="inlineStr"/>
    </row>
    <row r="4107">
      <c r="A4107" t="inlineStr">
        <is>
          <t>f486d37d-932e-4f25-998f-61052d8198b4.jpg</t>
        </is>
      </c>
      <c r="B4107">
        <f>HYPERLINK("Объекты недвижимости, не соответствующие градостроительным нормам_00-022_Август/f486d37d-932e-4f25-998f-61052d8198b4.jpg","open")</f>
        <v/>
      </c>
      <c r="C4107" t="inlineStr">
        <is>
          <t>8cde1fd0-eca1-4510-86ab-3c743b65fdfc</t>
        </is>
      </c>
      <c r="D4107" t="n">
        <v>56.9455</v>
      </c>
      <c r="E4107" t="n">
        <v>33.3138</v>
      </c>
      <c r="F4107" t="inlineStr"/>
      <c r="G4107" t="inlineStr"/>
      <c r="H4107" t="inlineStr"/>
    </row>
    <row r="4108">
      <c r="A4108" t="inlineStr">
        <is>
          <t>c2014af3-9300-437b-b533-0288f943e0c2.jpg</t>
        </is>
      </c>
      <c r="B4108">
        <f>HYPERLINK("Объекты недвижимости, не соответствующие градостроительным нормам_00-022_Август/c2014af3-9300-437b-b533-0288f943e0c2.jpg","open")</f>
        <v/>
      </c>
      <c r="C4108" t="inlineStr">
        <is>
          <t>8cde1fd0-eca1-4510-86ab-3c743b65fdfc</t>
        </is>
      </c>
      <c r="D4108" t="n">
        <v>56.9455</v>
      </c>
      <c r="E4108" t="n">
        <v>33.3138</v>
      </c>
      <c r="F4108" t="inlineStr"/>
      <c r="G4108" t="inlineStr"/>
      <c r="H4108" t="inlineStr"/>
    </row>
    <row r="4109">
      <c r="A4109" t="inlineStr">
        <is>
          <t>30535ff6-b129-4ef6-822b-cd44e4c966d9.jpg</t>
        </is>
      </c>
      <c r="B4109">
        <f>HYPERLINK("Объекты недвижимости, не соответствующие градостроительным нормам_00-022_Август/30535ff6-b129-4ef6-822b-cd44e4c966d9.jpg","open")</f>
        <v/>
      </c>
      <c r="C4109" t="inlineStr">
        <is>
          <t>1c951e11-4940-43c6-a447-394097e5609a</t>
        </is>
      </c>
      <c r="D4109" t="n">
        <v>56.9455</v>
      </c>
      <c r="E4109" t="n">
        <v>33.3138</v>
      </c>
      <c r="F4109" t="inlineStr"/>
      <c r="G4109" t="inlineStr"/>
      <c r="H4109" t="inlineStr"/>
    </row>
    <row r="4110">
      <c r="A4110" t="inlineStr">
        <is>
          <t>09d15d8f-e0fb-4b95-9423-f2bf902cada7.jpg</t>
        </is>
      </c>
      <c r="B4110">
        <f>HYPERLINK("Объекты недвижимости, не соответствующие градостроительным нормам_00-022_Август/09d15d8f-e0fb-4b95-9423-f2bf902cada7.jpg","open")</f>
        <v/>
      </c>
      <c r="C4110" t="inlineStr">
        <is>
          <t>8cde1fd0-eca1-4510-86ab-3c743b65fdfc</t>
        </is>
      </c>
      <c r="D4110" t="n">
        <v>56.9455</v>
      </c>
      <c r="E4110" t="n">
        <v>33.3138</v>
      </c>
      <c r="F4110" t="inlineStr"/>
      <c r="G4110" t="inlineStr"/>
      <c r="H4110" t="inlineStr"/>
    </row>
    <row r="4111">
      <c r="A4111" t="inlineStr">
        <is>
          <t>b7e3a979-eac4-4293-8461-ba8ad38d26d2.jpg</t>
        </is>
      </c>
      <c r="B4111">
        <f>HYPERLINK("Объекты недвижимости, не соответствующие градостроительным нормам_00-022_Август/b7e3a979-eac4-4293-8461-ba8ad38d26d2.jpg","open")</f>
        <v/>
      </c>
      <c r="C4111" t="inlineStr">
        <is>
          <t>a28f597e-d1cd-4d3b-b572-c86d033412e9</t>
        </is>
      </c>
      <c r="D4111" t="n">
        <v>55.72324</v>
      </c>
      <c r="E4111" t="n">
        <v>37.40619</v>
      </c>
      <c r="F4111" t="inlineStr"/>
      <c r="G4111" t="inlineStr"/>
      <c r="H4111" t="inlineStr"/>
    </row>
    <row r="4112">
      <c r="A4112" t="inlineStr">
        <is>
          <t>4ae0a07d-6184-4fb9-93bf-3b787d86221b.jpg</t>
        </is>
      </c>
      <c r="B4112">
        <f>HYPERLINK("Объекты недвижимости, не соответствующие градостроительным нормам_00-022_Август/4ae0a07d-6184-4fb9-93bf-3b787d86221b.jpg","open")</f>
        <v/>
      </c>
      <c r="C4112" t="inlineStr">
        <is>
          <t>036c664f-5408-4fd0-b479-342c00468eeb</t>
        </is>
      </c>
      <c r="D4112" t="n">
        <v>55.72315</v>
      </c>
      <c r="E4112" t="n">
        <v>37.40621</v>
      </c>
      <c r="F4112" t="inlineStr"/>
      <c r="G4112" t="inlineStr"/>
      <c r="H4112" t="inlineStr"/>
    </row>
    <row r="4113">
      <c r="A4113" t="inlineStr">
        <is>
          <t>7cfe3475-4922-4579-8dab-78a33dd1794c.jpg</t>
        </is>
      </c>
      <c r="B4113">
        <f>HYPERLINK("Объекты недвижимости, не соответствующие градостроительным нормам_00-022_Август/7cfe3475-4922-4579-8dab-78a33dd1794c.jpg","open")</f>
        <v/>
      </c>
      <c r="C4113" t="inlineStr">
        <is>
          <t>1231bbc5-e64c-4dc7-9acc-77710f47607a</t>
        </is>
      </c>
      <c r="D4113" t="n">
        <v>55.67399</v>
      </c>
      <c r="E4113" t="n">
        <v>37.5991</v>
      </c>
      <c r="F4113" t="inlineStr"/>
      <c r="G4113" t="inlineStr"/>
      <c r="H4113" t="inlineStr"/>
    </row>
    <row r="4114">
      <c r="A4114" t="inlineStr">
        <is>
          <t>486cab00-40d2-4731-9d47-877260748d9b.jpg</t>
        </is>
      </c>
      <c r="B4114">
        <f>HYPERLINK("Объекты недвижимости, не соответствующие градостроительным нормам_00-022_Август/486cab00-40d2-4731-9d47-877260748d9b.jpg","open")</f>
        <v/>
      </c>
      <c r="C4114" t="inlineStr">
        <is>
          <t>030e8755-17c1-44eb-9530-707d0d3121cb</t>
        </is>
      </c>
      <c r="D4114" t="n">
        <v>55.58124</v>
      </c>
      <c r="E4114" t="n">
        <v>37.65058</v>
      </c>
      <c r="F4114" t="inlineStr"/>
      <c r="G4114" t="inlineStr"/>
      <c r="H4114" t="inlineStr"/>
    </row>
    <row r="4115">
      <c r="A4115" t="inlineStr">
        <is>
          <t>98f4a5fe-4a1d-4136-ac35-2d62d971c59e.jpg</t>
        </is>
      </c>
      <c r="B4115">
        <f>HYPERLINK("Объекты недвижимости, не соответствующие градостроительным нормам_00-022_Август/98f4a5fe-4a1d-4136-ac35-2d62d971c59e.jpg","open")</f>
        <v/>
      </c>
      <c r="C4115" t="inlineStr">
        <is>
          <t>8cde1fd0-eca1-4510-86ab-3c743b65fdfc</t>
        </is>
      </c>
      <c r="D4115" t="n">
        <v>55.67996</v>
      </c>
      <c r="E4115" t="n">
        <v>37.53238</v>
      </c>
      <c r="F4115" t="inlineStr"/>
      <c r="G4115" t="inlineStr"/>
      <c r="H4115" t="inlineStr"/>
    </row>
    <row r="4116">
      <c r="A4116" t="inlineStr">
        <is>
          <t>e0f912cb-bf0c-4480-9cc5-2fb1d965bc6e.jpg</t>
        </is>
      </c>
      <c r="B4116">
        <f>HYPERLINK("Объекты недвижимости, не соответствующие градостроительным нормам_00-022_Август/e0f912cb-bf0c-4480-9cc5-2fb1d965bc6e.jpg","open")</f>
        <v/>
      </c>
      <c r="C4116" t="inlineStr">
        <is>
          <t>1231bbc5-e64c-4dc7-9acc-77710f47607a</t>
        </is>
      </c>
      <c r="D4116" t="n">
        <v>55.67612</v>
      </c>
      <c r="E4116" t="n">
        <v>37.59872</v>
      </c>
      <c r="F4116" t="inlineStr"/>
      <c r="G4116" t="inlineStr"/>
      <c r="H4116" t="inlineStr"/>
    </row>
    <row r="4117">
      <c r="A4117" t="inlineStr">
        <is>
          <t>b4bb6ef6-fc86-4b62-9521-1ef1dfc614f5.jpg</t>
        </is>
      </c>
      <c r="B4117">
        <f>HYPERLINK("Объекты недвижимости, не соответствующие градостроительным нормам_00-022_Август/b4bb6ef6-fc86-4b62-9521-1ef1dfc614f5.jpg","open")</f>
        <v/>
      </c>
      <c r="C4117" t="inlineStr">
        <is>
          <t>1231bbc5-e64c-4dc7-9acc-77710f47607a</t>
        </is>
      </c>
      <c r="D4117" t="n">
        <v>55.67623</v>
      </c>
      <c r="E4117" t="n">
        <v>37.5983</v>
      </c>
      <c r="F4117" t="inlineStr"/>
      <c r="G4117" t="inlineStr"/>
      <c r="H4117" t="inlineStr"/>
    </row>
    <row r="4118">
      <c r="A4118" t="inlineStr">
        <is>
          <t>83619dd4-9518-406a-8351-33478e6bb277.jpg</t>
        </is>
      </c>
      <c r="B4118">
        <f>HYPERLINK("Объекты недвижимости, не соответствующие градостроительным нормам_00-022_Август/83619dd4-9518-406a-8351-33478e6bb277.jpg","open")</f>
        <v/>
      </c>
      <c r="C4118" t="inlineStr">
        <is>
          <t>8cde1fd0-eca1-4510-86ab-3c743b65fdfc</t>
        </is>
      </c>
      <c r="D4118" t="n">
        <v>55.68415</v>
      </c>
      <c r="E4118" t="n">
        <v>37.51921</v>
      </c>
      <c r="F4118" t="inlineStr"/>
      <c r="G4118" t="inlineStr"/>
      <c r="H4118" t="inlineStr"/>
    </row>
    <row r="4119">
      <c r="A4119" t="inlineStr">
        <is>
          <t>5a8bf8c0-7e06-4fe9-85a5-a104757a5dba.jpg</t>
        </is>
      </c>
      <c r="B4119">
        <f>HYPERLINK("Объекты недвижимости, не соответствующие градостроительным нормам_00-022_Август/5a8bf8c0-7e06-4fe9-85a5-a104757a5dba.jpg","open")</f>
        <v/>
      </c>
      <c r="C4119" t="inlineStr">
        <is>
          <t>61936922-4d4b-458e-80ea-6d4c450aa1d5</t>
        </is>
      </c>
      <c r="D4119" t="n">
        <v>55.69943</v>
      </c>
      <c r="E4119" t="n">
        <v>37.50563</v>
      </c>
      <c r="F4119" t="inlineStr"/>
      <c r="G4119" t="inlineStr"/>
      <c r="H4119" t="inlineStr"/>
    </row>
    <row r="4120">
      <c r="A4120" t="inlineStr">
        <is>
          <t>26add1ed-6240-41b4-bce0-4f498f4f80f9.jpg</t>
        </is>
      </c>
      <c r="B4120">
        <f>HYPERLINK("Объекты недвижимости, не соответствующие градостроительным нормам_00-022_Август/26add1ed-6240-41b4-bce0-4f498f4f80f9.jpg","open")</f>
        <v/>
      </c>
      <c r="C4120" t="inlineStr">
        <is>
          <t>1231bbc5-e64c-4dc7-9acc-77710f47607a</t>
        </is>
      </c>
      <c r="D4120" t="n">
        <v>55.67274</v>
      </c>
      <c r="E4120" t="n">
        <v>37.59293</v>
      </c>
      <c r="F4120" t="inlineStr"/>
      <c r="G4120" t="inlineStr"/>
      <c r="H4120" t="inlineStr"/>
    </row>
    <row r="4121">
      <c r="A4121" t="inlineStr">
        <is>
          <t>10402602-eefb-458b-9c86-c772720f654a.jpg</t>
        </is>
      </c>
      <c r="B4121">
        <f>HYPERLINK("Объекты недвижимости, не соответствующие градостроительным нормам_00-022_Август/10402602-eefb-458b-9c86-c772720f654a.jpg","open")</f>
        <v/>
      </c>
      <c r="C4121" t="inlineStr">
        <is>
          <t>1231bbc5-e64c-4dc7-9acc-77710f47607a</t>
        </is>
      </c>
      <c r="D4121" t="n">
        <v>55.67242</v>
      </c>
      <c r="E4121" t="n">
        <v>37.59277</v>
      </c>
      <c r="F4121" t="inlineStr"/>
      <c r="G4121" t="inlineStr"/>
      <c r="H4121" t="inlineStr"/>
    </row>
    <row r="4122">
      <c r="A4122" t="inlineStr">
        <is>
          <t>68902b69-34b6-4e67-ae61-0678a442d8e9.jpg</t>
        </is>
      </c>
      <c r="B4122">
        <f>HYPERLINK("Объекты недвижимости, не соответствующие градостроительным нормам_00-022_Август/68902b69-34b6-4e67-ae61-0678a442d8e9.jpg","open")</f>
        <v/>
      </c>
      <c r="C4122" t="inlineStr">
        <is>
          <t>685d9054-b74f-49ab-857b-109fd2cec80d</t>
        </is>
      </c>
      <c r="D4122" t="n">
        <v>55.67242</v>
      </c>
      <c r="E4122" t="n">
        <v>37.59277</v>
      </c>
      <c r="F4122" t="inlineStr"/>
      <c r="G4122" t="inlineStr"/>
      <c r="H4122" t="inlineStr"/>
    </row>
    <row r="4123">
      <c r="A4123" t="inlineStr">
        <is>
          <t>20b10f7c-1a54-4d3d-ad1c-5d9a2a46c839.jpg</t>
        </is>
      </c>
      <c r="B4123">
        <f>HYPERLINK("Объекты недвижимости, не соответствующие градостроительным нормам_00-022_Август/20b10f7c-1a54-4d3d-ad1c-5d9a2a46c839.jpg","open")</f>
        <v/>
      </c>
      <c r="C4123" t="inlineStr">
        <is>
          <t>4cd87d14-7440-44b7-a5b2-a738e10006f7</t>
        </is>
      </c>
      <c r="D4123" t="n">
        <v>55.75987</v>
      </c>
      <c r="E4123" t="n">
        <v>37.77346</v>
      </c>
      <c r="F4123" t="inlineStr"/>
      <c r="G4123" t="inlineStr"/>
      <c r="H4123" t="inlineStr"/>
    </row>
    <row r="4124">
      <c r="A4124" t="inlineStr">
        <is>
          <t>1e3a78e4-f874-49ef-8e61-f750abb450ff.jpg</t>
        </is>
      </c>
      <c r="B4124">
        <f>HYPERLINK("Объекты недвижимости, не соответствующие градостроительным нормам_00-022_Август/1e3a78e4-f874-49ef-8e61-f750abb450ff.jpg","open")</f>
        <v/>
      </c>
      <c r="C4124" t="inlineStr">
        <is>
          <t>685d9054-b74f-49ab-857b-109fd2cec80d</t>
        </is>
      </c>
      <c r="D4124" t="n">
        <v>55.67201</v>
      </c>
      <c r="E4124" t="n">
        <v>37.59513</v>
      </c>
      <c r="F4124" t="inlineStr"/>
      <c r="G4124" t="inlineStr"/>
      <c r="H4124" t="inlineStr"/>
    </row>
    <row r="4125">
      <c r="A4125" t="inlineStr">
        <is>
          <t>9529eb98-4dcb-46d5-95d6-bdb4c21839ba.jpg</t>
        </is>
      </c>
      <c r="B4125">
        <f>HYPERLINK("Объекты недвижимости, не соответствующие градостроительным нормам_00-022_Август/9529eb98-4dcb-46d5-95d6-bdb4c21839ba.jpg","open")</f>
        <v/>
      </c>
      <c r="C4125" t="inlineStr">
        <is>
          <t>685d9054-b74f-49ab-857b-109fd2cec80d</t>
        </is>
      </c>
      <c r="D4125" t="n">
        <v>55.6719</v>
      </c>
      <c r="E4125" t="n">
        <v>37.5963</v>
      </c>
      <c r="F4125" t="inlineStr"/>
      <c r="G4125" t="inlineStr"/>
      <c r="H4125" t="inlineStr"/>
    </row>
    <row r="4126">
      <c r="A4126" t="inlineStr">
        <is>
          <t>ccf5bc46-f869-4f3b-8788-effaa41cf03e.jpg</t>
        </is>
      </c>
      <c r="B4126">
        <f>HYPERLINK("Объекты недвижимости, не соответствующие градостроительным нормам_00-022_Август/ccf5bc46-f869-4f3b-8788-effaa41cf03e.jpg","open")</f>
        <v/>
      </c>
      <c r="C4126" t="inlineStr">
        <is>
          <t>1a55986c-2c3f-40c0-b3d1-014dce77832e</t>
        </is>
      </c>
      <c r="D4126" t="n">
        <v>55.7775</v>
      </c>
      <c r="E4126" t="n">
        <v>37.50604</v>
      </c>
      <c r="F4126" t="inlineStr"/>
      <c r="G4126" t="inlineStr"/>
      <c r="H4126" t="inlineStr"/>
    </row>
    <row r="4127">
      <c r="A4127" t="inlineStr">
        <is>
          <t>2e7a6fa0-5329-4b14-9dea-8a3ba1612cdc.jpg</t>
        </is>
      </c>
      <c r="B4127">
        <f>HYPERLINK("Объекты недвижимости, не соответствующие градостроительным нормам_00-022_Август/2e7a6fa0-5329-4b14-9dea-8a3ba1612cdc.jpg","open")</f>
        <v/>
      </c>
      <c r="C4127" t="inlineStr">
        <is>
          <t>685d9054-b74f-49ab-857b-109fd2cec80d</t>
        </is>
      </c>
      <c r="D4127" t="n">
        <v>55.67192</v>
      </c>
      <c r="E4127" t="n">
        <v>37.59693</v>
      </c>
      <c r="F4127" t="inlineStr"/>
      <c r="G4127" t="inlineStr"/>
      <c r="H4127" t="inlineStr"/>
    </row>
    <row r="4128">
      <c r="A4128" t="inlineStr">
        <is>
          <t>e1f15855-bb60-4eac-85e8-6f0f4b858034.jpg</t>
        </is>
      </c>
      <c r="B4128">
        <f>HYPERLINK("Объекты недвижимости, не соответствующие градостроительным нормам_00-022_Август/e1f15855-bb60-4eac-85e8-6f0f4b858034.jpg","open")</f>
        <v/>
      </c>
      <c r="C4128" t="inlineStr">
        <is>
          <t>685d9054-b74f-49ab-857b-109fd2cec80d</t>
        </is>
      </c>
      <c r="D4128" t="n">
        <v>55.67191</v>
      </c>
      <c r="E4128" t="n">
        <v>37.59698</v>
      </c>
      <c r="F4128" t="inlineStr"/>
      <c r="G4128" t="inlineStr"/>
      <c r="H4128" t="inlineStr"/>
    </row>
    <row r="4129">
      <c r="A4129" t="inlineStr">
        <is>
          <t>a2651cc7-8586-4595-8bfa-a19aa3ade4cd.jpg</t>
        </is>
      </c>
      <c r="B4129">
        <f>HYPERLINK("Объекты недвижимости, не соответствующие градостроительным нормам_00-022_Август/a2651cc7-8586-4595-8bfa-a19aa3ade4cd.jpg","open")</f>
        <v/>
      </c>
      <c r="C4129" t="inlineStr">
        <is>
          <t>1231bbc5-e64c-4dc7-9acc-77710f47607a</t>
        </is>
      </c>
      <c r="D4129" t="n">
        <v>55.67188</v>
      </c>
      <c r="E4129" t="n">
        <v>37.59708</v>
      </c>
      <c r="F4129" t="inlineStr"/>
      <c r="G4129" t="inlineStr"/>
      <c r="H4129" t="inlineStr"/>
    </row>
    <row r="4130">
      <c r="A4130" t="inlineStr">
        <is>
          <t>27c807ff-b07f-4dc6-87a4-5e871b646716.jpg</t>
        </is>
      </c>
      <c r="B4130">
        <f>HYPERLINK("Объекты недвижимости, не соответствующие градостроительным нормам_00-022_Август/27c807ff-b07f-4dc6-87a4-5e871b646716.jpg","open")</f>
        <v/>
      </c>
      <c r="C4130" t="inlineStr">
        <is>
          <t>18a5c468-d9e6-4814-8477-1caf4a2e1fe9</t>
        </is>
      </c>
      <c r="D4130" t="n">
        <v>55.98158</v>
      </c>
      <c r="E4130" t="n">
        <v>37.40747</v>
      </c>
      <c r="F4130" t="inlineStr"/>
      <c r="G4130" t="inlineStr"/>
      <c r="H4130" t="inlineStr"/>
    </row>
    <row r="4131">
      <c r="A4131" t="inlineStr">
        <is>
          <t>612ba553-baaa-4281-b9fa-a02f56b3a87e.jpg</t>
        </is>
      </c>
      <c r="B4131">
        <f>HYPERLINK("Объекты недвижимости, не соответствующие градостроительным нормам_00-022_Август/612ba553-baaa-4281-b9fa-a02f56b3a87e.jpg","open")</f>
        <v/>
      </c>
      <c r="C4131" t="inlineStr">
        <is>
          <t>685d9054-b74f-49ab-857b-109fd2cec80d</t>
        </is>
      </c>
      <c r="D4131" t="n">
        <v>55.67181</v>
      </c>
      <c r="E4131" t="n">
        <v>37.59707</v>
      </c>
      <c r="F4131" t="inlineStr"/>
      <c r="G4131" t="inlineStr"/>
      <c r="H4131" t="inlineStr"/>
    </row>
    <row r="4132">
      <c r="A4132" t="inlineStr">
        <is>
          <t>cacebccb-78c1-473d-853b-16caeaac76c9.jpg</t>
        </is>
      </c>
      <c r="B4132">
        <f>HYPERLINK("Объекты недвижимости, не соответствующие градостроительным нормам_00-022_Август/cacebccb-78c1-473d-853b-16caeaac76c9.jpg","open")</f>
        <v/>
      </c>
      <c r="C4132" t="inlineStr">
        <is>
          <t>57812597-37e6-414c-8b11-8c661dbfeb70</t>
        </is>
      </c>
      <c r="D4132" t="n">
        <v>55.67015</v>
      </c>
      <c r="E4132" t="n">
        <v>37.44876</v>
      </c>
      <c r="F4132" t="inlineStr"/>
      <c r="G4132" t="inlineStr"/>
      <c r="H4132" t="inlineStr"/>
    </row>
    <row r="4133">
      <c r="A4133" t="inlineStr">
        <is>
          <t>63f0bd19-0a1c-4f64-bef2-eb65132b54da.jpg</t>
        </is>
      </c>
      <c r="B4133">
        <f>HYPERLINK("Объекты недвижимости, не соответствующие градостроительным нормам_00-022_Август/63f0bd19-0a1c-4f64-bef2-eb65132b54da.jpg","open")</f>
        <v/>
      </c>
      <c r="C4133" t="inlineStr">
        <is>
          <t>1a55986c-2c3f-40c0-b3d1-014dce77832e</t>
        </is>
      </c>
      <c r="D4133" t="n">
        <v>55.78629</v>
      </c>
      <c r="E4133" t="n">
        <v>37.50325</v>
      </c>
      <c r="F4133" t="inlineStr"/>
      <c r="G4133" t="inlineStr"/>
      <c r="H4133" t="inlineStr"/>
    </row>
    <row r="4134">
      <c r="A4134" t="inlineStr">
        <is>
          <t>ccf8a7c4-243c-4f2d-b999-5ed06c55f66b.jpg</t>
        </is>
      </c>
      <c r="B4134">
        <f>HYPERLINK("Объекты недвижимости, не соответствующие градостроительным нормам_00-022_Август/ccf8a7c4-243c-4f2d-b999-5ed06c55f66b.jpg","open")</f>
        <v/>
      </c>
      <c r="C4134" t="inlineStr">
        <is>
          <t>685d9054-b74f-49ab-857b-109fd2cec80d</t>
        </is>
      </c>
      <c r="D4134" t="n">
        <v>55.67165</v>
      </c>
      <c r="E4134" t="n">
        <v>37.59703</v>
      </c>
      <c r="F4134" t="inlineStr"/>
      <c r="G4134" t="inlineStr"/>
      <c r="H4134" t="inlineStr"/>
    </row>
    <row r="4135">
      <c r="A4135" t="inlineStr">
        <is>
          <t>e838df4b-b063-47ee-8fa4-3ddabca284f1.jpg</t>
        </is>
      </c>
      <c r="B4135">
        <f>HYPERLINK("Объекты недвижимости, не соответствующие градостроительным нормам_00-022_Август/e838df4b-b063-47ee-8fa4-3ddabca284f1.jpg","open")</f>
        <v/>
      </c>
      <c r="C4135" t="inlineStr">
        <is>
          <t>ed2bf0f1-3a66-4913-896e-4420a9796c0b</t>
        </is>
      </c>
      <c r="D4135" t="n">
        <v>55.78628</v>
      </c>
      <c r="E4135" t="n">
        <v>37.50327</v>
      </c>
      <c r="F4135" t="inlineStr"/>
      <c r="G4135" t="inlineStr"/>
      <c r="H4135" t="inlineStr"/>
    </row>
    <row r="4136">
      <c r="A4136" t="inlineStr">
        <is>
          <t>98e74908-7fd4-4d52-8f96-f82a4e51be99.jpg</t>
        </is>
      </c>
      <c r="B4136">
        <f>HYPERLINK("Объекты недвижимости, не соответствующие градостроительным нормам_00-022_Август/98e74908-7fd4-4d52-8f96-f82a4e51be99.jpg","open")</f>
        <v/>
      </c>
      <c r="C4136" t="inlineStr">
        <is>
          <t>1231bbc5-e64c-4dc7-9acc-77710f47607a</t>
        </is>
      </c>
      <c r="D4136" t="n">
        <v>55.67165</v>
      </c>
      <c r="E4136" t="n">
        <v>37.59703</v>
      </c>
      <c r="F4136" t="inlineStr"/>
      <c r="G4136" t="inlineStr"/>
      <c r="H4136" t="inlineStr"/>
    </row>
    <row r="4137">
      <c r="A4137" t="inlineStr">
        <is>
          <t>794edaec-1665-4cae-8087-bff2c4407964.jpg</t>
        </is>
      </c>
      <c r="B4137">
        <f>HYPERLINK("Объекты недвижимости, не соответствующие градостроительным нормам_00-022_Август/794edaec-1665-4cae-8087-bff2c4407964.jpg","open")</f>
        <v/>
      </c>
      <c r="C4137" t="inlineStr">
        <is>
          <t>685d9054-b74f-49ab-857b-109fd2cec80d</t>
        </is>
      </c>
      <c r="D4137" t="n">
        <v>55.67108</v>
      </c>
      <c r="E4137" t="n">
        <v>37.59844</v>
      </c>
      <c r="F4137" t="inlineStr"/>
      <c r="G4137" t="inlineStr"/>
      <c r="H4137" t="inlineStr"/>
    </row>
    <row r="4138">
      <c r="A4138" t="inlineStr">
        <is>
          <t>1772337f-7744-4e11-8e06-c39a3f1bc7f3.jpg</t>
        </is>
      </c>
      <c r="B4138">
        <f>HYPERLINK("Объекты недвижимости, не соответствующие градостроительным нормам_00-022_Август/1772337f-7744-4e11-8e06-c39a3f1bc7f3.jpg","open")</f>
        <v/>
      </c>
      <c r="C4138" t="inlineStr">
        <is>
          <t>9c930d0e-e445-452d-a046-325646b21ab7</t>
        </is>
      </c>
      <c r="D4138" t="n">
        <v>55.84422</v>
      </c>
      <c r="E4138" t="n">
        <v>37.66928</v>
      </c>
      <c r="F4138" t="inlineStr"/>
      <c r="G4138" t="inlineStr"/>
      <c r="H4138" t="inlineStr"/>
    </row>
    <row r="4139">
      <c r="A4139" t="inlineStr">
        <is>
          <t>fe0163cd-86f7-42e7-b9cb-b3bcb84e94bf.jpg</t>
        </is>
      </c>
      <c r="B4139">
        <f>HYPERLINK("Объекты недвижимости, не соответствующие градостроительным нормам_00-022_Август/fe0163cd-86f7-42e7-b9cb-b3bcb84e94bf.jpg","open")</f>
        <v/>
      </c>
      <c r="C4139" t="inlineStr">
        <is>
          <t>685d9054-b74f-49ab-857b-109fd2cec80d</t>
        </is>
      </c>
      <c r="D4139" t="n">
        <v>55.67087</v>
      </c>
      <c r="E4139" t="n">
        <v>37.59814</v>
      </c>
      <c r="F4139" t="inlineStr"/>
      <c r="G4139" t="inlineStr"/>
      <c r="H4139" t="inlineStr"/>
    </row>
    <row r="4140">
      <c r="A4140" t="inlineStr">
        <is>
          <t>0748fc3e-7e6c-45ab-aef6-2f74f873a4cf.jpg</t>
        </is>
      </c>
      <c r="B4140">
        <f>HYPERLINK("Объекты недвижимости, не соответствующие градостроительным нормам_00-022_Август/0748fc3e-7e6c-45ab-aef6-2f74f873a4cf.jpg","open")</f>
        <v/>
      </c>
      <c r="C4140" t="inlineStr">
        <is>
          <t>1231bbc5-e64c-4dc7-9acc-77710f47607a</t>
        </is>
      </c>
      <c r="D4140" t="n">
        <v>55.67133</v>
      </c>
      <c r="E4140" t="n">
        <v>37.59858</v>
      </c>
      <c r="F4140" t="inlineStr"/>
      <c r="G4140" t="inlineStr"/>
      <c r="H4140" t="inlineStr"/>
    </row>
    <row r="4141">
      <c r="A4141" t="inlineStr">
        <is>
          <t>41ea6216-2daf-4d84-b06c-ea97ce589c62.jpg</t>
        </is>
      </c>
      <c r="B4141">
        <f>HYPERLINK("Объекты недвижимости, не соответствующие градостроительным нормам_00-022_Август/41ea6216-2daf-4d84-b06c-ea97ce589c62.jpg","open")</f>
        <v/>
      </c>
      <c r="C4141" t="inlineStr">
        <is>
          <t>1a55986c-2c3f-40c0-b3d1-014dce77832e</t>
        </is>
      </c>
      <c r="D4141" t="n">
        <v>55.78874</v>
      </c>
      <c r="E4141" t="n">
        <v>37.49785</v>
      </c>
      <c r="F4141" t="inlineStr"/>
      <c r="G4141" t="inlineStr"/>
      <c r="H4141" t="inlineStr"/>
    </row>
    <row r="4142">
      <c r="A4142" t="inlineStr">
        <is>
          <t>e47bfd46-694f-4fe7-989d-8e9fe84bd39c.jpg</t>
        </is>
      </c>
      <c r="B4142">
        <f>HYPERLINK("Объекты недвижимости, не соответствующие градостроительным нормам_00-022_Август/e47bfd46-694f-4fe7-989d-8e9fe84bd39c.jpg","open")</f>
        <v/>
      </c>
      <c r="C4142" t="inlineStr">
        <is>
          <t>1a55986c-2c3f-40c0-b3d1-014dce77832e</t>
        </is>
      </c>
      <c r="D4142" t="n">
        <v>55.78859</v>
      </c>
      <c r="E4142" t="n">
        <v>37.49666</v>
      </c>
      <c r="F4142" t="inlineStr"/>
      <c r="G4142" t="inlineStr"/>
      <c r="H4142" t="inlineStr"/>
    </row>
    <row r="4143">
      <c r="A4143" t="inlineStr">
        <is>
          <t>50f582b5-348e-4efa-8fb2-4b0ee7b70e65.jpg</t>
        </is>
      </c>
      <c r="B4143">
        <f>HYPERLINK("Объекты недвижимости, не соответствующие градостроительным нормам_00-022_Август/50f582b5-348e-4efa-8fb2-4b0ee7b70e65.jpg","open")</f>
        <v/>
      </c>
      <c r="C4143" t="inlineStr">
        <is>
          <t>b0b7ea82-53be-40d0-b992-e2fd18611d5c</t>
        </is>
      </c>
      <c r="D4143" t="n">
        <v>55.65689</v>
      </c>
      <c r="E4143" t="n">
        <v>37.80622</v>
      </c>
      <c r="F4143" t="inlineStr"/>
      <c r="G4143" t="inlineStr"/>
      <c r="H4143" t="inlineStr"/>
    </row>
    <row r="4144">
      <c r="A4144" t="inlineStr">
        <is>
          <t>433f7df8-9b89-4f03-9cd2-4a7aad15b918.jpg</t>
        </is>
      </c>
      <c r="B4144">
        <f>HYPERLINK("Объекты недвижимости, не соответствующие градостроительным нормам_00-022_Август/433f7df8-9b89-4f03-9cd2-4a7aad15b918.jpg","open")</f>
        <v/>
      </c>
      <c r="C4144" t="inlineStr">
        <is>
          <t>ed2bf0f1-3a66-4913-896e-4420a9796c0b</t>
        </is>
      </c>
      <c r="D4144" t="n">
        <v>55.78836</v>
      </c>
      <c r="E4144" t="n">
        <v>37.4954</v>
      </c>
      <c r="F4144" t="inlineStr"/>
      <c r="G4144" t="inlineStr"/>
      <c r="H4144" t="inlineStr"/>
    </row>
    <row r="4145">
      <c r="A4145" t="inlineStr">
        <is>
          <t>d27fd6b1-4e04-4868-8fca-92718e3eb0da.jpg</t>
        </is>
      </c>
      <c r="B4145">
        <f>HYPERLINK("Объекты недвижимости, не соответствующие градостроительным нормам_00-022_Август/d27fd6b1-4e04-4868-8fca-92718e3eb0da.jpg","open")</f>
        <v/>
      </c>
      <c r="C4145" t="inlineStr">
        <is>
          <t>685d9054-b74f-49ab-857b-109fd2cec80d</t>
        </is>
      </c>
      <c r="D4145" t="n">
        <v>55.6704</v>
      </c>
      <c r="E4145" t="n">
        <v>37.59831</v>
      </c>
      <c r="F4145" t="inlineStr"/>
      <c r="G4145" t="inlineStr"/>
      <c r="H4145" t="inlineStr"/>
    </row>
    <row r="4146">
      <c r="A4146" t="inlineStr">
        <is>
          <t>32a43bbe-2510-4a8a-9b4f-3127483631c4.jpg</t>
        </is>
      </c>
      <c r="B4146">
        <f>HYPERLINK("Объекты недвижимости, не соответствующие градостроительным нормам_00-022_Август/32a43bbe-2510-4a8a-9b4f-3127483631c4.jpg","open")</f>
        <v/>
      </c>
      <c r="C4146" t="inlineStr">
        <is>
          <t>1231bbc5-e64c-4dc7-9acc-77710f47607a</t>
        </is>
      </c>
      <c r="D4146" t="n">
        <v>55.67043</v>
      </c>
      <c r="E4146" t="n">
        <v>37.59835</v>
      </c>
      <c r="F4146" t="inlineStr"/>
      <c r="G4146" t="inlineStr"/>
      <c r="H4146" t="inlineStr"/>
    </row>
    <row r="4147">
      <c r="A4147" t="inlineStr">
        <is>
          <t>425673de-8478-471f-ad92-e477e132dfba.jpg</t>
        </is>
      </c>
      <c r="B4147">
        <f>HYPERLINK("Объекты недвижимости, не соответствующие градостроительным нормам_00-022_Август/425673de-8478-471f-ad92-e477e132dfba.jpg","open")</f>
        <v/>
      </c>
      <c r="C4147" t="inlineStr">
        <is>
          <t>685d9054-b74f-49ab-857b-109fd2cec80d</t>
        </is>
      </c>
      <c r="D4147" t="n">
        <v>55.67251</v>
      </c>
      <c r="E4147" t="n">
        <v>37.60118</v>
      </c>
      <c r="F4147" t="inlineStr"/>
      <c r="G4147" t="inlineStr"/>
      <c r="H4147" t="inlineStr"/>
    </row>
    <row r="4148">
      <c r="A4148" t="inlineStr">
        <is>
          <t>dfc1a7c3-86e6-4f78-96d0-ac315ba2a4e9.jpg</t>
        </is>
      </c>
      <c r="B4148">
        <f>HYPERLINK("Объекты недвижимости, не соответствующие градостроительным нормам_00-022_Август/dfc1a7c3-86e6-4f78-96d0-ac315ba2a4e9.jpg","open")</f>
        <v/>
      </c>
      <c r="C4148" t="inlineStr">
        <is>
          <t>1231bbc5-e64c-4dc7-9acc-77710f47607a</t>
        </is>
      </c>
      <c r="D4148" t="n">
        <v>55.67256</v>
      </c>
      <c r="E4148" t="n">
        <v>37.60066</v>
      </c>
      <c r="F4148" t="inlineStr"/>
      <c r="G4148" t="inlineStr"/>
      <c r="H4148" t="inlineStr"/>
    </row>
    <row r="4149">
      <c r="A4149" t="inlineStr">
        <is>
          <t>79468734-f3e0-49c0-93d3-c7040c8d39e5.jpg</t>
        </is>
      </c>
      <c r="B4149">
        <f>HYPERLINK("Объекты недвижимости, не соответствующие градостроительным нормам_00-022_Август/79468734-f3e0-49c0-93d3-c7040c8d39e5.jpg","open")</f>
        <v/>
      </c>
      <c r="C4149" t="inlineStr">
        <is>
          <t>1a55986c-2c3f-40c0-b3d1-014dce77832e</t>
        </is>
      </c>
      <c r="D4149" t="n">
        <v>55.78833</v>
      </c>
      <c r="E4149" t="n">
        <v>37.48448</v>
      </c>
      <c r="F4149" t="inlineStr"/>
      <c r="G4149" t="inlineStr"/>
      <c r="H4149" t="inlineStr"/>
    </row>
    <row r="4150">
      <c r="A4150" t="inlineStr">
        <is>
          <t>c9bff5ee-f9a8-4638-b948-c457949bca0a.jpg</t>
        </is>
      </c>
      <c r="B4150">
        <f>HYPERLINK("Объекты недвижимости, не соответствующие градостроительным нормам_00-022_Август/c9bff5ee-f9a8-4638-b948-c457949bca0a.jpg","open")</f>
        <v/>
      </c>
      <c r="C4150" t="inlineStr">
        <is>
          <t>ed2bf0f1-3a66-4913-896e-4420a9796c0b</t>
        </is>
      </c>
      <c r="D4150" t="n">
        <v>55.78835</v>
      </c>
      <c r="E4150" t="n">
        <v>37.48437</v>
      </c>
      <c r="F4150" t="inlineStr"/>
      <c r="G4150" t="inlineStr"/>
      <c r="H4150" t="inlineStr"/>
    </row>
    <row r="4151">
      <c r="A4151" t="inlineStr">
        <is>
          <t>5b05631b-55e3-4a42-9574-c0686321e21e.jpg</t>
        </is>
      </c>
      <c r="B4151">
        <f>HYPERLINK("Объекты недвижимости, не соответствующие градостроительным нормам_00-022_Август/5b05631b-55e3-4a42-9574-c0686321e21e.jpg","open")</f>
        <v/>
      </c>
      <c r="C4151" t="inlineStr">
        <is>
          <t>caa4772d-6278-4484-a046-ee25514bf521</t>
        </is>
      </c>
      <c r="D4151" t="n">
        <v>55.71017</v>
      </c>
      <c r="E4151" t="n">
        <v>37.66466</v>
      </c>
      <c r="F4151" t="inlineStr"/>
      <c r="G4151" t="inlineStr"/>
      <c r="H4151" t="inlineStr"/>
    </row>
    <row r="4152">
      <c r="A4152" t="inlineStr">
        <is>
          <t>4fffbe4d-189b-4d19-b110-cf7247361bf1.jpg</t>
        </is>
      </c>
      <c r="B4152">
        <f>HYPERLINK("Объекты недвижимости, не соответствующие градостроительным нормам_00-022_Август/4fffbe4d-189b-4d19-b110-cf7247361bf1.jpg","open")</f>
        <v/>
      </c>
      <c r="C4152" t="inlineStr">
        <is>
          <t>ed2bf0f1-3a66-4913-896e-4420a9796c0b</t>
        </is>
      </c>
      <c r="D4152" t="n">
        <v>55.78888</v>
      </c>
      <c r="E4152" t="n">
        <v>37.47379</v>
      </c>
      <c r="F4152" t="inlineStr"/>
      <c r="G4152" t="inlineStr"/>
      <c r="H4152" t="inlineStr"/>
    </row>
    <row r="4153">
      <c r="A4153" t="inlineStr">
        <is>
          <t>959e4eb7-fe70-493b-a40d-7347fd6e2f4a.jpg</t>
        </is>
      </c>
      <c r="B4153">
        <f>HYPERLINK("Объекты недвижимости, не соответствующие градостроительным нормам_00-022_Август/959e4eb7-fe70-493b-a40d-7347fd6e2f4a.jpg","open")</f>
        <v/>
      </c>
      <c r="C4153" t="inlineStr">
        <is>
          <t>8cde1fd0-eca1-4510-86ab-3c743b65fdfc</t>
        </is>
      </c>
      <c r="D4153" t="n">
        <v>55.67707</v>
      </c>
      <c r="E4153" t="n">
        <v>37.52961</v>
      </c>
      <c r="F4153" t="inlineStr"/>
      <c r="G4153" t="inlineStr"/>
      <c r="H4153" t="inlineStr"/>
    </row>
    <row r="4154">
      <c r="A4154" t="inlineStr">
        <is>
          <t>c000e907-b217-44de-abb5-4db166fda017.jpg</t>
        </is>
      </c>
      <c r="B4154">
        <f>HYPERLINK("Объекты недвижимости, не соответствующие градостроительным нормам_00-022_Август/c000e907-b217-44de-abb5-4db166fda017.jpg","open")</f>
        <v/>
      </c>
      <c r="C4154" t="inlineStr">
        <is>
          <t>4cd87d14-7440-44b7-a5b2-a738e10006f7</t>
        </is>
      </c>
      <c r="D4154" t="n">
        <v>55.78473</v>
      </c>
      <c r="E4154" t="n">
        <v>37.68075</v>
      </c>
      <c r="F4154" t="inlineStr"/>
      <c r="G4154" t="inlineStr"/>
      <c r="H4154" t="inlineStr"/>
    </row>
    <row r="4155">
      <c r="A4155" t="inlineStr">
        <is>
          <t>97e405df-90aa-4101-b1bf-ed9d4e52d046.jpg</t>
        </is>
      </c>
      <c r="B4155">
        <f>HYPERLINK("Объекты недвижимости, не соответствующие градостроительным нормам_00-022_Август/97e405df-90aa-4101-b1bf-ed9d4e52d046.jpg","open")</f>
        <v/>
      </c>
      <c r="C4155" t="inlineStr">
        <is>
          <t>6e2567a0-1fb9-40d5-a0e7-0adb480d2965</t>
        </is>
      </c>
      <c r="D4155" t="n">
        <v>55.78251</v>
      </c>
      <c r="E4155" t="n">
        <v>37.66812</v>
      </c>
      <c r="F4155" t="inlineStr"/>
      <c r="G4155" t="inlineStr"/>
      <c r="H4155" t="inlineStr"/>
    </row>
    <row r="4156">
      <c r="A4156" t="inlineStr">
        <is>
          <t>a8d09376-c941-434d-9576-ba8e90733727.jpg</t>
        </is>
      </c>
      <c r="B4156">
        <f>HYPERLINK("Объекты недвижимости, не соответствующие градостроительным нормам_00-022_Август/a8d09376-c941-434d-9576-ba8e90733727.jpg","open")</f>
        <v/>
      </c>
      <c r="C4156" t="inlineStr">
        <is>
          <t>1a55986c-2c3f-40c0-b3d1-014dce77832e</t>
        </is>
      </c>
      <c r="D4156" t="n">
        <v>55.77922</v>
      </c>
      <c r="E4156" t="n">
        <v>37.45446</v>
      </c>
      <c r="F4156" t="inlineStr"/>
      <c r="G4156" t="inlineStr"/>
      <c r="H4156" t="inlineStr"/>
    </row>
    <row r="4157">
      <c r="A4157" t="inlineStr">
        <is>
          <t>775bd11b-11f2-456b-9db9-d5e0a41de21a.jpg</t>
        </is>
      </c>
      <c r="B4157">
        <f>HYPERLINK("Объекты недвижимости, не соответствующие градостроительным нормам_00-022_Август/775bd11b-11f2-456b-9db9-d5e0a41de21a.jpg","open")</f>
        <v/>
      </c>
      <c r="C4157" t="inlineStr">
        <is>
          <t>99f3abba-c55b-49f0-9de5-9f88e9597cc0</t>
        </is>
      </c>
      <c r="D4157" t="n">
        <v>55.62823</v>
      </c>
      <c r="E4157" t="n">
        <v>37.60029</v>
      </c>
      <c r="F4157" t="inlineStr"/>
      <c r="G4157" t="inlineStr"/>
      <c r="H4157" t="inlineStr"/>
    </row>
    <row r="4158">
      <c r="A4158" t="inlineStr">
        <is>
          <t>1ff749ab-b95b-4b3f-931a-5a816e64170c.jpg</t>
        </is>
      </c>
      <c r="B4158">
        <f>HYPERLINK("Объекты недвижимости, не соответствующие градостроительным нормам_00-022_Август/1ff749ab-b95b-4b3f-931a-5a816e64170c.jpg","open")</f>
        <v/>
      </c>
      <c r="C4158" t="inlineStr">
        <is>
          <t>030e8755-17c1-44eb-9530-707d0d3121cb</t>
        </is>
      </c>
      <c r="D4158" t="n">
        <v>55.57726</v>
      </c>
      <c r="E4158" t="n">
        <v>37.65644</v>
      </c>
      <c r="F4158" t="inlineStr"/>
      <c r="G4158" t="inlineStr"/>
      <c r="H4158" t="inlineStr"/>
    </row>
    <row r="4159">
      <c r="A4159" t="inlineStr">
        <is>
          <t>d98e5aef-4ccc-4c95-9ced-c648e8ee032d.jpg</t>
        </is>
      </c>
      <c r="B4159">
        <f>HYPERLINK("Объекты недвижимости, не соответствующие градостроительным нормам_00-022_Август/d98e5aef-4ccc-4c95-9ced-c648e8ee032d.jpg","open")</f>
        <v/>
      </c>
      <c r="C4159" t="inlineStr">
        <is>
          <t>caa4772d-6278-4484-a046-ee25514bf521</t>
        </is>
      </c>
      <c r="D4159" t="n">
        <v>55.71375</v>
      </c>
      <c r="E4159" t="n">
        <v>37.66035</v>
      </c>
      <c r="F4159" t="inlineStr"/>
      <c r="G4159" t="inlineStr"/>
      <c r="H4159" t="inlineStr"/>
    </row>
    <row r="4160">
      <c r="A4160" t="inlineStr">
        <is>
          <t>8e8806d6-6a17-40f2-9579-282a1d449de3.jpg</t>
        </is>
      </c>
      <c r="B4160">
        <f>HYPERLINK("Объекты недвижимости, не соответствующие градостроительным нормам_00-022_Август/8e8806d6-6a17-40f2-9579-282a1d449de3.jpg","open")</f>
        <v/>
      </c>
      <c r="C4160" t="inlineStr">
        <is>
          <t>99f3abba-c55b-49f0-9de5-9f88e9597cc0</t>
        </is>
      </c>
      <c r="D4160" t="n">
        <v>55.6283</v>
      </c>
      <c r="E4160" t="n">
        <v>37.60019</v>
      </c>
      <c r="F4160" t="inlineStr"/>
      <c r="G4160" t="inlineStr"/>
      <c r="H4160" t="inlineStr"/>
    </row>
    <row r="4161">
      <c r="A4161" t="inlineStr">
        <is>
          <t>cbaf5b15-e633-470a-9724-193149341489.jpg</t>
        </is>
      </c>
      <c r="B4161">
        <f>HYPERLINK("Объекты недвижимости, не соответствующие градостроительным нормам_00-022_Август/cbaf5b15-e633-470a-9724-193149341489.jpg","open")</f>
        <v/>
      </c>
      <c r="C4161" t="inlineStr">
        <is>
          <t>6e2567a0-1fb9-40d5-a0e7-0adb480d2965</t>
        </is>
      </c>
      <c r="D4161" t="n">
        <v>55.77701</v>
      </c>
      <c r="E4161" t="n">
        <v>37.68035</v>
      </c>
      <c r="F4161" t="inlineStr"/>
      <c r="G4161" t="inlineStr"/>
      <c r="H4161" t="inlineStr"/>
    </row>
    <row r="4162">
      <c r="A4162" t="inlineStr">
        <is>
          <t>9e4b0c42-da63-46a9-95e1-5359f7159a88.jpg</t>
        </is>
      </c>
      <c r="B4162">
        <f>HYPERLINK("Объекты недвижимости, не соответствующие градостроительным нормам_00-022_Август/9e4b0c42-da63-46a9-95e1-5359f7159a88.jpg","open")</f>
        <v/>
      </c>
      <c r="C4162" t="inlineStr">
        <is>
          <t>f389b777-2837-46f0-983f-56af24850601</t>
        </is>
      </c>
      <c r="D4162" t="n">
        <v>55.72825</v>
      </c>
      <c r="E4162" t="n">
        <v>37.5835</v>
      </c>
      <c r="F4162" t="inlineStr"/>
      <c r="G4162" t="inlineStr"/>
      <c r="H4162" t="inlineStr"/>
    </row>
    <row r="4163">
      <c r="A4163" t="inlineStr">
        <is>
          <t>69a44f47-b497-469a-a556-98fcc4f473bf.jpg</t>
        </is>
      </c>
      <c r="B4163">
        <f>HYPERLINK("Объекты недвижимости, не соответствующие градостроительным нормам_00-022_Август/69a44f47-b497-469a-a556-98fcc4f473bf.jpg","open")</f>
        <v/>
      </c>
      <c r="C4163" t="inlineStr">
        <is>
          <t>cbf95b01-f708-45a3-9ec0-3603469b538e</t>
        </is>
      </c>
      <c r="D4163" t="n">
        <v>55.69157</v>
      </c>
      <c r="E4163" t="n">
        <v>37.75986</v>
      </c>
      <c r="F4163" t="inlineStr"/>
      <c r="G4163" t="inlineStr"/>
      <c r="H4163" t="inlineStr"/>
    </row>
    <row r="4164">
      <c r="A4164" t="inlineStr">
        <is>
          <t>284f5d5b-c94c-496a-8702-baefb778371f.jpg</t>
        </is>
      </c>
      <c r="B4164">
        <f>HYPERLINK("Объекты недвижимости, не соответствующие градостроительным нормам_00-022_Август/284f5d5b-c94c-496a-8702-baefb778371f.jpg","open")</f>
        <v/>
      </c>
      <c r="C4164" t="inlineStr">
        <is>
          <t>e26f5fc2-1353-4f29-85f3-87c56419161c</t>
        </is>
      </c>
      <c r="D4164" t="n">
        <v>55.78262</v>
      </c>
      <c r="E4164" t="n">
        <v>37.66806</v>
      </c>
      <c r="F4164" t="inlineStr"/>
      <c r="G4164" t="inlineStr"/>
      <c r="H4164" t="inlineStr"/>
    </row>
    <row r="4165">
      <c r="A4165" t="inlineStr">
        <is>
          <t>892dd187-f6f2-4303-b3a6-1a0729abced6.jpg</t>
        </is>
      </c>
      <c r="B4165">
        <f>HYPERLINK("Объекты недвижимости, не соответствующие градостроительным нормам_00-022_Август/892dd187-f6f2-4303-b3a6-1a0729abced6.jpg","open")</f>
        <v/>
      </c>
      <c r="C4165" t="inlineStr">
        <is>
          <t>57812597-37e6-414c-8b11-8c661dbfeb70</t>
        </is>
      </c>
      <c r="D4165" t="n">
        <v>55.73755</v>
      </c>
      <c r="E4165" t="n">
        <v>37.59517</v>
      </c>
      <c r="F4165" t="inlineStr"/>
      <c r="G4165" t="inlineStr"/>
      <c r="H4165" t="inlineStr"/>
    </row>
    <row r="4166">
      <c r="A4166" t="inlineStr">
        <is>
          <t>fef23c5c-6d46-4087-998f-765b942a9773.jpg</t>
        </is>
      </c>
      <c r="B4166">
        <f>HYPERLINK("Объекты недвижимости, не соответствующие градостроительным нормам_00-022_Август/fef23c5c-6d46-4087-998f-765b942a9773.jpg","open")</f>
        <v/>
      </c>
      <c r="C4166" t="inlineStr">
        <is>
          <t>ed2bf0f1-3a66-4913-896e-4420a9796c0b</t>
        </is>
      </c>
      <c r="D4166" t="n">
        <v>55.78413</v>
      </c>
      <c r="E4166" t="n">
        <v>37.44836</v>
      </c>
      <c r="F4166" t="inlineStr"/>
      <c r="G4166" t="inlineStr"/>
      <c r="H4166" t="inlineStr"/>
    </row>
    <row r="4167">
      <c r="A4167" t="inlineStr">
        <is>
          <t>9d1672cf-9869-4816-8d46-0f59746a5457.jpg</t>
        </is>
      </c>
      <c r="B4167">
        <f>HYPERLINK("Объекты недвижимости, не соответствующие градостроительным нормам_00-022_Август/9d1672cf-9869-4816-8d46-0f59746a5457.jpg","open")</f>
        <v/>
      </c>
      <c r="C4167" t="inlineStr">
        <is>
          <t>1a55986c-2c3f-40c0-b3d1-014dce77832e</t>
        </is>
      </c>
      <c r="D4167" t="n">
        <v>55.78032</v>
      </c>
      <c r="E4167" t="n">
        <v>37.44868</v>
      </c>
      <c r="F4167" t="inlineStr"/>
      <c r="G4167" t="inlineStr"/>
      <c r="H4167" t="inlineStr"/>
    </row>
    <row r="4168">
      <c r="A4168" t="inlineStr">
        <is>
          <t>08719321-074b-4c93-bc14-50eb4098a15b.jpg</t>
        </is>
      </c>
      <c r="B4168">
        <f>HYPERLINK("Объекты недвижимости, не соответствующие градостроительным нормам_00-022_Август/08719321-074b-4c93-bc14-50eb4098a15b.jpg","open")</f>
        <v/>
      </c>
      <c r="C4168" t="inlineStr">
        <is>
          <t>1a55986c-2c3f-40c0-b3d1-014dce77832e</t>
        </is>
      </c>
      <c r="D4168" t="n">
        <v>55.77952</v>
      </c>
      <c r="E4168" t="n">
        <v>37.44981</v>
      </c>
      <c r="F4168" t="inlineStr"/>
      <c r="G4168" t="inlineStr"/>
      <c r="H4168" t="inlineStr"/>
    </row>
    <row r="4169">
      <c r="A4169" t="inlineStr">
        <is>
          <t>978473ae-c9b5-4280-9105-18e6d0c2dfd1.jpg</t>
        </is>
      </c>
      <c r="B4169">
        <f>HYPERLINK("Объекты недвижимости, не соответствующие градостроительным нормам_00-022_Август/978473ae-c9b5-4280-9105-18e6d0c2dfd1.jpg","open")</f>
        <v/>
      </c>
      <c r="C4169" t="inlineStr">
        <is>
          <t>99f3abba-c55b-49f0-9de5-9f88e9597cc0</t>
        </is>
      </c>
      <c r="D4169" t="n">
        <v>55.62826</v>
      </c>
      <c r="E4169" t="n">
        <v>37.60038</v>
      </c>
      <c r="F4169" t="inlineStr"/>
      <c r="G4169" t="inlineStr"/>
      <c r="H4169" t="inlineStr"/>
    </row>
    <row r="4170">
      <c r="A4170" t="inlineStr">
        <is>
          <t>4c707933-d231-4b4b-9bf0-e502f2950d62.jpg</t>
        </is>
      </c>
      <c r="B4170">
        <f>HYPERLINK("Объекты недвижимости, не соответствующие градостроительным нормам_00-022_Август/4c707933-d231-4b4b-9bf0-e502f2950d62.jpg","open")</f>
        <v/>
      </c>
      <c r="C4170" t="inlineStr">
        <is>
          <t>b0429a31-0c70-4b9f-8ea5-73929d82f89e</t>
        </is>
      </c>
      <c r="D4170" t="n">
        <v>55.62866</v>
      </c>
      <c r="E4170" t="n">
        <v>37.60075</v>
      </c>
      <c r="F4170" t="inlineStr"/>
      <c r="G4170" t="inlineStr"/>
      <c r="H4170" t="inlineStr"/>
    </row>
    <row r="4171">
      <c r="A4171" t="inlineStr">
        <is>
          <t>574d6306-635e-43bc-ba44-911a4d4ed85e.jpg</t>
        </is>
      </c>
      <c r="B4171">
        <f>HYPERLINK("Объекты недвижимости, не соответствующие градостроительным нормам_00-022_Август/574d6306-635e-43bc-ba44-911a4d4ed85e.jpg","open")</f>
        <v/>
      </c>
      <c r="C4171" t="inlineStr">
        <is>
          <t>8cde1fd0-eca1-4510-86ab-3c743b65fdfc</t>
        </is>
      </c>
      <c r="D4171" t="n">
        <v>55.68105</v>
      </c>
      <c r="E4171" t="n">
        <v>37.53651</v>
      </c>
      <c r="F4171" t="inlineStr"/>
      <c r="G4171" t="inlineStr"/>
      <c r="H4171" t="inlineStr"/>
    </row>
    <row r="4172">
      <c r="A4172" t="inlineStr">
        <is>
          <t>6ac1772b-dd68-4e3e-83f1-2acbeb9147e2.jpg</t>
        </is>
      </c>
      <c r="B4172">
        <f>HYPERLINK("Объекты недвижимости, не соответствующие градостроительным нормам_00-022_Август/6ac1772b-dd68-4e3e-83f1-2acbeb9147e2.jpg","open")</f>
        <v/>
      </c>
      <c r="C4172" t="inlineStr">
        <is>
          <t>1231bbc5-e64c-4dc7-9acc-77710f47607a</t>
        </is>
      </c>
      <c r="D4172" t="n">
        <v>55.6701</v>
      </c>
      <c r="E4172" t="n">
        <v>37.59298</v>
      </c>
      <c r="F4172" t="inlineStr"/>
      <c r="G4172" t="inlineStr"/>
      <c r="H4172" t="inlineStr"/>
    </row>
    <row r="4173">
      <c r="A4173" t="inlineStr">
        <is>
          <t>e9853826-f29f-4154-b0c4-212978bbadea.jpg</t>
        </is>
      </c>
      <c r="B4173">
        <f>HYPERLINK("Объекты недвижимости, не соответствующие градостроительным нормам_00-022_Август/e9853826-f29f-4154-b0c4-212978bbadea.jpg","open")</f>
        <v/>
      </c>
      <c r="C4173" t="inlineStr">
        <is>
          <t>685d9054-b74f-49ab-857b-109fd2cec80d</t>
        </is>
      </c>
      <c r="D4173" t="n">
        <v>55.67008</v>
      </c>
      <c r="E4173" t="n">
        <v>37.59295</v>
      </c>
      <c r="F4173" t="inlineStr"/>
      <c r="G4173" t="inlineStr"/>
      <c r="H4173" t="inlineStr"/>
    </row>
    <row r="4174">
      <c r="A4174" t="inlineStr">
        <is>
          <t>3a3eeac2-73f0-411d-b8bc-dd568637b785.jpg</t>
        </is>
      </c>
      <c r="B4174">
        <f>HYPERLINK("Объекты недвижимости, не соответствующие градостроительным нормам_00-022_Август/3a3eeac2-73f0-411d-b8bc-dd568637b785.jpg","open")</f>
        <v/>
      </c>
      <c r="C4174" t="inlineStr">
        <is>
          <t>12e795ad-2aa7-49de-b2da-2c6aa35a4559</t>
        </is>
      </c>
      <c r="D4174" t="n">
        <v>55.65288</v>
      </c>
      <c r="E4174" t="n">
        <v>37.5715</v>
      </c>
      <c r="F4174" t="inlineStr"/>
      <c r="G4174" t="inlineStr"/>
      <c r="H4174" t="inlineStr"/>
    </row>
    <row r="4175">
      <c r="A4175" t="inlineStr">
        <is>
          <t>aa9c2bd5-aa43-49df-8309-b90c3db0e8db.jpg</t>
        </is>
      </c>
      <c r="B4175">
        <f>HYPERLINK("Объекты недвижимости, не соответствующие градостроительным нормам_00-022_Август/aa9c2bd5-aa43-49df-8309-b90c3db0e8db.jpg","open")</f>
        <v/>
      </c>
      <c r="C4175" t="inlineStr">
        <is>
          <t>030e8755-17c1-44eb-9530-707d0d3121cb</t>
        </is>
      </c>
      <c r="D4175" t="n">
        <v>55.57891</v>
      </c>
      <c r="E4175" t="n">
        <v>37.6535</v>
      </c>
      <c r="F4175" t="inlineStr"/>
      <c r="G4175" t="inlineStr"/>
      <c r="H4175" t="inlineStr"/>
    </row>
    <row r="4176">
      <c r="A4176" t="inlineStr">
        <is>
          <t>5f0c2c27-5071-4a64-ad83-6d79a6274b51.jpg</t>
        </is>
      </c>
      <c r="B4176">
        <f>HYPERLINK("Объекты недвижимости, не соответствующие градостроительным нормам_00-022_Август/5f0c2c27-5071-4a64-ad83-6d79a6274b51.jpg","open")</f>
        <v/>
      </c>
      <c r="C4176" t="inlineStr">
        <is>
          <t>936502dd-24a4-4256-9fdf-0d8fb72af3ed</t>
        </is>
      </c>
      <c r="D4176" t="n">
        <v>55.57888</v>
      </c>
      <c r="E4176" t="n">
        <v>37.65348</v>
      </c>
      <c r="F4176" t="inlineStr"/>
      <c r="G4176" t="inlineStr"/>
      <c r="H4176" t="inlineStr"/>
    </row>
    <row r="4177">
      <c r="A4177" t="inlineStr">
        <is>
          <t>ff4a61b2-5169-4c08-8006-c9d4130f897c.jpg</t>
        </is>
      </c>
      <c r="B4177">
        <f>HYPERLINK("Объекты недвижимости, не соответствующие градостроительным нормам_00-022_Август/ff4a61b2-5169-4c08-8006-c9d4130f897c.jpg","open")</f>
        <v/>
      </c>
      <c r="C4177" t="inlineStr">
        <is>
          <t>8cde1fd0-eca1-4510-86ab-3c743b65fdfc</t>
        </is>
      </c>
      <c r="D4177" t="n">
        <v>55.68274</v>
      </c>
      <c r="E4177" t="n">
        <v>37.54329</v>
      </c>
      <c r="F4177" t="inlineStr"/>
      <c r="G4177" t="inlineStr"/>
      <c r="H4177" t="inlineStr"/>
    </row>
    <row r="4178">
      <c r="A4178" t="inlineStr">
        <is>
          <t>412ac01a-a611-47d3-865b-45efa2dfd909.jpg</t>
        </is>
      </c>
      <c r="B4178">
        <f>HYPERLINK("Объекты недвижимости, не соответствующие градостроительным нормам_00-022_Август/412ac01a-a611-47d3-865b-45efa2dfd909.jpg","open")</f>
        <v/>
      </c>
      <c r="C4178" t="inlineStr">
        <is>
          <t>685d9054-b74f-49ab-857b-109fd2cec80d</t>
        </is>
      </c>
      <c r="D4178" t="n">
        <v>55.66921</v>
      </c>
      <c r="E4178" t="n">
        <v>37.59283</v>
      </c>
      <c r="F4178" t="inlineStr"/>
      <c r="G4178" t="inlineStr"/>
      <c r="H4178" t="inlineStr"/>
    </row>
    <row r="4179">
      <c r="A4179" t="inlineStr">
        <is>
          <t>01b1f314-56d5-4bdd-928a-b2b543e3200f.jpg</t>
        </is>
      </c>
      <c r="B4179">
        <f>HYPERLINK("Объекты недвижимости, не соответствующие градостроительным нормам_00-022_Август/01b1f314-56d5-4bdd-928a-b2b543e3200f.jpg","open")</f>
        <v/>
      </c>
      <c r="C4179" t="inlineStr">
        <is>
          <t>12e795ad-2aa7-49de-b2da-2c6aa35a4559</t>
        </is>
      </c>
      <c r="D4179" t="n">
        <v>55.64913</v>
      </c>
      <c r="E4179" t="n">
        <v>37.57237</v>
      </c>
      <c r="F4179" t="inlineStr"/>
      <c r="G4179" t="inlineStr"/>
      <c r="H4179" t="inlineStr"/>
    </row>
    <row r="4180">
      <c r="A4180" t="inlineStr">
        <is>
          <t>ba84ba9d-73cb-43fe-861b-8b17e9725da8.jpg</t>
        </is>
      </c>
      <c r="B4180">
        <f>HYPERLINK("Объекты недвижимости, не соответствующие градостроительным нормам_00-022_Август/ba84ba9d-73cb-43fe-861b-8b17e9725da8.jpg","open")</f>
        <v/>
      </c>
      <c r="C4180" t="inlineStr">
        <is>
          <t>12e795ad-2aa7-49de-b2da-2c6aa35a4559</t>
        </is>
      </c>
      <c r="D4180" t="n">
        <v>55.64913</v>
      </c>
      <c r="E4180" t="n">
        <v>37.57237</v>
      </c>
      <c r="F4180" t="inlineStr"/>
      <c r="G4180" t="inlineStr"/>
      <c r="H4180" t="inlineStr"/>
    </row>
    <row r="4181">
      <c r="A4181" t="inlineStr">
        <is>
          <t>0e66023d-123a-4f43-86c0-d08282ce3500.jpg</t>
        </is>
      </c>
      <c r="B4181">
        <f>HYPERLINK("Объекты недвижимости, не соответствующие градостроительным нормам_00-022_Август/0e66023d-123a-4f43-86c0-d08282ce3500.jpg","open")</f>
        <v/>
      </c>
      <c r="C4181" t="inlineStr">
        <is>
          <t>12e795ad-2aa7-49de-b2da-2c6aa35a4559</t>
        </is>
      </c>
      <c r="D4181" t="n">
        <v>55.64913</v>
      </c>
      <c r="E4181" t="n">
        <v>37.57237</v>
      </c>
      <c r="F4181" t="inlineStr"/>
      <c r="G4181" t="inlineStr"/>
      <c r="H4181" t="inlineStr"/>
    </row>
    <row r="4182">
      <c r="A4182" t="inlineStr">
        <is>
          <t>e622f88a-2027-498d-8bea-1a848448e183.jpg</t>
        </is>
      </c>
      <c r="B4182">
        <f>HYPERLINK("Объекты недвижимости, не соответствующие градостроительным нормам_00-022_Август/e622f88a-2027-498d-8bea-1a848448e183.jpg","open")</f>
        <v/>
      </c>
      <c r="C4182" t="inlineStr">
        <is>
          <t>e26f5fc2-1353-4f29-85f3-87c56419161c</t>
        </is>
      </c>
      <c r="D4182" t="n">
        <v>55.74998</v>
      </c>
      <c r="E4182" t="n">
        <v>37.65772</v>
      </c>
      <c r="F4182" t="inlineStr"/>
      <c r="G4182" t="inlineStr"/>
      <c r="H4182" t="inlineStr"/>
    </row>
    <row r="4183">
      <c r="A4183" t="inlineStr">
        <is>
          <t>0e0ce883-7de4-4dfc-9008-aecaf07729e8.jpg</t>
        </is>
      </c>
      <c r="B4183">
        <f>HYPERLINK("Объекты недвижимости, не соответствующие градостроительным нормам_00-022_Август/0e0ce883-7de4-4dfc-9008-aecaf07729e8.jpg","open")</f>
        <v/>
      </c>
      <c r="C4183" t="inlineStr">
        <is>
          <t>31a713a9-b910-424b-b847-e0eaa2f70c70</t>
        </is>
      </c>
      <c r="D4183" t="n">
        <v>55.7793</v>
      </c>
      <c r="E4183" t="n">
        <v>37.66957</v>
      </c>
      <c r="F4183" t="inlineStr"/>
      <c r="G4183" t="inlineStr"/>
      <c r="H4183" t="inlineStr"/>
    </row>
    <row r="4184">
      <c r="A4184" t="inlineStr">
        <is>
          <t>f3d4da41-3a03-4488-b94d-828486dec56e.jpg</t>
        </is>
      </c>
      <c r="B4184">
        <f>HYPERLINK("Объекты недвижимости, не соответствующие градостроительным нормам_00-022_Август/f3d4da41-3a03-4488-b94d-828486dec56e.jpg","open")</f>
        <v/>
      </c>
      <c r="C4184" t="inlineStr">
        <is>
          <t>1a55986c-2c3f-40c0-b3d1-014dce77832e</t>
        </is>
      </c>
      <c r="D4184" t="n">
        <v>55.77319</v>
      </c>
      <c r="E4184" t="n">
        <v>37.4708</v>
      </c>
      <c r="F4184" t="inlineStr"/>
      <c r="G4184" t="inlineStr"/>
      <c r="H4184" t="inlineStr"/>
    </row>
    <row r="4185">
      <c r="A4185" t="inlineStr">
        <is>
          <t>1ddb7b1a-530a-418d-a010-3169e8826d13.jpg</t>
        </is>
      </c>
      <c r="B4185">
        <f>HYPERLINK("Объекты недвижимости, не соответствующие градостроительным нормам_00-022_Август/1ddb7b1a-530a-418d-a010-3169e8826d13.jpg","open")</f>
        <v/>
      </c>
      <c r="C4185" t="inlineStr">
        <is>
          <t>ed2bf0f1-3a66-4913-896e-4420a9796c0b</t>
        </is>
      </c>
      <c r="D4185" t="n">
        <v>55.7732</v>
      </c>
      <c r="E4185" t="n">
        <v>37.47079</v>
      </c>
      <c r="F4185" t="inlineStr"/>
      <c r="G4185" t="inlineStr"/>
      <c r="H4185" t="inlineStr"/>
    </row>
    <row r="4186">
      <c r="A4186" t="inlineStr">
        <is>
          <t>50119320-6bc3-4e57-a00a-82e1b6c40872.jpg</t>
        </is>
      </c>
      <c r="B4186">
        <f>HYPERLINK("Объекты недвижимости, не соответствующие градостроительным нормам_00-022_Август/50119320-6bc3-4e57-a00a-82e1b6c40872.jpg","open")</f>
        <v/>
      </c>
      <c r="C4186" t="inlineStr">
        <is>
          <t>750bf7e4-0f0f-4f1a-96af-607dc8c1f1c9</t>
        </is>
      </c>
      <c r="D4186" t="n">
        <v>55.77854</v>
      </c>
      <c r="E4186" t="n">
        <v>37.66798</v>
      </c>
      <c r="F4186" t="inlineStr"/>
      <c r="G4186" t="inlineStr"/>
      <c r="H4186" t="inlineStr"/>
    </row>
    <row r="4187">
      <c r="A4187" t="inlineStr">
        <is>
          <t>3d95696a-d2aa-473b-86a8-2b10d1ae461a.jpg</t>
        </is>
      </c>
      <c r="B4187">
        <f>HYPERLINK("Объекты недвижимости, не соответствующие градостроительным нормам_00-022_Август/3d95696a-d2aa-473b-86a8-2b10d1ae461a.jpg","open")</f>
        <v/>
      </c>
      <c r="C4187" t="inlineStr">
        <is>
          <t>cbf95b01-f708-45a3-9ec0-3603469b538e</t>
        </is>
      </c>
      <c r="D4187" t="n">
        <v>54.78216</v>
      </c>
      <c r="E4187" t="n">
        <v>38.10345</v>
      </c>
      <c r="F4187" t="inlineStr"/>
      <c r="G4187" t="inlineStr"/>
      <c r="H4187" t="inlineStr"/>
    </row>
    <row r="4188">
      <c r="A4188" t="inlineStr">
        <is>
          <t>5151ebcd-c2fc-4372-9700-f8cd1413d8da.jpg</t>
        </is>
      </c>
      <c r="B4188">
        <f>HYPERLINK("Объекты недвижимости, не соответствующие градостроительным нормам_00-022_Август/5151ebcd-c2fc-4372-9700-f8cd1413d8da.jpg","open")</f>
        <v/>
      </c>
      <c r="C4188" t="inlineStr">
        <is>
          <t>31a713a9-b910-424b-b847-e0eaa2f70c70</t>
        </is>
      </c>
      <c r="D4188" t="n">
        <v>55.77851</v>
      </c>
      <c r="E4188" t="n">
        <v>37.66794</v>
      </c>
      <c r="F4188" t="inlineStr"/>
      <c r="G4188" t="inlineStr"/>
      <c r="H4188" t="inlineStr"/>
    </row>
    <row r="4189">
      <c r="A4189" t="inlineStr">
        <is>
          <t>eead6ff1-756d-4ac6-af05-b4417f2edf47.jpg</t>
        </is>
      </c>
      <c r="B4189">
        <f>HYPERLINK("Объекты недвижимости, не соответствующие градостроительным нормам_00-022_Август/eead6ff1-756d-4ac6-af05-b4417f2edf47.jpg","open")</f>
        <v/>
      </c>
      <c r="C4189" t="inlineStr">
        <is>
          <t>e26f5fc2-1353-4f29-85f3-87c56419161c</t>
        </is>
      </c>
      <c r="D4189" t="n">
        <v>55.74998</v>
      </c>
      <c r="E4189" t="n">
        <v>37.65772</v>
      </c>
      <c r="F4189" t="inlineStr"/>
      <c r="G4189" t="inlineStr"/>
      <c r="H4189" t="inlineStr"/>
    </row>
    <row r="4190">
      <c r="A4190" t="inlineStr">
        <is>
          <t>e1b39f1a-309b-4c23-8f2f-6618ecb92097.jpg</t>
        </is>
      </c>
      <c r="B4190">
        <f>HYPERLINK("Объекты недвижимости, не соответствующие градостроительным нормам_00-022_Август/e1b39f1a-309b-4c23-8f2f-6618ecb92097.jpg","open")</f>
        <v/>
      </c>
      <c r="C4190" t="inlineStr">
        <is>
          <t>750bf7e4-0f0f-4f1a-96af-607dc8c1f1c9</t>
        </is>
      </c>
      <c r="D4190" t="n">
        <v>55.7773</v>
      </c>
      <c r="E4190" t="n">
        <v>37.6693</v>
      </c>
      <c r="F4190" t="inlineStr"/>
      <c r="G4190" t="inlineStr"/>
      <c r="H4190" t="inlineStr"/>
    </row>
    <row r="4191">
      <c r="A4191" t="inlineStr">
        <is>
          <t>55f27550-c958-4044-b22e-78e3e6053ea7.jpg</t>
        </is>
      </c>
      <c r="B4191">
        <f>HYPERLINK("Объекты недвижимости, не соответствующие градостроительным нормам_00-022_Август/55f27550-c958-4044-b22e-78e3e6053ea7.jpg","open")</f>
        <v/>
      </c>
      <c r="C4191" t="inlineStr">
        <is>
          <t>31a713a9-b910-424b-b847-e0eaa2f70c70</t>
        </is>
      </c>
      <c r="D4191" t="n">
        <v>55.77851</v>
      </c>
      <c r="E4191" t="n">
        <v>37.66794</v>
      </c>
      <c r="F4191" t="inlineStr"/>
      <c r="G4191" t="inlineStr"/>
      <c r="H4191" t="inlineStr"/>
    </row>
    <row r="4192">
      <c r="A4192" t="inlineStr">
        <is>
          <t>bd26ed7d-0d04-4556-8008-99c334f36032.jpg</t>
        </is>
      </c>
      <c r="B4192">
        <f>HYPERLINK("Объекты недвижимости, не соответствующие градостроительным нормам_00-022_Август/bd26ed7d-0d04-4556-8008-99c334f36032.jpg","open")</f>
        <v/>
      </c>
      <c r="C4192" t="inlineStr">
        <is>
          <t>f60286ac-55e7-4099-85bd-cc599a7a0c65</t>
        </is>
      </c>
      <c r="D4192" t="n">
        <v>55.82661</v>
      </c>
      <c r="E4192" t="n">
        <v>37.81989</v>
      </c>
      <c r="F4192" t="inlineStr"/>
      <c r="G4192" t="inlineStr"/>
      <c r="H4192" t="inlineStr"/>
    </row>
    <row r="4193">
      <c r="A4193" t="inlineStr">
        <is>
          <t>be2ddf4a-ceb1-4627-bf3d-85a3e0fdf424.jpg</t>
        </is>
      </c>
      <c r="B4193">
        <f>HYPERLINK("Объекты недвижимости, не соответствующие градостроительным нормам_00-022_Август/be2ddf4a-ceb1-4627-bf3d-85a3e0fdf424.jpg","open")</f>
        <v/>
      </c>
      <c r="C4193" t="inlineStr">
        <is>
          <t>cbf95b01-f708-45a3-9ec0-3603469b538e</t>
        </is>
      </c>
      <c r="D4193" t="n">
        <v>55.74966</v>
      </c>
      <c r="E4193" t="n">
        <v>37.58304</v>
      </c>
      <c r="F4193" t="inlineStr"/>
      <c r="G4193" t="inlineStr"/>
      <c r="H4193" t="inlineStr"/>
    </row>
    <row r="4194">
      <c r="A4194" t="inlineStr">
        <is>
          <t>25a35f69-cf5c-48ee-a655-75cc1745300f.jpg</t>
        </is>
      </c>
      <c r="B4194">
        <f>HYPERLINK("Объекты недвижимости, не соответствующие градостроительным нормам_00-022_Август/25a35f69-cf5c-48ee-a655-75cc1745300f.jpg","open")</f>
        <v/>
      </c>
      <c r="C4194" t="inlineStr">
        <is>
          <t>cbf95b01-f708-45a3-9ec0-3603469b538e</t>
        </is>
      </c>
      <c r="D4194" t="n">
        <v>55.74976</v>
      </c>
      <c r="E4194" t="n">
        <v>37.58304</v>
      </c>
      <c r="F4194" t="inlineStr"/>
      <c r="G4194" t="inlineStr"/>
      <c r="H4194" t="inlineStr"/>
    </row>
    <row r="4195">
      <c r="A4195" t="inlineStr">
        <is>
          <t>e531fb62-3ba0-44ca-b501-1b4471bd6369.jpg</t>
        </is>
      </c>
      <c r="B4195">
        <f>HYPERLINK("Объекты недвижимости, не соответствующие градостроительным нормам_00-022_Август/e531fb62-3ba0-44ca-b501-1b4471bd6369.jpg","open")</f>
        <v/>
      </c>
      <c r="C4195" t="inlineStr">
        <is>
          <t>cbf95b01-f708-45a3-9ec0-3603469b538e</t>
        </is>
      </c>
      <c r="D4195" t="n">
        <v>55.74994</v>
      </c>
      <c r="E4195" t="n">
        <v>37.58312</v>
      </c>
      <c r="F4195" t="inlineStr"/>
      <c r="G4195" t="inlineStr"/>
      <c r="H4195" t="inlineStr"/>
    </row>
    <row r="4196">
      <c r="A4196" t="inlineStr">
        <is>
          <t>dc79307b-4f45-4161-8041-be73c4aa2936.jpg</t>
        </is>
      </c>
      <c r="B4196">
        <f>HYPERLINK("Объекты недвижимости, не соответствующие градостроительным нормам_00-022_Август/dc79307b-4f45-4161-8041-be73c4aa2936.jpg","open")</f>
        <v/>
      </c>
      <c r="C4196" t="inlineStr">
        <is>
          <t>caa4772d-6278-4484-a046-ee25514bf521</t>
        </is>
      </c>
      <c r="D4196" t="n">
        <v>55.72671</v>
      </c>
      <c r="E4196" t="n">
        <v>37.66024</v>
      </c>
      <c r="F4196" t="inlineStr"/>
      <c r="G4196" t="inlineStr"/>
      <c r="H4196" t="inlineStr"/>
    </row>
    <row r="4197">
      <c r="A4197" t="inlineStr">
        <is>
          <t>05613e5f-553d-4e34-aabc-8de8623033a9.jpg</t>
        </is>
      </c>
      <c r="B4197">
        <f>HYPERLINK("Объекты недвижимости, не соответствующие градостроительным нормам_00-022_Август/05613e5f-553d-4e34-aabc-8de8623033a9.jpg","open")</f>
        <v/>
      </c>
      <c r="C4197" t="inlineStr">
        <is>
          <t>ad64e6b9-1ed5-44d7-a101-4945a1f9dec6</t>
        </is>
      </c>
      <c r="D4197" t="n">
        <v>55.6517</v>
      </c>
      <c r="E4197" t="n">
        <v>37.57957</v>
      </c>
      <c r="F4197" t="inlineStr"/>
      <c r="G4197" t="inlineStr"/>
      <c r="H4197" t="inlineStr"/>
    </row>
    <row r="4198">
      <c r="A4198" t="inlineStr">
        <is>
          <t>f22fa594-310d-4f26-be0b-3e6de53e4fa0.jpg</t>
        </is>
      </c>
      <c r="B4198">
        <f>HYPERLINK("Объекты недвижимости, не соответствующие градостроительным нормам_00-022_Август/f22fa594-310d-4f26-be0b-3e6de53e4fa0.jpg","open")</f>
        <v/>
      </c>
      <c r="C4198" t="inlineStr">
        <is>
          <t>cbf95b01-f708-45a3-9ec0-3603469b538e</t>
        </is>
      </c>
      <c r="D4198" t="n">
        <v>55.75191</v>
      </c>
      <c r="E4198" t="n">
        <v>37.58321</v>
      </c>
      <c r="F4198" t="inlineStr"/>
      <c r="G4198" t="inlineStr"/>
      <c r="H4198" t="inlineStr"/>
    </row>
    <row r="4199">
      <c r="A4199" t="inlineStr">
        <is>
          <t>9452cc68-9055-47b0-b157-5537592d0b70.jpg</t>
        </is>
      </c>
      <c r="B4199">
        <f>HYPERLINK("Объекты недвижимости, не соответствующие градостроительным нормам_00-022_Август/9452cc68-9055-47b0-b157-5537592d0b70.jpg","open")</f>
        <v/>
      </c>
      <c r="C4199" t="inlineStr">
        <is>
          <t>cbf95b01-f708-45a3-9ec0-3603469b538e</t>
        </is>
      </c>
      <c r="D4199" t="n">
        <v>55.73765</v>
      </c>
      <c r="E4199" t="n">
        <v>37.58749</v>
      </c>
      <c r="F4199" t="inlineStr"/>
      <c r="G4199" t="inlineStr"/>
      <c r="H4199" t="inlineStr"/>
    </row>
    <row r="4200">
      <c r="A4200" t="inlineStr">
        <is>
          <t>84c5f7fa-9777-4acb-bc1a-6aacb3b82086.jpg</t>
        </is>
      </c>
      <c r="B4200">
        <f>HYPERLINK("Объекты недвижимости, не соответствующие градостроительным нормам_00-022_Август/84c5f7fa-9777-4acb-bc1a-6aacb3b82086.jpg","open")</f>
        <v/>
      </c>
      <c r="C4200" t="inlineStr">
        <is>
          <t>1231bbc5-e64c-4dc7-9acc-77710f47607a</t>
        </is>
      </c>
      <c r="D4200" t="n">
        <v>55.66647</v>
      </c>
      <c r="E4200" t="n">
        <v>37.59209</v>
      </c>
      <c r="F4200" t="inlineStr"/>
      <c r="G4200" t="inlineStr"/>
      <c r="H4200" t="inlineStr"/>
    </row>
    <row r="4201">
      <c r="A4201" t="inlineStr">
        <is>
          <t>b337bd7a-566b-4e9e-baf2-89d73e78e980.jpg</t>
        </is>
      </c>
      <c r="B4201">
        <f>HYPERLINK("Объекты недвижимости, не соответствующие градостроительным нормам_00-022_Август/b337bd7a-566b-4e9e-baf2-89d73e78e980.jpg","open")</f>
        <v/>
      </c>
      <c r="C4201" t="inlineStr">
        <is>
          <t>cbf95b01-f708-45a3-9ec0-3603469b538e</t>
        </is>
      </c>
      <c r="D4201" t="n">
        <v>55.75053</v>
      </c>
      <c r="E4201" t="n">
        <v>37.63917</v>
      </c>
      <c r="F4201" t="inlineStr"/>
      <c r="G4201" t="inlineStr"/>
      <c r="H4201" t="inlineStr"/>
    </row>
    <row r="4202">
      <c r="A4202" t="inlineStr">
        <is>
          <t>2e0ce203-1464-4c97-8332-b149aa2a17b3.jpg</t>
        </is>
      </c>
      <c r="B4202">
        <f>HYPERLINK("Объекты недвижимости, не соответствующие градостроительным нормам_00-022_Август/2e0ce203-1464-4c97-8332-b149aa2a17b3.jpg","open")</f>
        <v/>
      </c>
      <c r="C4202" t="inlineStr">
        <is>
          <t>cbf95b01-f708-45a3-9ec0-3603469b538e</t>
        </is>
      </c>
      <c r="D4202" t="n">
        <v>55.75053</v>
      </c>
      <c r="E4202" t="n">
        <v>37.63917</v>
      </c>
      <c r="F4202" t="inlineStr"/>
      <c r="G4202" t="inlineStr"/>
      <c r="H4202" t="inlineStr"/>
    </row>
    <row r="4203">
      <c r="A4203" t="inlineStr">
        <is>
          <t>f0bd8526-6ef7-4acc-8f1b-b7d85fa5e78c.jpg</t>
        </is>
      </c>
      <c r="B4203">
        <f>HYPERLINK("Объекты недвижимости, не соответствующие градостроительным нормам_00-022_Август/f0bd8526-6ef7-4acc-8f1b-b7d85fa5e78c.jpg","open")</f>
        <v/>
      </c>
      <c r="C4203" t="inlineStr">
        <is>
          <t>1a55986c-2c3f-40c0-b3d1-014dce77832e</t>
        </is>
      </c>
      <c r="D4203" t="n">
        <v>55.76767</v>
      </c>
      <c r="E4203" t="n">
        <v>37.53872</v>
      </c>
      <c r="F4203" t="inlineStr"/>
      <c r="G4203" t="inlineStr"/>
      <c r="H4203" t="inlineStr"/>
    </row>
    <row r="4204">
      <c r="A4204" t="inlineStr">
        <is>
          <t>c0c9ba4e-1e2a-4c9c-82fc-06b31d6a02d1.jpg</t>
        </is>
      </c>
      <c r="B4204">
        <f>HYPERLINK("Объекты недвижимости, не соответствующие градостроительным нормам_00-022_Август/c0c9ba4e-1e2a-4c9c-82fc-06b31d6a02d1.jpg","open")</f>
        <v/>
      </c>
      <c r="C4204" t="inlineStr">
        <is>
          <t>ed2bf0f1-3a66-4913-896e-4420a9796c0b</t>
        </is>
      </c>
      <c r="D4204" t="n">
        <v>55.76775</v>
      </c>
      <c r="E4204" t="n">
        <v>37.5388</v>
      </c>
      <c r="F4204" t="inlineStr"/>
      <c r="G4204" t="inlineStr"/>
      <c r="H4204" t="inlineStr"/>
    </row>
    <row r="4205">
      <c r="A4205" t="inlineStr">
        <is>
          <t>02a79afc-4682-459c-9bc1-3dc795b0cd8b.jpg</t>
        </is>
      </c>
      <c r="B4205">
        <f>HYPERLINK("Объекты недвижимости, не соответствующие градостроительным нормам_00-022_Август/02a79afc-4682-459c-9bc1-3dc795b0cd8b.jpg","open")</f>
        <v/>
      </c>
      <c r="C4205" t="inlineStr">
        <is>
          <t>57812597-37e6-414c-8b11-8c661dbfeb70</t>
        </is>
      </c>
      <c r="D4205" t="n">
        <v>55.73208</v>
      </c>
      <c r="E4205" t="n">
        <v>37.67138</v>
      </c>
      <c r="F4205" t="inlineStr"/>
      <c r="G4205" t="inlineStr"/>
      <c r="H4205" t="inlineStr"/>
    </row>
    <row r="4206">
      <c r="A4206" t="inlineStr">
        <is>
          <t>fc1ecea1-273e-4cb6-9ad1-da5fada97904.jpg</t>
        </is>
      </c>
      <c r="B4206">
        <f>HYPERLINK("Объекты недвижимости, не соответствующие градостроительным нормам_00-022_Август/fc1ecea1-273e-4cb6-9ad1-da5fada97904.jpg","open")</f>
        <v/>
      </c>
      <c r="C4206" t="inlineStr">
        <is>
          <t>ed2bf0f1-3a66-4913-896e-4420a9796c0b</t>
        </is>
      </c>
      <c r="D4206" t="n">
        <v>55.78327</v>
      </c>
      <c r="E4206" t="n">
        <v>37.56277</v>
      </c>
      <c r="F4206" t="inlineStr"/>
      <c r="G4206" t="inlineStr"/>
      <c r="H4206" t="inlineStr"/>
    </row>
    <row r="4207">
      <c r="A4207" t="inlineStr">
        <is>
          <t>922e3b6a-dbe7-4713-a363-f55a83d9ac01.jpg</t>
        </is>
      </c>
      <c r="B4207">
        <f>HYPERLINK("Объекты недвижимости, не соответствующие градостроительным нормам_00-022_Август/922e3b6a-dbe7-4713-a363-f55a83d9ac01.jpg","open")</f>
        <v/>
      </c>
      <c r="C4207" t="inlineStr">
        <is>
          <t>ed2bf0f1-3a66-4913-896e-4420a9796c0b</t>
        </is>
      </c>
      <c r="D4207" t="n">
        <v>55.78322</v>
      </c>
      <c r="E4207" t="n">
        <v>37.56274</v>
      </c>
      <c r="F4207" t="inlineStr"/>
      <c r="G4207" t="inlineStr"/>
      <c r="H4207" t="inlineStr"/>
    </row>
    <row r="4208">
      <c r="A4208" t="inlineStr">
        <is>
          <t>f3d0ef3f-5680-435c-baef-1c8ac0a5023a.jpg</t>
        </is>
      </c>
      <c r="B4208">
        <f>HYPERLINK("Объекты недвижимости, не соответствующие градостроительным нормам_00-022_Август/f3d0ef3f-5680-435c-baef-1c8ac0a5023a.jpg","open")</f>
        <v/>
      </c>
      <c r="C4208" t="inlineStr">
        <is>
          <t>57812597-37e6-414c-8b11-8c661dbfeb70</t>
        </is>
      </c>
      <c r="D4208" t="n">
        <v>55.74</v>
      </c>
      <c r="E4208" t="n">
        <v>37.66028</v>
      </c>
      <c r="F4208" t="inlineStr"/>
      <c r="G4208" t="inlineStr"/>
      <c r="H4208" t="inlineStr"/>
    </row>
    <row r="4209">
      <c r="A4209" t="inlineStr">
        <is>
          <t>4b827edb-99af-45f2-ba05-5e0077862cdc.jpg</t>
        </is>
      </c>
      <c r="B4209">
        <f>HYPERLINK("Объекты недвижимости, не соответствующие градостроительным нормам_00-022_Август/4b827edb-99af-45f2-ba05-5e0077862cdc.jpg","open")</f>
        <v/>
      </c>
      <c r="C4209" t="inlineStr">
        <is>
          <t>57812597-37e6-414c-8b11-8c661dbfeb70</t>
        </is>
      </c>
      <c r="D4209" t="n">
        <v>55.74</v>
      </c>
      <c r="E4209" t="n">
        <v>37.66028</v>
      </c>
      <c r="F4209" t="inlineStr"/>
      <c r="G4209" t="inlineStr"/>
      <c r="H4209" t="inlineStr"/>
    </row>
    <row r="4210">
      <c r="A4210" t="inlineStr">
        <is>
          <t>6544b560-0f69-408a-aab0-243d3864c7d8.jpg</t>
        </is>
      </c>
      <c r="B4210">
        <f>HYPERLINK("Объекты недвижимости, не соответствующие градостроительным нормам_00-022_Август/6544b560-0f69-408a-aab0-243d3864c7d8.jpg","open")</f>
        <v/>
      </c>
      <c r="C4210" t="inlineStr">
        <is>
          <t>57aae8a4-582b-4309-8045-c8127a9f86ae</t>
        </is>
      </c>
      <c r="D4210" t="n">
        <v>55.72115</v>
      </c>
      <c r="E4210" t="n">
        <v>37.81183</v>
      </c>
      <c r="F4210" t="inlineStr"/>
      <c r="G4210" t="inlineStr"/>
      <c r="H4210" t="inlineStr"/>
    </row>
    <row r="4211">
      <c r="A4211" t="inlineStr">
        <is>
          <t>201eff83-9d25-4ae8-bb83-e2ce4263f881.jpg</t>
        </is>
      </c>
      <c r="B4211">
        <f>HYPERLINK("Объекты недвижимости, не соответствующие градостроительным нормам_00-022_Август/201eff83-9d25-4ae8-bb83-e2ce4263f881.jpg","open")</f>
        <v/>
      </c>
      <c r="C4211" t="inlineStr">
        <is>
          <t>ad64e6b9-1ed5-44d7-a101-4945a1f9dec6</t>
        </is>
      </c>
      <c r="D4211" t="n">
        <v>55.65387</v>
      </c>
      <c r="E4211" t="n">
        <v>37.57471</v>
      </c>
      <c r="F4211" t="inlineStr"/>
      <c r="G4211" t="inlineStr"/>
      <c r="H4211" t="inlineStr"/>
    </row>
    <row r="4212">
      <c r="A4212" t="inlineStr">
        <is>
          <t>4e283fce-02fa-4bb6-a94d-4e7304427089.jpg</t>
        </is>
      </c>
      <c r="B4212">
        <f>HYPERLINK("Объекты недвижимости, не соответствующие градостроительным нормам_00-022_Август/4e283fce-02fa-4bb6-a94d-4e7304427089.jpg","open")</f>
        <v/>
      </c>
      <c r="C4212" t="inlineStr">
        <is>
          <t>8cde1fd0-eca1-4510-86ab-3c743b65fdfc</t>
        </is>
      </c>
      <c r="D4212" t="n">
        <v>55.67639</v>
      </c>
      <c r="E4212" t="n">
        <v>37.5429</v>
      </c>
      <c r="F4212" t="inlineStr"/>
      <c r="G4212" t="inlineStr"/>
      <c r="H4212" t="inlineStr"/>
    </row>
    <row r="4213">
      <c r="A4213" t="inlineStr">
        <is>
          <t>b3f1ee23-f77a-45bc-9bf0-b48db1aae382.jpg</t>
        </is>
      </c>
      <c r="B4213">
        <f>HYPERLINK("Объекты недвижимости, не соответствующие градостроительным нормам_00-022_Август/b3f1ee23-f77a-45bc-9bf0-b48db1aae382.jpg","open")</f>
        <v/>
      </c>
      <c r="C4213" t="inlineStr">
        <is>
          <t>8cde1fd0-eca1-4510-86ab-3c743b65fdfc</t>
        </is>
      </c>
      <c r="D4213" t="n">
        <v>55.67797</v>
      </c>
      <c r="E4213" t="n">
        <v>37.54338</v>
      </c>
      <c r="F4213" t="inlineStr"/>
      <c r="G4213" t="inlineStr"/>
      <c r="H4213" t="inlineStr"/>
    </row>
    <row r="4214">
      <c r="A4214" t="inlineStr">
        <is>
          <t>23d27e7c-3186-4481-9cb1-67c08b8c732a.jpg</t>
        </is>
      </c>
      <c r="B4214">
        <f>HYPERLINK("Объекты недвижимости, не соответствующие градостроительным нормам_00-022_Август/23d27e7c-3186-4481-9cb1-67c08b8c732a.jpg","open")</f>
        <v/>
      </c>
      <c r="C4214" t="inlineStr">
        <is>
          <t>8cde1fd0-eca1-4510-86ab-3c743b65fdfc</t>
        </is>
      </c>
      <c r="D4214" t="n">
        <v>55.67541</v>
      </c>
      <c r="E4214" t="n">
        <v>37.53811</v>
      </c>
      <c r="F4214" t="inlineStr"/>
      <c r="G4214" t="inlineStr"/>
      <c r="H4214" t="inlineStr"/>
    </row>
    <row r="4215">
      <c r="A4215" t="inlineStr">
        <is>
          <t>d274879e-41f1-43cb-9cbd-96ed9bea105e.jpg</t>
        </is>
      </c>
      <c r="B4215">
        <f>HYPERLINK("Объекты недвижимости, не соответствующие градостроительным нормам_00-022_Август/d274879e-41f1-43cb-9cbd-96ed9bea105e.jpg","open")</f>
        <v/>
      </c>
      <c r="C4215" t="inlineStr">
        <is>
          <t>f20fbc2b-b369-4734-bb66-92af02fbb0d1</t>
        </is>
      </c>
      <c r="D4215" t="n">
        <v>55.65689</v>
      </c>
      <c r="E4215" t="n">
        <v>37.80622</v>
      </c>
      <c r="F4215" t="inlineStr"/>
      <c r="G4215" t="inlineStr"/>
      <c r="H4215" t="inlineStr"/>
    </row>
    <row r="4216">
      <c r="A4216" t="inlineStr">
        <is>
          <t>43035356-f20c-4b1f-aa93-def36c29553c.jpg</t>
        </is>
      </c>
      <c r="B4216">
        <f>HYPERLINK("Объекты недвижимости, не соответствующие градостроительным нормам_00-022_Август/43035356-f20c-4b1f-aa93-def36c29553c.jpg","open")</f>
        <v/>
      </c>
      <c r="C4216" t="inlineStr">
        <is>
          <t>ad64e6b9-1ed5-44d7-a101-4945a1f9dec6</t>
        </is>
      </c>
      <c r="D4216" t="n">
        <v>55.65601</v>
      </c>
      <c r="E4216" t="n">
        <v>37.57811</v>
      </c>
      <c r="F4216" t="inlineStr"/>
      <c r="G4216" t="inlineStr"/>
      <c r="H4216" t="inlineStr"/>
    </row>
    <row r="4217">
      <c r="A4217" t="inlineStr">
        <is>
          <t>c44a4edc-6255-4e51-83f6-fb5456622bb5.jpg</t>
        </is>
      </c>
      <c r="B4217">
        <f>HYPERLINK("Объекты недвижимости, не соответствующие градостроительным нормам_00-022_Август/c44a4edc-6255-4e51-83f6-fb5456622bb5.jpg","open")</f>
        <v/>
      </c>
      <c r="C4217" t="inlineStr">
        <is>
          <t>8cde1fd0-eca1-4510-86ab-3c743b65fdfc</t>
        </is>
      </c>
      <c r="D4217" t="n">
        <v>55.68409</v>
      </c>
      <c r="E4217" t="n">
        <v>37.54048</v>
      </c>
      <c r="F4217" t="inlineStr"/>
      <c r="G4217" t="inlineStr"/>
      <c r="H4217" t="inlineStr"/>
    </row>
    <row r="4218">
      <c r="A4218" t="inlineStr">
        <is>
          <t>64abc2a6-04b4-418b-b405-6ffba7d486e5.jpg</t>
        </is>
      </c>
      <c r="B4218">
        <f>HYPERLINK("Объекты недвижимости, не соответствующие градостроительным нормам_00-022_Август/64abc2a6-04b4-418b-b405-6ffba7d486e5.jpg","open")</f>
        <v/>
      </c>
      <c r="C4218" t="inlineStr">
        <is>
          <t>8cde1fd0-eca1-4510-86ab-3c743b65fdfc</t>
        </is>
      </c>
      <c r="D4218" t="n">
        <v>55.68319</v>
      </c>
      <c r="E4218" t="n">
        <v>37.54245</v>
      </c>
      <c r="F4218" t="inlineStr"/>
      <c r="G4218" t="inlineStr"/>
      <c r="H4218" t="inlineStr"/>
    </row>
    <row r="4219">
      <c r="A4219" t="inlineStr">
        <is>
          <t>22cfbc54-7446-4bf6-802e-f95777728e7d.jpg</t>
        </is>
      </c>
      <c r="B4219">
        <f>HYPERLINK("Объекты недвижимости, не соответствующие градостроительным нормам_00-022_Август/22cfbc54-7446-4bf6-802e-f95777728e7d.jpg","open")</f>
        <v/>
      </c>
      <c r="C4219" t="inlineStr">
        <is>
          <t>685d9054-b74f-49ab-857b-109fd2cec80d</t>
        </is>
      </c>
      <c r="D4219" t="n">
        <v>55.66645</v>
      </c>
      <c r="E4219" t="n">
        <v>37.58546</v>
      </c>
      <c r="F4219" t="inlineStr"/>
      <c r="G4219" t="inlineStr"/>
      <c r="H4219" t="inlineStr"/>
    </row>
    <row r="4220">
      <c r="A4220" t="inlineStr">
        <is>
          <t>1d9a41e9-bb58-4b68-b730-1d063adce777.jpg</t>
        </is>
      </c>
      <c r="B4220">
        <f>HYPERLINK("Объекты недвижимости, не соответствующие градостроительным нормам_00-022_Август/1d9a41e9-bb58-4b68-b730-1d063adce777.jpg","open")</f>
        <v/>
      </c>
      <c r="C4220" t="inlineStr">
        <is>
          <t>1231bbc5-e64c-4dc7-9acc-77710f47607a</t>
        </is>
      </c>
      <c r="D4220" t="n">
        <v>55.66648</v>
      </c>
      <c r="E4220" t="n">
        <v>37.58552</v>
      </c>
      <c r="F4220" t="inlineStr"/>
      <c r="G4220" t="inlineStr"/>
      <c r="H4220" t="inlineStr"/>
    </row>
    <row r="4221">
      <c r="A4221" t="inlineStr">
        <is>
          <t>eab5b8f6-1a3f-48a0-83a7-9a0288f07808.jpg</t>
        </is>
      </c>
      <c r="B4221">
        <f>HYPERLINK("Объекты недвижимости, не соответствующие градостроительным нормам_00-022_Август/eab5b8f6-1a3f-48a0-83a7-9a0288f07808.jpg","open")</f>
        <v/>
      </c>
      <c r="C4221" t="inlineStr">
        <is>
          <t>685d9054-b74f-49ab-857b-109fd2cec80d</t>
        </is>
      </c>
      <c r="D4221" t="n">
        <v>55.66643</v>
      </c>
      <c r="E4221" t="n">
        <v>37.5848</v>
      </c>
      <c r="F4221" t="inlineStr"/>
      <c r="G4221" t="inlineStr"/>
      <c r="H4221" t="inlineStr"/>
    </row>
    <row r="4222">
      <c r="A4222" t="inlineStr">
        <is>
          <t>9f6de4e5-a4e4-465d-91d6-64c74697cba4.jpg</t>
        </is>
      </c>
      <c r="B4222">
        <f>HYPERLINK("Объекты недвижимости, не соответствующие градостроительным нормам_00-022_Август/9f6de4e5-a4e4-465d-91d6-64c74697cba4.jpg","open")</f>
        <v/>
      </c>
      <c r="C4222" t="inlineStr">
        <is>
          <t>1231bbc5-e64c-4dc7-9acc-77710f47607a</t>
        </is>
      </c>
      <c r="D4222" t="n">
        <v>55.66746</v>
      </c>
      <c r="E4222" t="n">
        <v>37.58349</v>
      </c>
      <c r="F4222" t="inlineStr"/>
      <c r="G4222" t="inlineStr"/>
      <c r="H4222" t="inlineStr"/>
    </row>
    <row r="4223">
      <c r="A4223" t="inlineStr">
        <is>
          <t>2c35d4e7-46e3-4d65-8b6d-aa500fc553cc.jpg</t>
        </is>
      </c>
      <c r="B4223">
        <f>HYPERLINK("Объекты недвижимости, не соответствующие градостроительным нормам_00-022_Август/2c35d4e7-46e3-4d65-8b6d-aa500fc553cc.jpg","open")</f>
        <v/>
      </c>
      <c r="C4223" t="inlineStr">
        <is>
          <t>12e795ad-2aa7-49de-b2da-2c6aa35a4559</t>
        </is>
      </c>
      <c r="D4223" t="n">
        <v>55.65894</v>
      </c>
      <c r="E4223" t="n">
        <v>37.57811</v>
      </c>
      <c r="F4223" t="inlineStr"/>
      <c r="G4223" t="inlineStr"/>
      <c r="H4223" t="inlineStr"/>
    </row>
    <row r="4224">
      <c r="A4224" t="inlineStr">
        <is>
          <t>0625ea4f-c668-475b-a256-00f854edb892.jpg</t>
        </is>
      </c>
      <c r="B4224">
        <f>HYPERLINK("Объекты недвижимости, не соответствующие градостроительным нормам_00-022_Август/0625ea4f-c668-475b-a256-00f854edb892.jpg","open")</f>
        <v/>
      </c>
      <c r="C4224" t="inlineStr">
        <is>
          <t>1231bbc5-e64c-4dc7-9acc-77710f47607a</t>
        </is>
      </c>
      <c r="D4224" t="n">
        <v>55.66743</v>
      </c>
      <c r="E4224" t="n">
        <v>37.58355</v>
      </c>
      <c r="F4224" t="inlineStr"/>
      <c r="G4224" t="inlineStr"/>
      <c r="H4224" t="inlineStr"/>
    </row>
    <row r="4225">
      <c r="A4225" t="inlineStr">
        <is>
          <t>eeb4f325-8cba-4407-a2b9-d1d20b1fcb3e.jpg</t>
        </is>
      </c>
      <c r="B4225">
        <f>HYPERLINK("Объекты недвижимости, не соответствующие градостроительным нормам_00-022_Август/eeb4f325-8cba-4407-a2b9-d1d20b1fcb3e.jpg","open")</f>
        <v/>
      </c>
      <c r="C4225" t="inlineStr">
        <is>
          <t>1231bbc5-e64c-4dc7-9acc-77710f47607a</t>
        </is>
      </c>
      <c r="D4225" t="n">
        <v>55.66795</v>
      </c>
      <c r="E4225" t="n">
        <v>37.58424</v>
      </c>
      <c r="F4225" t="inlineStr"/>
      <c r="G4225" t="inlineStr"/>
      <c r="H4225" t="inlineStr"/>
    </row>
    <row r="4226">
      <c r="A4226" t="inlineStr">
        <is>
          <t>890cefa4-9f1e-45eb-b13c-369a67d95636.jpg</t>
        </is>
      </c>
      <c r="B4226">
        <f>HYPERLINK("Объекты недвижимости, не соответствующие градостроительным нормам_00-022_Август/890cefa4-9f1e-45eb-b13c-369a67d95636.jpg","open")</f>
        <v/>
      </c>
      <c r="C4226" t="inlineStr">
        <is>
          <t>1231bbc5-e64c-4dc7-9acc-77710f47607a</t>
        </is>
      </c>
      <c r="D4226" t="n">
        <v>55.66861</v>
      </c>
      <c r="E4226" t="n">
        <v>37.58497</v>
      </c>
      <c r="F4226" t="inlineStr"/>
      <c r="G4226" t="inlineStr"/>
      <c r="H4226" t="inlineStr"/>
    </row>
    <row r="4227">
      <c r="A4227" t="inlineStr">
        <is>
          <t>f6d71bff-3013-4edd-ad53-aa889472d66c.jpg</t>
        </is>
      </c>
      <c r="B4227">
        <f>HYPERLINK("Объекты недвижимости, не соответствующие градостроительным нормам_00-022_Август/f6d71bff-3013-4edd-ad53-aa889472d66c.jpg","open")</f>
        <v/>
      </c>
      <c r="C4227" t="inlineStr">
        <is>
          <t>12e795ad-2aa7-49de-b2da-2c6aa35a4559</t>
        </is>
      </c>
      <c r="D4227" t="n">
        <v>55.65825</v>
      </c>
      <c r="E4227" t="n">
        <v>37.57772</v>
      </c>
      <c r="F4227" t="inlineStr"/>
      <c r="G4227" t="inlineStr"/>
      <c r="H4227" t="inlineStr"/>
    </row>
    <row r="4228">
      <c r="A4228" t="inlineStr">
        <is>
          <t>261c8f0e-fd7a-4037-ae53-f6e44a4765ad.jpg</t>
        </is>
      </c>
      <c r="B4228">
        <f>HYPERLINK("Объекты недвижимости, не соответствующие градостроительным нормам_00-022_Август/261c8f0e-fd7a-4037-ae53-f6e44a4765ad.jpg","open")</f>
        <v/>
      </c>
      <c r="C4228" t="inlineStr">
        <is>
          <t>ffd931da-542f-43e9-979f-5552b17fe3dc</t>
        </is>
      </c>
      <c r="D4228" t="n">
        <v>55.82381</v>
      </c>
      <c r="E4228" t="n">
        <v>37.8049</v>
      </c>
      <c r="F4228" t="inlineStr"/>
      <c r="G4228" t="inlineStr"/>
      <c r="H4228" t="inlineStr"/>
    </row>
    <row r="4229">
      <c r="A4229" t="inlineStr">
        <is>
          <t>9bbf8f87-f787-4731-91fd-af59eb6d6eab.jpg</t>
        </is>
      </c>
      <c r="B4229">
        <f>HYPERLINK("Объекты недвижимости, не соответствующие градостроительным нормам_00-022_Август/9bbf8f87-f787-4731-91fd-af59eb6d6eab.jpg","open")</f>
        <v/>
      </c>
      <c r="C4229" t="inlineStr">
        <is>
          <t>f60286ac-55e7-4099-85bd-cc599a7a0c65</t>
        </is>
      </c>
      <c r="D4229" t="n">
        <v>55.82384</v>
      </c>
      <c r="E4229" t="n">
        <v>37.80764</v>
      </c>
      <c r="F4229" t="inlineStr"/>
      <c r="G4229" t="inlineStr"/>
      <c r="H4229" t="inlineStr"/>
    </row>
    <row r="4230">
      <c r="A4230" t="inlineStr">
        <is>
          <t>6a4dbd50-ec30-4c57-98f1-1a285514b48c.jpg</t>
        </is>
      </c>
      <c r="B4230">
        <f>HYPERLINK("Объекты недвижимости, не соответствующие градостроительным нормам_00-022_Август/6a4dbd50-ec30-4c57-98f1-1a285514b48c.jpg","open")</f>
        <v/>
      </c>
      <c r="C4230" t="inlineStr">
        <is>
          <t>12e795ad-2aa7-49de-b2da-2c6aa35a4559</t>
        </is>
      </c>
      <c r="D4230" t="n">
        <v>55.65799</v>
      </c>
      <c r="E4230" t="n">
        <v>37.58482</v>
      </c>
      <c r="F4230" t="inlineStr"/>
      <c r="G4230" t="inlineStr"/>
      <c r="H4230" t="inlineStr"/>
    </row>
    <row r="4231">
      <c r="A4231" t="inlineStr">
        <is>
          <t>d7ee3c3b-c9fb-4904-a303-d7449544a38e.jpg</t>
        </is>
      </c>
      <c r="B4231">
        <f>HYPERLINK("Объекты недвижимости, не соответствующие градостроительным нормам_00-022_Август/d7ee3c3b-c9fb-4904-a303-d7449544a38e.jpg","open")</f>
        <v/>
      </c>
      <c r="C4231" t="inlineStr">
        <is>
          <t>ad64e6b9-1ed5-44d7-a101-4945a1f9dec6</t>
        </is>
      </c>
      <c r="D4231" t="n">
        <v>55.65799</v>
      </c>
      <c r="E4231" t="n">
        <v>37.58482</v>
      </c>
      <c r="F4231" t="inlineStr"/>
      <c r="G4231" t="inlineStr"/>
      <c r="H4231" t="inlineStr"/>
    </row>
    <row r="4232">
      <c r="A4232" t="inlineStr">
        <is>
          <t>da763e35-5f16-484f-a037-d848acd6d6c4.jpg</t>
        </is>
      </c>
      <c r="B4232">
        <f>HYPERLINK("Объекты недвижимости, не соответствующие градостроительным нормам_00-022_Август/da763e35-5f16-484f-a037-d848acd6d6c4.jpg","open")</f>
        <v/>
      </c>
      <c r="C4232" t="inlineStr">
        <is>
          <t>ab4e767f-65c0-455b-af20-a5527124fd21</t>
        </is>
      </c>
      <c r="D4232" t="n">
        <v>55.9656</v>
      </c>
      <c r="E4232" t="n">
        <v>37.41894</v>
      </c>
      <c r="F4232" t="inlineStr"/>
      <c r="G4232" t="inlineStr"/>
      <c r="H4232" t="inlineStr"/>
    </row>
    <row r="4233">
      <c r="A4233" t="inlineStr">
        <is>
          <t>0011266a-ceb5-4890-b5ed-9ad17e00140a.jpg</t>
        </is>
      </c>
      <c r="B4233">
        <f>HYPERLINK("Объекты недвижимости, не соответствующие градостроительным нормам_00-022_Август/0011266a-ceb5-4890-b5ed-9ad17e00140a.jpg","open")</f>
        <v/>
      </c>
      <c r="C4233" t="inlineStr">
        <is>
          <t>1231bbc5-e64c-4dc7-9acc-77710f47607a</t>
        </is>
      </c>
      <c r="D4233" t="n">
        <v>55.71458</v>
      </c>
      <c r="E4233" t="n">
        <v>37.68224</v>
      </c>
      <c r="F4233" t="inlineStr"/>
      <c r="G4233" t="inlineStr"/>
      <c r="H4233" t="inlineStr"/>
    </row>
    <row r="4234">
      <c r="A4234" t="inlineStr">
        <is>
          <t>a271b35c-8e45-4bc9-9250-91d043f5b9d2.jpg</t>
        </is>
      </c>
      <c r="B4234">
        <f>HYPERLINK("Объекты недвижимости, не соответствующие градостроительным нормам_00-022_Август/a271b35c-8e45-4bc9-9250-91d043f5b9d2.jpg","open")</f>
        <v/>
      </c>
      <c r="C4234" t="inlineStr">
        <is>
          <t>57812597-37e6-414c-8b11-8c661dbfeb70</t>
        </is>
      </c>
      <c r="D4234" t="n">
        <v>55.75372</v>
      </c>
      <c r="E4234" t="n">
        <v>37.69402</v>
      </c>
      <c r="F4234" t="inlineStr"/>
      <c r="G4234" t="inlineStr"/>
      <c r="H4234" t="inlineStr"/>
    </row>
    <row r="4235">
      <c r="A4235" t="inlineStr">
        <is>
          <t>f790f7e6-1c26-44cd-8c9d-11771745b173.jpg</t>
        </is>
      </c>
      <c r="B4235">
        <f>HYPERLINK("Объекты недвижимости, не соответствующие градостроительным нормам_00-022_Август/f790f7e6-1c26-44cd-8c9d-11771745b173.jpg","open")</f>
        <v/>
      </c>
      <c r="C4235" t="inlineStr">
        <is>
          <t>b0b7ea82-53be-40d0-b992-e2fd18611d5c</t>
        </is>
      </c>
      <c r="D4235" t="n">
        <v>55.68723</v>
      </c>
      <c r="E4235" t="n">
        <v>37.71591</v>
      </c>
      <c r="F4235" t="inlineStr"/>
      <c r="G4235" t="inlineStr"/>
      <c r="H4235" t="inlineStr"/>
    </row>
    <row r="4236">
      <c r="A4236" t="inlineStr">
        <is>
          <t>33a6051c-1806-4031-8192-9d3b8a80a955.jpg</t>
        </is>
      </c>
      <c r="B4236">
        <f>HYPERLINK("Объекты недвижимости, не соответствующие градостроительным нормам_00-022_Август/33a6051c-1806-4031-8192-9d3b8a80a955.jpg","open")</f>
        <v/>
      </c>
      <c r="C4236" t="inlineStr">
        <is>
          <t>685d9054-b74f-49ab-857b-109fd2cec80d</t>
        </is>
      </c>
      <c r="D4236" t="n">
        <v>55.7554</v>
      </c>
      <c r="E4236" t="n">
        <v>37.69505</v>
      </c>
      <c r="F4236" t="inlineStr"/>
      <c r="G4236" t="inlineStr"/>
      <c r="H4236" t="inlineStr"/>
    </row>
    <row r="4237">
      <c r="A4237" t="inlineStr">
        <is>
          <t>8d1900b1-39a5-4aa3-9123-22e30a9684eb.jpg</t>
        </is>
      </c>
      <c r="B4237">
        <f>HYPERLINK("Объекты недвижимости, не соответствующие градостроительным нормам_00-022_Август/8d1900b1-39a5-4aa3-9123-22e30a9684eb.jpg","open")</f>
        <v/>
      </c>
      <c r="C4237" t="inlineStr">
        <is>
          <t>b0b7ea82-53be-40d0-b992-e2fd18611d5c</t>
        </is>
      </c>
      <c r="D4237" t="n">
        <v>55.68723</v>
      </c>
      <c r="E4237" t="n">
        <v>37.71591</v>
      </c>
      <c r="F4237" t="inlineStr"/>
      <c r="G4237" t="inlineStr"/>
      <c r="H4237" t="inlineStr"/>
    </row>
    <row r="4238">
      <c r="A4238" t="inlineStr">
        <is>
          <t>4c910157-b65f-4122-abd8-f8d647e95ec5.jpg</t>
        </is>
      </c>
      <c r="B4238">
        <f>HYPERLINK("Объекты недвижимости, не соответствующие градостроительным нормам_00-022_Август/4c910157-b65f-4122-abd8-f8d647e95ec5.jpg","open")</f>
        <v/>
      </c>
      <c r="C4238" t="inlineStr">
        <is>
          <t>1c951e11-4940-43c6-a447-394097e5609a</t>
        </is>
      </c>
      <c r="D4238" t="n">
        <v>55.72123</v>
      </c>
      <c r="E4238" t="n">
        <v>37.57553</v>
      </c>
      <c r="F4238" t="inlineStr"/>
      <c r="G4238" t="inlineStr"/>
      <c r="H4238" t="inlineStr"/>
    </row>
    <row r="4239">
      <c r="A4239" t="inlineStr">
        <is>
          <t>c781f670-f68f-45ce-a615-0717d46706a2.jpg</t>
        </is>
      </c>
      <c r="B4239">
        <f>HYPERLINK("Объекты недвижимости, не соответствующие градостроительным нормам_00-022_Август/c781f670-f68f-45ce-a615-0717d46706a2.jpg","open")</f>
        <v/>
      </c>
      <c r="C4239" t="inlineStr">
        <is>
          <t>ab4e767f-65c0-455b-af20-a5527124fd21</t>
        </is>
      </c>
      <c r="D4239" t="n">
        <v>55.74571</v>
      </c>
      <c r="E4239" t="n">
        <v>37.51208</v>
      </c>
      <c r="F4239" t="inlineStr"/>
      <c r="G4239" t="inlineStr"/>
      <c r="H4239" t="inlineStr"/>
    </row>
    <row r="4240">
      <c r="A4240" t="inlineStr">
        <is>
          <t>4b119919-47a5-488c-9a30-58a1c05f8088.jpg</t>
        </is>
      </c>
      <c r="B4240">
        <f>HYPERLINK("Объекты недвижимости, не соответствующие градостроительным нормам_00-022_Август/4b119919-47a5-488c-9a30-58a1c05f8088.jpg","open")</f>
        <v/>
      </c>
      <c r="C4240" t="inlineStr">
        <is>
          <t>ab4e767f-65c0-455b-af20-a5527124fd21</t>
        </is>
      </c>
      <c r="D4240" t="n">
        <v>55.74546</v>
      </c>
      <c r="E4240" t="n">
        <v>37.51231</v>
      </c>
      <c r="F4240" t="inlineStr"/>
      <c r="G4240" t="inlineStr"/>
      <c r="H4240" t="inlineStr"/>
    </row>
    <row r="4241">
      <c r="A4241" t="inlineStr">
        <is>
          <t>9a8af463-6056-4408-ab27-6af8f904e5cc.jpg</t>
        </is>
      </c>
      <c r="B4241">
        <f>HYPERLINK("Объекты недвижимости, не соответствующие градостроительным нормам_00-022_Август/9a8af463-6056-4408-ab27-6af8f904e5cc.jpg","open")</f>
        <v/>
      </c>
      <c r="C4241" t="inlineStr">
        <is>
          <t>ab4e767f-65c0-455b-af20-a5527124fd21</t>
        </is>
      </c>
      <c r="D4241" t="n">
        <v>55.74498</v>
      </c>
      <c r="E4241" t="n">
        <v>37.51264</v>
      </c>
      <c r="F4241" t="inlineStr"/>
      <c r="G4241" t="inlineStr"/>
      <c r="H4241" t="inlineStr"/>
    </row>
    <row r="4242">
      <c r="A4242" t="inlineStr">
        <is>
          <t>4876ca01-eb4d-410e-97e7-66a2fdf0be56.jpg</t>
        </is>
      </c>
      <c r="B4242">
        <f>HYPERLINK("Объекты недвижимости, не соответствующие градостроительным нормам_00-022_Август/4876ca01-eb4d-410e-97e7-66a2fdf0be56.jpg","open")</f>
        <v/>
      </c>
      <c r="C4242" t="inlineStr">
        <is>
          <t>ab4e767f-65c0-455b-af20-a5527124fd21</t>
        </is>
      </c>
      <c r="D4242" t="n">
        <v>55.74035</v>
      </c>
      <c r="E4242" t="n">
        <v>37.50853</v>
      </c>
      <c r="F4242" t="inlineStr"/>
      <c r="G4242" t="inlineStr"/>
      <c r="H4242" t="inlineStr"/>
    </row>
    <row r="4243">
      <c r="A4243" t="inlineStr">
        <is>
          <t>2b3d765f-026d-4358-a7ec-72030f2936aa.jpg</t>
        </is>
      </c>
      <c r="B4243">
        <f>HYPERLINK("Объекты недвижимости, не соответствующие градостроительным нормам_00-022_Август/2b3d765f-026d-4358-a7ec-72030f2936aa.jpg","open")</f>
        <v/>
      </c>
      <c r="C4243" t="inlineStr">
        <is>
          <t>caa4772d-6278-4484-a046-ee25514bf521</t>
        </is>
      </c>
      <c r="D4243" t="n">
        <v>55.72658</v>
      </c>
      <c r="E4243" t="n">
        <v>37.62571</v>
      </c>
      <c r="F4243" t="inlineStr"/>
      <c r="G4243" t="inlineStr"/>
      <c r="H4243" t="inlineStr"/>
    </row>
    <row r="4244">
      <c r="A4244" t="inlineStr">
        <is>
          <t>99cbd192-b1c5-46df-9da3-1a17cf5d14ef.jpg</t>
        </is>
      </c>
      <c r="B4244">
        <f>HYPERLINK("Объекты недвижимости, не соответствующие градостроительным нормам_00-022_Август/99cbd192-b1c5-46df-9da3-1a17cf5d14ef.jpg","open")</f>
        <v/>
      </c>
      <c r="C4244" t="inlineStr">
        <is>
          <t>caa4772d-6278-4484-a046-ee25514bf521</t>
        </is>
      </c>
      <c r="D4244" t="n">
        <v>55.72657</v>
      </c>
      <c r="E4244" t="n">
        <v>37.62549</v>
      </c>
      <c r="F4244" t="inlineStr"/>
      <c r="G4244" t="inlineStr"/>
      <c r="H4244" t="inlineStr"/>
    </row>
    <row r="4245">
      <c r="A4245" t="inlineStr">
        <is>
          <t>b44142bb-80b8-4122-a5cf-e06274a00f92.jpg</t>
        </is>
      </c>
      <c r="B4245">
        <f>HYPERLINK("Объекты недвижимости, не соответствующие градостроительным нормам_00-022_Август/b44142bb-80b8-4122-a5cf-e06274a00f92.jpg","open")</f>
        <v/>
      </c>
      <c r="C4245" t="inlineStr">
        <is>
          <t>1c951e11-4940-43c6-a447-394097e5609a</t>
        </is>
      </c>
      <c r="D4245" t="n">
        <v>55.72083</v>
      </c>
      <c r="E4245" t="n">
        <v>37.70529</v>
      </c>
      <c r="F4245" t="inlineStr"/>
      <c r="G4245" t="inlineStr"/>
      <c r="H4245" t="inlineStr"/>
    </row>
    <row r="4246">
      <c r="A4246" t="inlineStr">
        <is>
          <t>59ce3a5f-6d19-466c-b15a-6b3d9f5901fd.jpg</t>
        </is>
      </c>
      <c r="B4246">
        <f>HYPERLINK("Объекты недвижимости, не соответствующие градостроительным нормам_00-022_Август/59ce3a5f-6d19-466c-b15a-6b3d9f5901fd.jpg","open")</f>
        <v/>
      </c>
      <c r="C4246" t="inlineStr">
        <is>
          <t>8cde1fd0-eca1-4510-86ab-3c743b65fdfc</t>
        </is>
      </c>
      <c r="D4246" t="n">
        <v>55.7491</v>
      </c>
      <c r="E4246" t="n">
        <v>37.69765</v>
      </c>
      <c r="F4246" t="inlineStr"/>
      <c r="G4246" t="inlineStr"/>
      <c r="H4246" t="inlineStr"/>
    </row>
    <row r="4247">
      <c r="A4247" t="inlineStr">
        <is>
          <t>c309cb52-2c79-4407-88d9-844c242941ad.jpg</t>
        </is>
      </c>
      <c r="B4247">
        <f>HYPERLINK("Объекты недвижимости, не соответствующие градостроительным нормам_00-022_Август/c309cb52-2c79-4407-88d9-844c242941ad.jpg","open")</f>
        <v/>
      </c>
      <c r="C4247" t="inlineStr">
        <is>
          <t>caa4772d-6278-4484-a046-ee25514bf521</t>
        </is>
      </c>
      <c r="D4247" t="n">
        <v>55.75784</v>
      </c>
      <c r="E4247" t="n">
        <v>37.686</v>
      </c>
      <c r="F4247" t="inlineStr"/>
      <c r="G4247" t="inlineStr"/>
      <c r="H4247" t="inlineStr"/>
    </row>
    <row r="4248">
      <c r="A4248" t="inlineStr">
        <is>
          <t>a885c9ed-c5a5-4329-ab14-716a83d84eac.jpg</t>
        </is>
      </c>
      <c r="B4248">
        <f>HYPERLINK("Объекты недвижимости, не соответствующие градостроительным нормам_00-022_Август/a885c9ed-c5a5-4329-ab14-716a83d84eac.jpg","open")</f>
        <v/>
      </c>
      <c r="C4248" t="inlineStr">
        <is>
          <t>f6f80c84-5569-48fd-b627-6f41ce4c61c4</t>
        </is>
      </c>
      <c r="D4248" t="n">
        <v>55.757</v>
      </c>
      <c r="E4248" t="n">
        <v>37.68847</v>
      </c>
      <c r="F4248" t="inlineStr"/>
      <c r="G4248" t="inlineStr"/>
      <c r="H4248" t="inlineStr"/>
    </row>
    <row r="4249">
      <c r="A4249" t="inlineStr">
        <is>
          <t>66eb3def-cdfa-4f15-9198-8516ba6cc4c1.jpg</t>
        </is>
      </c>
      <c r="B4249">
        <f>HYPERLINK("Объекты недвижимости, не соответствующие градостроительным нормам_00-022_Август/66eb3def-cdfa-4f15-9198-8516ba6cc4c1.jpg","open")</f>
        <v/>
      </c>
      <c r="C4249" t="inlineStr">
        <is>
          <t>b0429a31-0c70-4b9f-8ea5-73929d82f89e</t>
        </is>
      </c>
      <c r="D4249" t="n">
        <v>55.71648</v>
      </c>
      <c r="E4249" t="n">
        <v>37.68818</v>
      </c>
      <c r="F4249" t="inlineStr"/>
      <c r="G4249" t="inlineStr"/>
      <c r="H4249" t="inlineStr"/>
    </row>
    <row r="4250">
      <c r="A4250" t="inlineStr">
        <is>
          <t>9085e05c-233a-4881-bd12-ec4e928f4acd.jpg</t>
        </is>
      </c>
      <c r="B4250">
        <f>HYPERLINK("Объекты недвижимости, не соответствующие градостроительным нормам_00-022_Август/9085e05c-233a-4881-bd12-ec4e928f4acd.jpg","open")</f>
        <v/>
      </c>
      <c r="C4250" t="inlineStr">
        <is>
          <t>9c930d0e-e445-452d-a046-325646b21ab7</t>
        </is>
      </c>
      <c r="D4250" t="n">
        <v>55.87467</v>
      </c>
      <c r="E4250" t="n">
        <v>37.66813</v>
      </c>
      <c r="F4250" t="inlineStr"/>
      <c r="G4250" t="inlineStr"/>
      <c r="H4250" t="inlineStr"/>
    </row>
    <row r="4251">
      <c r="A4251" t="inlineStr">
        <is>
          <t>dbfd0c2e-3a8d-4c68-a68d-3f21d6c97adc.jpg</t>
        </is>
      </c>
      <c r="B4251">
        <f>HYPERLINK("Объекты недвижимости, не соответствующие градостроительным нормам_00-022_Август/dbfd0c2e-3a8d-4c68-a68d-3f21d6c97adc.jpg","open")</f>
        <v/>
      </c>
      <c r="C4251" t="inlineStr">
        <is>
          <t>fb40ed24-21ef-458a-a239-038ab19932cc</t>
        </is>
      </c>
      <c r="D4251" t="n">
        <v>55.81718</v>
      </c>
      <c r="E4251" t="n">
        <v>37.77819</v>
      </c>
      <c r="F4251" t="inlineStr"/>
      <c r="G4251" t="inlineStr"/>
      <c r="H4251" t="inlineStr"/>
    </row>
    <row r="4252">
      <c r="A4252" t="inlineStr">
        <is>
          <t>77b0d41a-a3b4-470f-b69d-8bb8e9c683af.jpg</t>
        </is>
      </c>
      <c r="B4252">
        <f>HYPERLINK("Объекты недвижимости, не соответствующие градостроительным нормам_00-022_Август/77b0d41a-a3b4-470f-b69d-8bb8e9c683af.jpg","open")</f>
        <v/>
      </c>
      <c r="C4252" t="inlineStr">
        <is>
          <t>fb40ed24-21ef-458a-a239-038ab19932cc</t>
        </is>
      </c>
      <c r="D4252" t="n">
        <v>55.793</v>
      </c>
      <c r="E4252" t="n">
        <v>37.78297</v>
      </c>
      <c r="F4252" t="inlineStr"/>
      <c r="G4252" t="inlineStr"/>
      <c r="H4252" t="inlineStr"/>
    </row>
    <row r="4253">
      <c r="A4253" t="inlineStr">
        <is>
          <t>a1295769-0bef-461e-b4d9-b1dc62c4abfa.jpg</t>
        </is>
      </c>
      <c r="B4253">
        <f>HYPERLINK("Объекты недвижимости, не соответствующие градостроительным нормам_00-022_Август/a1295769-0bef-461e-b4d9-b1dc62c4abfa.jpg","open")</f>
        <v/>
      </c>
      <c r="C4253" t="inlineStr">
        <is>
          <t>db8b536c-32f2-4d9a-ae08-679d227e61f1</t>
        </is>
      </c>
      <c r="D4253" t="n">
        <v>55.68742</v>
      </c>
      <c r="E4253" t="n">
        <v>37.58492</v>
      </c>
      <c r="F4253" t="inlineStr"/>
      <c r="G4253" t="inlineStr"/>
      <c r="H4253" t="inlineStr"/>
    </row>
    <row r="4254">
      <c r="A4254" t="inlineStr">
        <is>
          <t>6f0cfff9-b96f-4ba3-a070-0d3502312b36.jpg</t>
        </is>
      </c>
      <c r="B4254">
        <f>HYPERLINK("Объекты недвижимости, не соответствующие градостроительным нормам_00-022_Август/6f0cfff9-b96f-4ba3-a070-0d3502312b36.jpg","open")</f>
        <v/>
      </c>
      <c r="C4254" t="inlineStr">
        <is>
          <t>6e2567a0-1fb9-40d5-a0e7-0adb480d2965</t>
        </is>
      </c>
      <c r="D4254" t="n">
        <v>55.76171</v>
      </c>
      <c r="E4254" t="n">
        <v>37.64935</v>
      </c>
      <c r="F4254" t="inlineStr"/>
      <c r="G4254" t="inlineStr"/>
      <c r="H4254" t="inlineStr"/>
    </row>
    <row r="4255">
      <c r="A4255" t="inlineStr">
        <is>
          <t>ba75bdac-3d7d-4c3d-a748-22e260ce9c27.jpg</t>
        </is>
      </c>
      <c r="B4255">
        <f>HYPERLINK("Объекты недвижимости, не соответствующие градостроительным нормам_00-022_Август/ba75bdac-3d7d-4c3d-a748-22e260ce9c27.jpg","open")</f>
        <v/>
      </c>
      <c r="C4255" t="inlineStr">
        <is>
          <t>57812597-37e6-414c-8b11-8c661dbfeb70</t>
        </is>
      </c>
      <c r="D4255" t="n">
        <v>55.73952</v>
      </c>
      <c r="E4255" t="n">
        <v>37.66426</v>
      </c>
      <c r="F4255" t="inlineStr"/>
      <c r="G4255" t="inlineStr"/>
      <c r="H4255" t="inlineStr"/>
    </row>
    <row r="4256">
      <c r="A4256" t="inlineStr">
        <is>
          <t>86f51c06-9cb3-4a9f-b4af-7666a7a82bb9.jpg</t>
        </is>
      </c>
      <c r="B4256">
        <f>HYPERLINK("Объекты недвижимости, не соответствующие градостроительным нормам_00-022_Август/86f51c06-9cb3-4a9f-b4af-7666a7a82bb9.jpg","open")</f>
        <v/>
      </c>
      <c r="C4256" t="inlineStr">
        <is>
          <t>4cd87d14-7440-44b7-a5b2-a738e10006f7</t>
        </is>
      </c>
      <c r="D4256" t="n">
        <v>55.74998</v>
      </c>
      <c r="E4256" t="n">
        <v>37.65772</v>
      </c>
      <c r="F4256" t="inlineStr"/>
      <c r="G4256" t="inlineStr"/>
      <c r="H4256" t="inlineStr"/>
    </row>
    <row r="4257">
      <c r="A4257" t="inlineStr">
        <is>
          <t>fe250975-17df-4ea0-b763-d8a80ca2bedf.jpg</t>
        </is>
      </c>
      <c r="B4257">
        <f>HYPERLINK("Объекты недвижимости, не соответствующие градостроительным нормам_00-022_Август/fe250975-17df-4ea0-b763-d8a80ca2bedf.jpg","open")</f>
        <v/>
      </c>
      <c r="C4257" t="inlineStr">
        <is>
          <t>e26f5fc2-1353-4f29-85f3-87c56419161c</t>
        </is>
      </c>
      <c r="D4257" t="n">
        <v>55.74998</v>
      </c>
      <c r="E4257" t="n">
        <v>37.65772</v>
      </c>
      <c r="F4257" t="inlineStr"/>
      <c r="G4257" t="inlineStr"/>
      <c r="H4257" t="inlineStr"/>
    </row>
    <row r="4258">
      <c r="A4258" t="inlineStr">
        <is>
          <t>6b42d630-fb6e-41ef-acaa-658a01c558a3.jpg</t>
        </is>
      </c>
      <c r="B4258">
        <f>HYPERLINK("Объекты недвижимости, не соответствующие градостроительным нормам_00-022_Август/6b42d630-fb6e-41ef-acaa-658a01c558a3.jpg","open")</f>
        <v/>
      </c>
      <c r="C4258" t="inlineStr">
        <is>
          <t>e26f5fc2-1353-4f29-85f3-87c56419161c</t>
        </is>
      </c>
      <c r="D4258" t="n">
        <v>55.74998</v>
      </c>
      <c r="E4258" t="n">
        <v>37.65772</v>
      </c>
      <c r="F4258" t="inlineStr"/>
      <c r="G4258" t="inlineStr"/>
      <c r="H4258" t="inlineStr"/>
    </row>
    <row r="4259">
      <c r="A4259" t="inlineStr">
        <is>
          <t>3e5d5d9d-b3f1-4b27-ad8a-498abe3d3cc1.jpg</t>
        </is>
      </c>
      <c r="B4259">
        <f>HYPERLINK("Объекты недвижимости, не соответствующие градостроительным нормам_00-022_Август/3e5d5d9d-b3f1-4b27-ad8a-498abe3d3cc1.jpg","open")</f>
        <v/>
      </c>
      <c r="C4259" t="inlineStr">
        <is>
          <t>4cd87d14-7440-44b7-a5b2-a738e10006f7</t>
        </is>
      </c>
      <c r="D4259" t="n">
        <v>55.74998</v>
      </c>
      <c r="E4259" t="n">
        <v>37.65772</v>
      </c>
      <c r="F4259" t="inlineStr"/>
      <c r="G4259" t="inlineStr"/>
      <c r="H4259" t="inlineStr"/>
    </row>
    <row r="4260">
      <c r="A4260" t="inlineStr">
        <is>
          <t>e6867921-32fa-43ea-b4fd-014a2baadc09.jpg</t>
        </is>
      </c>
      <c r="B4260">
        <f>HYPERLINK("Объекты недвижимости, не соответствующие градостроительным нормам_00-022_Август/e6867921-32fa-43ea-b4fd-014a2baadc09.jpg","open")</f>
        <v/>
      </c>
      <c r="C4260" t="inlineStr">
        <is>
          <t>e26f5fc2-1353-4f29-85f3-87c56419161c</t>
        </is>
      </c>
      <c r="D4260" t="n">
        <v>55.74998</v>
      </c>
      <c r="E4260" t="n">
        <v>37.65772</v>
      </c>
      <c r="F4260" t="inlineStr"/>
      <c r="G4260" t="inlineStr"/>
      <c r="H4260" t="inlineStr"/>
    </row>
    <row r="4261">
      <c r="A4261" t="inlineStr">
        <is>
          <t>8ec4b12e-9f4d-4f51-b8a4-60085bc72675.jpg</t>
        </is>
      </c>
      <c r="B4261">
        <f>HYPERLINK("Объекты недвижимости, не соответствующие градостроительным нормам_00-022_Август/8ec4b12e-9f4d-4f51-b8a4-60085bc72675.jpg","open")</f>
        <v/>
      </c>
      <c r="C4261" t="inlineStr">
        <is>
          <t>57812597-37e6-414c-8b11-8c661dbfeb70</t>
        </is>
      </c>
      <c r="D4261" t="n">
        <v>55.67541</v>
      </c>
      <c r="E4261" t="n">
        <v>37.48508</v>
      </c>
      <c r="F4261" t="inlineStr"/>
      <c r="G4261" t="inlineStr"/>
      <c r="H4261" t="inlineStr"/>
    </row>
    <row r="4262">
      <c r="A4262" t="inlineStr">
        <is>
          <t>b2d7cde2-263b-4797-b3bf-a077c1f51672.jpg</t>
        </is>
      </c>
      <c r="B4262">
        <f>HYPERLINK("Объекты недвижимости, не соответствующие градостроительным нормам_00-022_Август/b2d7cde2-263b-4797-b3bf-a077c1f51672.jpg","open")</f>
        <v/>
      </c>
      <c r="C4262" t="inlineStr">
        <is>
          <t>e26f5fc2-1353-4f29-85f3-87c56419161c</t>
        </is>
      </c>
      <c r="D4262" t="n">
        <v>55.77167</v>
      </c>
      <c r="E4262" t="n">
        <v>37.55505</v>
      </c>
      <c r="F4262" t="inlineStr"/>
      <c r="G4262" t="inlineStr"/>
      <c r="H4262" t="inlineStr"/>
    </row>
    <row r="4263">
      <c r="A4263" t="inlineStr">
        <is>
          <t>d75252a1-cdf6-41ee-a024-e4911ac69d3a.jpg</t>
        </is>
      </c>
      <c r="B4263">
        <f>HYPERLINK("Объекты недвижимости, не соответствующие градостроительным нормам_00-022_Август/d75252a1-cdf6-41ee-a024-e4911ac69d3a.jpg","open")</f>
        <v/>
      </c>
      <c r="C4263" t="inlineStr">
        <is>
          <t>6e2567a0-1fb9-40d5-a0e7-0adb480d2965</t>
        </is>
      </c>
      <c r="D4263" t="n">
        <v>55.78796</v>
      </c>
      <c r="E4263" t="n">
        <v>37.67408</v>
      </c>
      <c r="F4263" t="inlineStr"/>
      <c r="G4263" t="inlineStr"/>
      <c r="H4263" t="inlineStr"/>
    </row>
    <row r="4264">
      <c r="A4264" t="inlineStr">
        <is>
          <t>ff52e696-224c-47a6-ad3f-e63fc10af24a.jpg</t>
        </is>
      </c>
      <c r="B4264">
        <f>HYPERLINK("Объекты недвижимости, не соответствующие градостроительным нормам_00-022_Август/ff52e696-224c-47a6-ad3f-e63fc10af24a.jpg","open")</f>
        <v/>
      </c>
      <c r="C4264" t="inlineStr">
        <is>
          <t>5e5b9944-4f9e-4223-bf96-0bc0c8a93dfa</t>
        </is>
      </c>
      <c r="D4264" t="n">
        <v>55.71035</v>
      </c>
      <c r="E4264" t="n">
        <v>37.66511</v>
      </c>
      <c r="F4264" t="inlineStr"/>
      <c r="G4264" t="inlineStr"/>
      <c r="H4264" t="inlineStr"/>
    </row>
    <row r="4265">
      <c r="A4265" t="inlineStr">
        <is>
          <t>659319dc-8e3c-4e08-88be-c5c814828395.jpg</t>
        </is>
      </c>
      <c r="B4265">
        <f>HYPERLINK("Объекты недвижимости, не соответствующие градостроительным нормам_00-022_Август/659319dc-8e3c-4e08-88be-c5c814828395.jpg","open")</f>
        <v/>
      </c>
      <c r="C4265" t="inlineStr">
        <is>
          <t>5e5b9944-4f9e-4223-bf96-0bc0c8a93dfa</t>
        </is>
      </c>
      <c r="D4265" t="n">
        <v>55.71035</v>
      </c>
      <c r="E4265" t="n">
        <v>37.66511</v>
      </c>
      <c r="F4265" t="inlineStr"/>
      <c r="G4265" t="inlineStr"/>
      <c r="H4265" t="inlineStr"/>
    </row>
    <row r="4266">
      <c r="A4266" t="inlineStr">
        <is>
          <t>7b7a8cad-097a-49e3-aaae-77654172996e.jpg</t>
        </is>
      </c>
      <c r="B4266">
        <f>HYPERLINK("Объекты недвижимости, не соответствующие градостроительным нормам_00-022_Август/7b7a8cad-097a-49e3-aaae-77654172996e.jpg","open")</f>
        <v/>
      </c>
      <c r="C4266" t="inlineStr">
        <is>
          <t>db8b536c-32f2-4d9a-ae08-679d227e61f1</t>
        </is>
      </c>
      <c r="D4266" t="n">
        <v>55.68137</v>
      </c>
      <c r="E4266" t="n">
        <v>37.5545</v>
      </c>
      <c r="F4266" t="inlineStr"/>
      <c r="G4266" t="inlineStr"/>
      <c r="H4266" t="inlineStr"/>
    </row>
    <row r="4267">
      <c r="A4267" t="inlineStr">
        <is>
          <t>3b97080d-b3fd-429e-9e11-c2a089563055.jpg</t>
        </is>
      </c>
      <c r="B4267">
        <f>HYPERLINK("Объекты недвижимости, не соответствующие градостроительным нормам_00-022_Август/3b97080d-b3fd-429e-9e11-c2a089563055.jpg","open")</f>
        <v/>
      </c>
      <c r="C4267" t="inlineStr">
        <is>
          <t>5e5b9944-4f9e-4223-bf96-0bc0c8a93dfa</t>
        </is>
      </c>
      <c r="D4267" t="n">
        <v>55.71035</v>
      </c>
      <c r="E4267" t="n">
        <v>37.66511</v>
      </c>
      <c r="F4267" t="inlineStr"/>
      <c r="G4267" t="inlineStr"/>
      <c r="H4267" t="inlineStr"/>
    </row>
    <row r="4268">
      <c r="A4268" t="inlineStr">
        <is>
          <t>d3399600-148d-4e4c-9852-b009e786a329.jpg</t>
        </is>
      </c>
      <c r="B4268">
        <f>HYPERLINK("Объекты недвижимости, не соответствующие градостроительным нормам_00-022_Август/d3399600-148d-4e4c-9852-b009e786a329.jpg","open")</f>
        <v/>
      </c>
      <c r="C4268" t="inlineStr">
        <is>
          <t>db8b536c-32f2-4d9a-ae08-679d227e61f1</t>
        </is>
      </c>
      <c r="D4268" t="n">
        <v>55.68137</v>
      </c>
      <c r="E4268" t="n">
        <v>37.5545</v>
      </c>
      <c r="F4268" t="inlineStr"/>
      <c r="G4268" t="inlineStr"/>
      <c r="H4268" t="inlineStr"/>
    </row>
    <row r="4269">
      <c r="A4269" t="inlineStr">
        <is>
          <t>2a2afcfe-2619-4363-ad3e-ef369f83f9ae.jpg</t>
        </is>
      </c>
      <c r="B4269">
        <f>HYPERLINK("Объекты недвижимости, не соответствующие градостроительным нормам_00-022_Август/2a2afcfe-2619-4363-ad3e-ef369f83f9ae.jpg","open")</f>
        <v/>
      </c>
      <c r="C4269" t="inlineStr">
        <is>
          <t>b6b3590f-f506-4399-8205-e7ac710132e7</t>
        </is>
      </c>
      <c r="D4269" t="n">
        <v>55.7977</v>
      </c>
      <c r="E4269" t="n">
        <v>37.56694</v>
      </c>
      <c r="F4269" t="inlineStr"/>
      <c r="G4269" t="inlineStr"/>
      <c r="H4269" t="inlineStr"/>
    </row>
    <row r="4270">
      <c r="A4270" t="inlineStr">
        <is>
          <t>5f26a699-5473-49a7-9975-986b779631e2.jpg</t>
        </is>
      </c>
      <c r="B4270">
        <f>HYPERLINK("Объекты недвижимости, не соответствующие градостроительным нормам_00-022_Август/5f26a699-5473-49a7-9975-986b779631e2.jpg","open")</f>
        <v/>
      </c>
      <c r="C4270" t="inlineStr">
        <is>
          <t>5adecbcf-6742-48b8-951f-8e3abc9509e4</t>
        </is>
      </c>
      <c r="D4270" t="n">
        <v>55.71035</v>
      </c>
      <c r="E4270" t="n">
        <v>37.66511</v>
      </c>
      <c r="F4270" t="inlineStr"/>
      <c r="G4270" t="inlineStr"/>
      <c r="H4270" t="inlineStr"/>
    </row>
    <row r="4271">
      <c r="A4271" t="inlineStr">
        <is>
          <t>adc8e7de-84c8-4783-9e35-4898e82c54e5.jpg</t>
        </is>
      </c>
      <c r="B4271">
        <f>HYPERLINK("Объекты недвижимости, не соответствующие градостроительным нормам_00-022_Август/adc8e7de-84c8-4783-9e35-4898e82c54e5.jpg","open")</f>
        <v/>
      </c>
      <c r="C4271" t="inlineStr">
        <is>
          <t>b0b7ea82-53be-40d0-b992-e2fd18611d5c</t>
        </is>
      </c>
      <c r="D4271" t="n">
        <v>55.7001</v>
      </c>
      <c r="E4271" t="n">
        <v>37.73267</v>
      </c>
      <c r="F4271" t="inlineStr"/>
      <c r="G4271" t="inlineStr"/>
      <c r="H4271" t="inlineStr"/>
    </row>
    <row r="4272">
      <c r="A4272" t="inlineStr">
        <is>
          <t>6f7f1294-9752-4087-8358-4d15b83401b3.jpg</t>
        </is>
      </c>
      <c r="B4272">
        <f>HYPERLINK("Объекты недвижимости, не соответствующие градостроительным нормам_00-022_Август/6f7f1294-9752-4087-8358-4d15b83401b3.jpg","open")</f>
        <v/>
      </c>
      <c r="C4272" t="inlineStr">
        <is>
          <t>b0b7ea82-53be-40d0-b992-e2fd18611d5c</t>
        </is>
      </c>
      <c r="D4272" t="n">
        <v>55.69992</v>
      </c>
      <c r="E4272" t="n">
        <v>37.73271</v>
      </c>
      <c r="F4272" t="inlineStr"/>
      <c r="G4272" t="inlineStr"/>
      <c r="H4272" t="inlineStr"/>
    </row>
    <row r="4273">
      <c r="A4273" t="inlineStr">
        <is>
          <t>3dbe4d9a-e3f9-453f-a34a-739b24e2cf09.jpg</t>
        </is>
      </c>
      <c r="B4273">
        <f>HYPERLINK("Объекты недвижимости, не соответствующие градостроительным нормам_00-022_Август/3dbe4d9a-e3f9-453f-a34a-739b24e2cf09.jpg","open")</f>
        <v/>
      </c>
      <c r="C4273" t="inlineStr">
        <is>
          <t>5e5b9944-4f9e-4223-bf96-0bc0c8a93dfa</t>
        </is>
      </c>
      <c r="D4273" t="n">
        <v>55.71035</v>
      </c>
      <c r="E4273" t="n">
        <v>37.66511</v>
      </c>
      <c r="F4273" t="inlineStr"/>
      <c r="G4273" t="inlineStr"/>
      <c r="H4273" t="inlineStr"/>
    </row>
    <row r="4274">
      <c r="A4274" t="inlineStr">
        <is>
          <t>7edcdd4a-e8bd-4a3d-9c13-c2e4569c9d87.jpg</t>
        </is>
      </c>
      <c r="B4274">
        <f>HYPERLINK("Объекты недвижимости, не соответствующие градостроительным нормам_00-022_Август/7edcdd4a-e8bd-4a3d-9c13-c2e4569c9d87.jpg","open")</f>
        <v/>
      </c>
      <c r="C4274" t="inlineStr">
        <is>
          <t>b0429a31-0c70-4b9f-8ea5-73929d82f89e</t>
        </is>
      </c>
      <c r="D4274" t="n">
        <v>55.70884</v>
      </c>
      <c r="E4274" t="n">
        <v>37.66642</v>
      </c>
      <c r="F4274" t="inlineStr"/>
      <c r="G4274" t="inlineStr"/>
      <c r="H4274" t="inlineStr"/>
    </row>
    <row r="4275">
      <c r="A4275" t="inlineStr">
        <is>
          <t>4d292967-f1eb-4973-a331-ff211435a7f7.jpg</t>
        </is>
      </c>
      <c r="B4275">
        <f>HYPERLINK("Объекты недвижимости, не соответствующие градостроительным нормам_00-022_Август/4d292967-f1eb-4973-a331-ff211435a7f7.jpg","open")</f>
        <v/>
      </c>
      <c r="C4275" t="inlineStr">
        <is>
          <t>57aae8a4-582b-4309-8045-c8127a9f86ae</t>
        </is>
      </c>
      <c r="D4275" t="n">
        <v>55.80239</v>
      </c>
      <c r="E4275" t="n">
        <v>37.77034</v>
      </c>
      <c r="F4275" t="inlineStr"/>
      <c r="G4275" t="inlineStr"/>
      <c r="H4275" t="inlineStr"/>
    </row>
    <row r="4276">
      <c r="A4276" t="inlineStr">
        <is>
          <t>4602f0db-51a0-439f-aaa7-f11cff2739ba.jpg</t>
        </is>
      </c>
      <c r="B4276">
        <f>HYPERLINK("Объекты недвижимости, не соответствующие градостроительным нормам_00-022_Август/4602f0db-51a0-439f-aaa7-f11cff2739ba.jpg","open")</f>
        <v/>
      </c>
      <c r="C4276" t="inlineStr">
        <is>
          <t>57812597-37e6-414c-8b11-8c661dbfeb70</t>
        </is>
      </c>
      <c r="D4276" t="n">
        <v>55.74272</v>
      </c>
      <c r="E4276" t="n">
        <v>37.60044</v>
      </c>
      <c r="F4276" t="inlineStr"/>
      <c r="G4276" t="inlineStr"/>
      <c r="H4276" t="inlineStr"/>
    </row>
    <row r="4277">
      <c r="A4277" t="inlineStr">
        <is>
          <t>d6488d07-c5fc-472c-ae95-4a01ea817474.jpg</t>
        </is>
      </c>
      <c r="B4277">
        <f>HYPERLINK("Объекты недвижимости, не соответствующие градостроительным нормам_00-022_Август/d6488d07-c5fc-472c-ae95-4a01ea817474.jpg","open")</f>
        <v/>
      </c>
      <c r="C4277" t="inlineStr">
        <is>
          <t>685d9054-b74f-49ab-857b-109fd2cec80d</t>
        </is>
      </c>
      <c r="D4277" t="n">
        <v>55.75033</v>
      </c>
      <c r="E4277" t="n">
        <v>37.70837</v>
      </c>
      <c r="F4277" t="inlineStr"/>
      <c r="G4277" t="inlineStr"/>
      <c r="H4277" t="inlineStr"/>
    </row>
    <row r="4278">
      <c r="A4278" t="inlineStr">
        <is>
          <t>dd1a52a7-f153-4e46-b10c-96a84401054e.jpg</t>
        </is>
      </c>
      <c r="B4278">
        <f>HYPERLINK("Объекты недвижимости, не соответствующие градостроительным нормам_00-022_Август/dd1a52a7-f153-4e46-b10c-96a84401054e.jpg","open")</f>
        <v/>
      </c>
      <c r="C4278" t="inlineStr">
        <is>
          <t>acedacc2-0d8b-4fc1-9622-25621a89d071</t>
        </is>
      </c>
      <c r="D4278" t="n">
        <v>55.8005</v>
      </c>
      <c r="E4278" t="n">
        <v>37.77163</v>
      </c>
      <c r="F4278" t="inlineStr"/>
      <c r="G4278" t="inlineStr"/>
      <c r="H4278" t="inlineStr"/>
    </row>
    <row r="4279">
      <c r="A4279" t="inlineStr">
        <is>
          <t>86d8452b-80af-4351-8ba4-f7560e29d129.jpg</t>
        </is>
      </c>
      <c r="B4279">
        <f>HYPERLINK("Объекты недвижимости, не соответствующие градостроительным нормам_00-022_Август/86d8452b-80af-4351-8ba4-f7560e29d129.jpg","open")</f>
        <v/>
      </c>
      <c r="C4279" t="inlineStr">
        <is>
          <t>57aae8a4-582b-4309-8045-c8127a9f86ae</t>
        </is>
      </c>
      <c r="D4279" t="n">
        <v>55.80053</v>
      </c>
      <c r="E4279" t="n">
        <v>37.77161</v>
      </c>
      <c r="F4279" t="inlineStr"/>
      <c r="G4279" t="inlineStr"/>
      <c r="H4279" t="inlineStr"/>
    </row>
    <row r="4280">
      <c r="A4280" t="inlineStr">
        <is>
          <t>e2c35998-5ca7-4a41-83df-e1635008851d.jpg</t>
        </is>
      </c>
      <c r="B4280">
        <f>HYPERLINK("Объекты недвижимости, не соответствующие градостроительным нормам_00-022_Август/e2c35998-5ca7-4a41-83df-e1635008851d.jpg","open")</f>
        <v/>
      </c>
      <c r="C4280" t="inlineStr">
        <is>
          <t>1231bbc5-e64c-4dc7-9acc-77710f47607a</t>
        </is>
      </c>
      <c r="D4280" t="n">
        <v>55.70483</v>
      </c>
      <c r="E4280" t="n">
        <v>37.63484</v>
      </c>
      <c r="F4280" t="inlineStr"/>
      <c r="G4280" t="inlineStr"/>
      <c r="H4280" t="inlineStr"/>
    </row>
    <row r="4281">
      <c r="A4281" t="inlineStr">
        <is>
          <t>412b73fa-6dd4-45a7-9598-6bc1dddadb0f.jpg</t>
        </is>
      </c>
      <c r="B4281">
        <f>HYPERLINK("Объекты недвижимости, не соответствующие градостроительным нормам_00-022_Август/412b73fa-6dd4-45a7-9598-6bc1dddadb0f.jpg","open")</f>
        <v/>
      </c>
      <c r="C4281" t="inlineStr">
        <is>
          <t>685d9054-b74f-49ab-857b-109fd2cec80d</t>
        </is>
      </c>
      <c r="D4281" t="n">
        <v>55.70597</v>
      </c>
      <c r="E4281" t="n">
        <v>37.62056</v>
      </c>
      <c r="F4281" t="inlineStr"/>
      <c r="G4281" t="inlineStr"/>
      <c r="H4281" t="inlineStr"/>
    </row>
    <row r="4282">
      <c r="A4282" t="inlineStr">
        <is>
          <t>cbfb9c18-76ac-48b9-83bb-b55478276d23.jpg</t>
        </is>
      </c>
      <c r="B4282">
        <f>HYPERLINK("Объекты недвижимости, не соответствующие градостроительным нормам_00-022_Август/cbfb9c18-76ac-48b9-83bb-b55478276d23.jpg","open")</f>
        <v/>
      </c>
      <c r="C4282" t="inlineStr">
        <is>
          <t>29ad9edb-d533-4272-a986-be24eb004851</t>
        </is>
      </c>
      <c r="D4282" t="n">
        <v>55.75066</v>
      </c>
      <c r="E4282" t="n">
        <v>37.65907</v>
      </c>
      <c r="F4282" t="inlineStr"/>
      <c r="G4282" t="inlineStr"/>
      <c r="H4282" t="inlineStr"/>
    </row>
    <row r="4283">
      <c r="A4283" t="inlineStr">
        <is>
          <t>d84b6e4f-edd2-441c-a250-e6c435e22912.jpg</t>
        </is>
      </c>
      <c r="B4283">
        <f>HYPERLINK("Объекты недвижимости, не соответствующие градостроительным нормам_00-022_Август/d84b6e4f-edd2-441c-a250-e6c435e22912.jpg","open")</f>
        <v/>
      </c>
      <c r="C4283" t="inlineStr">
        <is>
          <t>685d9054-b74f-49ab-857b-109fd2cec80d</t>
        </is>
      </c>
      <c r="D4283" t="n">
        <v>55.69579</v>
      </c>
      <c r="E4283" t="n">
        <v>37.61063</v>
      </c>
      <c r="F4283" t="inlineStr"/>
      <c r="G4283" t="inlineStr"/>
      <c r="H4283" t="inlineStr"/>
    </row>
    <row r="4284">
      <c r="A4284" t="inlineStr">
        <is>
          <t>ac2ab6ad-5ffe-412b-8b6d-a63a1f74ab30.jpg</t>
        </is>
      </c>
      <c r="B4284">
        <f>HYPERLINK("Объекты недвижимости, не соответствующие градостроительным нормам_00-022_Август/ac2ab6ad-5ffe-412b-8b6d-a63a1f74ab30.jpg","open")</f>
        <v/>
      </c>
      <c r="C4284" t="inlineStr">
        <is>
          <t>685d9054-b74f-49ab-857b-109fd2cec80d</t>
        </is>
      </c>
      <c r="D4284" t="n">
        <v>55.69179</v>
      </c>
      <c r="E4284" t="n">
        <v>37.60698</v>
      </c>
      <c r="F4284" t="inlineStr"/>
      <c r="G4284" t="inlineStr"/>
      <c r="H4284" t="inlineStr"/>
    </row>
    <row r="4285">
      <c r="A4285" t="inlineStr">
        <is>
          <t>2e69efb3-3712-4103-a9fd-8b21d7db5293.jpg</t>
        </is>
      </c>
      <c r="B4285">
        <f>HYPERLINK("Объекты недвижимости, не соответствующие градостроительным нормам_00-022_Август/2e69efb3-3712-4103-a9fd-8b21d7db5293.jpg","open")</f>
        <v/>
      </c>
      <c r="C4285" t="inlineStr">
        <is>
          <t>ed2bf0f1-3a66-4913-896e-4420a9796c0b</t>
        </is>
      </c>
      <c r="D4285" t="n">
        <v>55.71061</v>
      </c>
      <c r="E4285" t="n">
        <v>37.67002</v>
      </c>
      <c r="F4285" t="inlineStr"/>
      <c r="G4285" t="inlineStr"/>
      <c r="H4285" t="inlineStr"/>
    </row>
    <row r="4286">
      <c r="A4286" t="inlineStr">
        <is>
          <t>5029ebca-000e-4800-b5bc-5d8670a7a367.jpg</t>
        </is>
      </c>
      <c r="B4286">
        <f>HYPERLINK("Объекты недвижимости, не соответствующие градостроительным нормам_00-022_Август/5029ebca-000e-4800-b5bc-5d8670a7a367.jpg","open")</f>
        <v/>
      </c>
      <c r="C4286" t="inlineStr">
        <is>
          <t>b0429a31-0c70-4b9f-8ea5-73929d82f89e</t>
        </is>
      </c>
      <c r="D4286" t="n">
        <v>55.67877</v>
      </c>
      <c r="E4286" t="n">
        <v>37.65752</v>
      </c>
      <c r="F4286" t="inlineStr"/>
      <c r="G4286" t="inlineStr"/>
      <c r="H4286" t="inlineStr"/>
    </row>
    <row r="4287">
      <c r="A4287" t="inlineStr">
        <is>
          <t>6acdfbf7-bea0-4f97-888b-8648af7565e4.jpg</t>
        </is>
      </c>
      <c r="B4287">
        <f>HYPERLINK("Объекты недвижимости, не соответствующие градостроительным нормам_00-022_Август/6acdfbf7-bea0-4f97-888b-8648af7565e4.jpg","open")</f>
        <v/>
      </c>
      <c r="C4287" t="inlineStr">
        <is>
          <t>b0429a31-0c70-4b9f-8ea5-73929d82f89e</t>
        </is>
      </c>
      <c r="D4287" t="n">
        <v>55.67892</v>
      </c>
      <c r="E4287" t="n">
        <v>37.65752</v>
      </c>
      <c r="F4287" t="inlineStr"/>
      <c r="G4287" t="inlineStr"/>
      <c r="H4287" t="inlineStr"/>
    </row>
    <row r="4288">
      <c r="A4288" t="inlineStr">
        <is>
          <t>c5e0ad2c-ffbf-4ed7-8ca5-c131f687232d.jpg</t>
        </is>
      </c>
      <c r="B4288">
        <f>HYPERLINK("Объекты недвижимости, не соответствующие градостроительным нормам_00-022_Август/c5e0ad2c-ffbf-4ed7-8ca5-c131f687232d.jpg","open")</f>
        <v/>
      </c>
      <c r="C4288" t="inlineStr">
        <is>
          <t>99f3abba-c55b-49f0-9de5-9f88e9597cc0</t>
        </is>
      </c>
      <c r="D4288" t="n">
        <v>55.67886</v>
      </c>
      <c r="E4288" t="n">
        <v>37.65827</v>
      </c>
      <c r="F4288" t="inlineStr"/>
      <c r="G4288" t="inlineStr"/>
      <c r="H4288" t="inlineStr"/>
    </row>
    <row r="4289">
      <c r="A4289" t="inlineStr">
        <is>
          <t>7f100fed-48d8-42a4-98a0-b8d89ae5cf5a.jpg</t>
        </is>
      </c>
      <c r="B4289">
        <f>HYPERLINK("Объекты недвижимости, не соответствующие градостроительным нормам_00-022_Август/7f100fed-48d8-42a4-98a0-b8d89ae5cf5a.jpg","open")</f>
        <v/>
      </c>
      <c r="C4289" t="inlineStr">
        <is>
          <t>acedacc2-0d8b-4fc1-9622-25621a89d071</t>
        </is>
      </c>
      <c r="D4289" t="n">
        <v>55.7988</v>
      </c>
      <c r="E4289" t="n">
        <v>37.77365</v>
      </c>
      <c r="F4289" t="inlineStr"/>
      <c r="G4289" t="inlineStr"/>
      <c r="H4289" t="inlineStr"/>
    </row>
    <row r="4290">
      <c r="A4290" t="inlineStr">
        <is>
          <t>34d7503f-5be2-4b70-b278-9d766ed359f4.jpg</t>
        </is>
      </c>
      <c r="B4290">
        <f>HYPERLINK("Объекты недвижимости, не соответствующие градостроительным нормам_00-022_Август/34d7503f-5be2-4b70-b278-9d766ed359f4.jpg","open")</f>
        <v/>
      </c>
      <c r="C4290" t="inlineStr">
        <is>
          <t>1a55986c-2c3f-40c0-b3d1-014dce77832e</t>
        </is>
      </c>
      <c r="D4290" t="n">
        <v>55.71006</v>
      </c>
      <c r="E4290" t="n">
        <v>37.6644</v>
      </c>
      <c r="F4290" t="inlineStr"/>
      <c r="G4290" t="inlineStr"/>
      <c r="H4290" t="inlineStr"/>
    </row>
    <row r="4291">
      <c r="A4291" t="inlineStr">
        <is>
          <t>13d3164e-ca12-4277-8641-edad46971b66.jpg</t>
        </is>
      </c>
      <c r="B4291">
        <f>HYPERLINK("Объекты недвижимости, не соответствующие градостроительным нормам_00-022_Август/13d3164e-ca12-4277-8641-edad46971b66.jpg","open")</f>
        <v/>
      </c>
      <c r="C4291" t="inlineStr">
        <is>
          <t>cbf95b01-f708-45a3-9ec0-3603469b538e</t>
        </is>
      </c>
      <c r="D4291" t="n">
        <v>55.75053</v>
      </c>
      <c r="E4291" t="n">
        <v>37.63917</v>
      </c>
      <c r="F4291" t="inlineStr"/>
      <c r="G4291" t="inlineStr"/>
      <c r="H4291" t="inlineStr"/>
    </row>
    <row r="4292">
      <c r="A4292" t="inlineStr">
        <is>
          <t>b80a3094-d752-4aeb-bcc6-0268b553f822.jpg</t>
        </is>
      </c>
      <c r="B4292">
        <f>HYPERLINK("Объекты недвижимости, не соответствующие градостроительным нормам_00-022_Август/b80a3094-d752-4aeb-bcc6-0268b553f822.jpg","open")</f>
        <v/>
      </c>
      <c r="C4292" t="inlineStr">
        <is>
          <t>ed2bf0f1-3a66-4913-896e-4420a9796c0b</t>
        </is>
      </c>
      <c r="D4292" t="n">
        <v>55.71026</v>
      </c>
      <c r="E4292" t="n">
        <v>37.66478</v>
      </c>
      <c r="F4292" t="inlineStr"/>
      <c r="G4292" t="inlineStr"/>
      <c r="H4292" t="inlineStr"/>
    </row>
    <row r="4293">
      <c r="A4293" t="inlineStr">
        <is>
          <t>74d26835-7905-4bc0-bc4c-9825545aeb08.jpg</t>
        </is>
      </c>
      <c r="B4293">
        <f>HYPERLINK("Объекты недвижимости, не соответствующие градостроительным нормам_00-022_Август/74d26835-7905-4bc0-bc4c-9825545aeb08.jpg","open")</f>
        <v/>
      </c>
      <c r="C4293" t="inlineStr">
        <is>
          <t>685d9054-b74f-49ab-857b-109fd2cec80d</t>
        </is>
      </c>
      <c r="D4293" t="n">
        <v>55.68805</v>
      </c>
      <c r="E4293" t="n">
        <v>37.60143</v>
      </c>
      <c r="F4293" t="inlineStr"/>
      <c r="G4293" t="inlineStr"/>
      <c r="H4293" t="inlineStr"/>
    </row>
    <row r="4294">
      <c r="A4294" t="inlineStr">
        <is>
          <t>ef5418d1-0c9a-405b-bf92-2a91fd5f6e18.jpg</t>
        </is>
      </c>
      <c r="B4294">
        <f>HYPERLINK("Объекты недвижимости, не соответствующие градостроительным нормам_00-022_Август/ef5418d1-0c9a-405b-bf92-2a91fd5f6e18.jpg","open")</f>
        <v/>
      </c>
      <c r="C4294" t="inlineStr">
        <is>
          <t>036c664f-5408-4fd0-b479-342c00468eeb</t>
        </is>
      </c>
      <c r="D4294" t="n">
        <v>55.63404</v>
      </c>
      <c r="E4294" t="n">
        <v>37.5202</v>
      </c>
      <c r="F4294" t="inlineStr"/>
      <c r="G4294" t="inlineStr"/>
      <c r="H4294" t="inlineStr"/>
    </row>
    <row r="4295">
      <c r="A4295" t="inlineStr">
        <is>
          <t>aa5271bc-cf04-483d-82b8-bf7b89065655.jpg</t>
        </is>
      </c>
      <c r="B4295">
        <f>HYPERLINK("Объекты недвижимости, не соответствующие градостроительным нормам_00-022_Август/aa5271bc-cf04-483d-82b8-bf7b89065655.jpg","open")</f>
        <v/>
      </c>
      <c r="C4295" t="inlineStr">
        <is>
          <t>b0429a31-0c70-4b9f-8ea5-73929d82f89e</t>
        </is>
      </c>
      <c r="D4295" t="n">
        <v>55.67876</v>
      </c>
      <c r="E4295" t="n">
        <v>37.65206</v>
      </c>
      <c r="F4295" t="inlineStr"/>
      <c r="G4295" t="inlineStr"/>
      <c r="H4295" t="inlineStr"/>
    </row>
    <row r="4296">
      <c r="A4296" t="inlineStr">
        <is>
          <t>f4d8a5a9-71f8-4323-acf7-f1586b40557d.jpg</t>
        </is>
      </c>
      <c r="B4296">
        <f>HYPERLINK("Объекты недвижимости, не соответствующие градостроительным нормам_00-022_Август/f4d8a5a9-71f8-4323-acf7-f1586b40557d.jpg","open")</f>
        <v/>
      </c>
      <c r="C4296" t="inlineStr">
        <is>
          <t>b0b7ea82-53be-40d0-b992-e2fd18611d5c</t>
        </is>
      </c>
      <c r="D4296" t="n">
        <v>55.68164</v>
      </c>
      <c r="E4296" t="n">
        <v>37.7424</v>
      </c>
      <c r="F4296" t="inlineStr"/>
      <c r="G4296" t="inlineStr"/>
      <c r="H4296" t="inlineStr"/>
    </row>
    <row r="4297">
      <c r="A4297" t="inlineStr">
        <is>
          <t>4af18073-edf7-47ff-a700-85c360bfb96f.jpg</t>
        </is>
      </c>
      <c r="B4297">
        <f>HYPERLINK("Объекты недвижимости, не соответствующие градостроительным нормам_00-022_Август/4af18073-edf7-47ff-a700-85c360bfb96f.jpg","open")</f>
        <v/>
      </c>
      <c r="C4297" t="inlineStr">
        <is>
          <t>b0b7ea82-53be-40d0-b992-e2fd18611d5c</t>
        </is>
      </c>
      <c r="D4297" t="n">
        <v>55.68165</v>
      </c>
      <c r="E4297" t="n">
        <v>37.74234</v>
      </c>
      <c r="F4297" t="inlineStr"/>
      <c r="G4297" t="inlineStr"/>
      <c r="H4297" t="inlineStr"/>
    </row>
    <row r="4298">
      <c r="A4298" t="inlineStr">
        <is>
          <t>c916a22d-20d4-45df-934e-39fc100d6a9d.jpg</t>
        </is>
      </c>
      <c r="B4298">
        <f>HYPERLINK("Объекты недвижимости, не соответствующие градостроительным нормам_00-022_Август/c916a22d-20d4-45df-934e-39fc100d6a9d.jpg","open")</f>
        <v/>
      </c>
      <c r="C4298" t="inlineStr">
        <is>
          <t>789f6c51-64ee-4078-b7bd-443af8b8b68a</t>
        </is>
      </c>
      <c r="D4298" t="n">
        <v>55.8526</v>
      </c>
      <c r="E4298" t="n">
        <v>37.68067</v>
      </c>
      <c r="F4298" t="inlineStr"/>
      <c r="G4298" t="inlineStr"/>
      <c r="H4298" t="inlineStr"/>
    </row>
    <row r="4299">
      <c r="A4299" t="inlineStr">
        <is>
          <t>6f38d5a0-4ea9-4115-86a7-d65bbb73eb9a.jpg</t>
        </is>
      </c>
      <c r="B4299">
        <f>HYPERLINK("Объекты недвижимости, не соответствующие градостроительным нормам_00-022_Август/6f38d5a0-4ea9-4115-86a7-d65bbb73eb9a.jpg","open")</f>
        <v/>
      </c>
      <c r="C4299" t="inlineStr">
        <is>
          <t>1231bbc5-e64c-4dc7-9acc-77710f47607a</t>
        </is>
      </c>
      <c r="D4299" t="n">
        <v>55.6887</v>
      </c>
      <c r="E4299" t="n">
        <v>37.59997</v>
      </c>
      <c r="F4299" t="inlineStr"/>
      <c r="G4299" t="inlineStr"/>
      <c r="H4299" t="inlineStr"/>
    </row>
    <row r="4300">
      <c r="A4300" t="inlineStr">
        <is>
          <t>7206b8cf-ef57-48d4-9ca3-e40334773ab8.jpg</t>
        </is>
      </c>
      <c r="B4300">
        <f>HYPERLINK("Объекты недвижимости, не соответствующие градостроительным нормам_00-022_Август/7206b8cf-ef57-48d4-9ca3-e40334773ab8.jpg","open")</f>
        <v/>
      </c>
      <c r="C4300" t="inlineStr">
        <is>
          <t>ed2bf0f1-3a66-4913-896e-4420a9796c0b</t>
        </is>
      </c>
      <c r="D4300" t="n">
        <v>55.71037</v>
      </c>
      <c r="E4300" t="n">
        <v>37.6647</v>
      </c>
      <c r="F4300" t="inlineStr"/>
      <c r="G4300" t="inlineStr"/>
      <c r="H4300" t="inlineStr"/>
    </row>
    <row r="4301">
      <c r="A4301" t="inlineStr">
        <is>
          <t>3022ed9b-4294-4139-8f14-02395c05ae2c.jpg</t>
        </is>
      </c>
      <c r="B4301">
        <f>HYPERLINK("Объекты недвижимости, не соответствующие градостроительным нормам_00-022_Август/3022ed9b-4294-4139-8f14-02395c05ae2c.jpg","open")</f>
        <v/>
      </c>
      <c r="C4301" t="inlineStr">
        <is>
          <t>ed2bf0f1-3a66-4913-896e-4420a9796c0b</t>
        </is>
      </c>
      <c r="D4301" t="n">
        <v>55.70876</v>
      </c>
      <c r="E4301" t="n">
        <v>37.66057</v>
      </c>
      <c r="F4301" t="inlineStr"/>
      <c r="G4301" t="inlineStr"/>
      <c r="H4301" t="inlineStr"/>
    </row>
    <row r="4302">
      <c r="A4302" t="inlineStr">
        <is>
          <t>81763858-1001-4bf2-ba87-f28d7d45c832.jpg</t>
        </is>
      </c>
      <c r="B4302">
        <f>HYPERLINK("Объекты недвижимости, не соответствующие градостроительным нормам_00-022_Август/81763858-1001-4bf2-ba87-f28d7d45c832.jpg","open")</f>
        <v/>
      </c>
      <c r="C4302" t="inlineStr">
        <is>
          <t>1a55986c-2c3f-40c0-b3d1-014dce77832e</t>
        </is>
      </c>
      <c r="D4302" t="n">
        <v>55.70625</v>
      </c>
      <c r="E4302" t="n">
        <v>37.65567</v>
      </c>
      <c r="F4302" t="inlineStr"/>
      <c r="G4302" t="inlineStr"/>
      <c r="H4302" t="inlineStr"/>
    </row>
    <row r="4303">
      <c r="A4303" t="inlineStr">
        <is>
          <t>841bb15e-79bf-4f1b-8667-03f24d2e896b.jpg</t>
        </is>
      </c>
      <c r="B4303">
        <f>HYPERLINK("Объекты недвижимости, не соответствующие градостроительным нормам_00-022_Август/841bb15e-79bf-4f1b-8667-03f24d2e896b.jpg","open")</f>
        <v/>
      </c>
      <c r="C4303" t="inlineStr">
        <is>
          <t>1231bbc5-e64c-4dc7-9acc-77710f47607a</t>
        </is>
      </c>
      <c r="D4303" t="n">
        <v>55.68856</v>
      </c>
      <c r="E4303" t="n">
        <v>37.59822</v>
      </c>
      <c r="F4303" t="inlineStr"/>
      <c r="G4303" t="inlineStr"/>
      <c r="H4303" t="inlineStr"/>
    </row>
    <row r="4304">
      <c r="A4304" t="inlineStr">
        <is>
          <t>242acb76-942c-4e46-9909-6ab41fdd703a.jpg</t>
        </is>
      </c>
      <c r="B4304">
        <f>HYPERLINK("Объекты недвижимости, не соответствующие градостроительным нормам_00-022_Август/242acb76-942c-4e46-9909-6ab41fdd703a.jpg","open")</f>
        <v/>
      </c>
      <c r="C4304" t="inlineStr">
        <is>
          <t>ed2bf0f1-3a66-4913-896e-4420a9796c0b</t>
        </is>
      </c>
      <c r="D4304" t="n">
        <v>55.70736</v>
      </c>
      <c r="E4304" t="n">
        <v>37.65733</v>
      </c>
      <c r="F4304" t="inlineStr"/>
      <c r="G4304" t="inlineStr"/>
      <c r="H4304" t="inlineStr"/>
    </row>
    <row r="4305">
      <c r="A4305" t="inlineStr">
        <is>
          <t>d84b71f5-5649-453b-a102-1754e6d7a669.jpg</t>
        </is>
      </c>
      <c r="B4305">
        <f>HYPERLINK("Объекты недвижимости, не соответствующие градостроительным нормам_00-022_Август/d84b71f5-5649-453b-a102-1754e6d7a669.jpg","open")</f>
        <v/>
      </c>
      <c r="C4305" t="inlineStr">
        <is>
          <t>685d9054-b74f-49ab-857b-109fd2cec80d</t>
        </is>
      </c>
      <c r="D4305" t="n">
        <v>55.68893</v>
      </c>
      <c r="E4305" t="n">
        <v>37.59899</v>
      </c>
      <c r="F4305" t="inlineStr"/>
      <c r="G4305" t="inlineStr"/>
      <c r="H4305" t="inlineStr"/>
    </row>
    <row r="4306">
      <c r="A4306" t="inlineStr">
        <is>
          <t>489130e4-b787-45ad-8804-b53c4a6b9cff.jpg</t>
        </is>
      </c>
      <c r="B4306">
        <f>HYPERLINK("Объекты недвижимости, не соответствующие градостроительным нормам_00-022_Август/489130e4-b787-45ad-8804-b53c4a6b9cff.jpg","open")</f>
        <v/>
      </c>
      <c r="C4306" t="inlineStr">
        <is>
          <t>ffd931da-542f-43e9-979f-5552b17fe3dc</t>
        </is>
      </c>
      <c r="D4306" t="n">
        <v>55.82152</v>
      </c>
      <c r="E4306" t="n">
        <v>37.81456</v>
      </c>
      <c r="F4306" t="inlineStr"/>
      <c r="G4306" t="inlineStr"/>
      <c r="H4306" t="inlineStr"/>
    </row>
    <row r="4307">
      <c r="A4307" t="inlineStr">
        <is>
          <t>59e240d6-c590-49ba-a52d-2ec0f40dacdb.jpg</t>
        </is>
      </c>
      <c r="B4307">
        <f>HYPERLINK("Объекты недвижимости, не соответствующие градостроительным нормам_00-022_Август/59e240d6-c590-49ba-a52d-2ec0f40dacdb.jpg","open")</f>
        <v/>
      </c>
      <c r="C4307" t="inlineStr">
        <is>
          <t>ffd931da-542f-43e9-979f-5552b17fe3dc</t>
        </is>
      </c>
      <c r="D4307" t="n">
        <v>55.8216</v>
      </c>
      <c r="E4307" t="n">
        <v>37.8143</v>
      </c>
      <c r="F4307" t="inlineStr"/>
      <c r="G4307" t="inlineStr"/>
      <c r="H4307" t="inlineStr"/>
    </row>
    <row r="4308">
      <c r="A4308" t="inlineStr">
        <is>
          <t>a7951ead-8d1e-436e-8413-b36df91983ff.jpg</t>
        </is>
      </c>
      <c r="B4308">
        <f>HYPERLINK("Объекты недвижимости, не соответствующие градостроительным нормам_00-022_Август/a7951ead-8d1e-436e-8413-b36df91983ff.jpg","open")</f>
        <v/>
      </c>
      <c r="C4308" t="inlineStr">
        <is>
          <t>ed2bf0f1-3a66-4913-896e-4420a9796c0b</t>
        </is>
      </c>
      <c r="D4308" t="n">
        <v>55.70373</v>
      </c>
      <c r="E4308" t="n">
        <v>37.64705</v>
      </c>
      <c r="F4308" t="inlineStr"/>
      <c r="G4308" t="inlineStr"/>
      <c r="H4308" t="inlineStr"/>
    </row>
    <row r="4309">
      <c r="A4309" t="inlineStr">
        <is>
          <t>2fc2842e-226f-4073-8a67-d15da949b575.jpg</t>
        </is>
      </c>
      <c r="B4309">
        <f>HYPERLINK("Объекты недвижимости, не соответствующие градостроительным нормам_00-022_Август/2fc2842e-226f-4073-8a67-d15da949b575.jpg","open")</f>
        <v/>
      </c>
      <c r="C4309" t="inlineStr">
        <is>
          <t>1a55986c-2c3f-40c0-b3d1-014dce77832e</t>
        </is>
      </c>
      <c r="D4309" t="n">
        <v>55.70374</v>
      </c>
      <c r="E4309" t="n">
        <v>37.64703</v>
      </c>
      <c r="F4309" t="inlineStr"/>
      <c r="G4309" t="inlineStr"/>
      <c r="H4309" t="inlineStr"/>
    </row>
    <row r="4310">
      <c r="A4310" t="inlineStr">
        <is>
          <t>cea7b25b-8169-4138-a2ae-83d1495fdc9c.jpg</t>
        </is>
      </c>
      <c r="B4310">
        <f>HYPERLINK("Объекты недвижимости, не соответствующие градостроительным нормам_00-022_Август/cea7b25b-8169-4138-a2ae-83d1495fdc9c.jpg","open")</f>
        <v/>
      </c>
      <c r="C4310" t="inlineStr">
        <is>
          <t>1a55986c-2c3f-40c0-b3d1-014dce77832e</t>
        </is>
      </c>
      <c r="D4310" t="n">
        <v>55.70615</v>
      </c>
      <c r="E4310" t="n">
        <v>37.64764</v>
      </c>
      <c r="F4310" t="inlineStr"/>
      <c r="G4310" t="inlineStr"/>
      <c r="H4310" t="inlineStr"/>
    </row>
    <row r="4311">
      <c r="A4311" t="inlineStr">
        <is>
          <t>7154047d-b204-4d74-948d-7b8b80ff8872.jpg</t>
        </is>
      </c>
      <c r="B4311">
        <f>HYPERLINK("Объекты недвижимости, не соответствующие градостроительным нормам_00-022_Август/7154047d-b204-4d74-948d-7b8b80ff8872.jpg","open")</f>
        <v/>
      </c>
      <c r="C4311" t="inlineStr">
        <is>
          <t>ed2bf0f1-3a66-4913-896e-4420a9796c0b</t>
        </is>
      </c>
      <c r="D4311" t="n">
        <v>55.70642</v>
      </c>
      <c r="E4311" t="n">
        <v>37.64825</v>
      </c>
      <c r="F4311" t="inlineStr"/>
      <c r="G4311" t="inlineStr"/>
      <c r="H4311" t="inlineStr"/>
    </row>
    <row r="4312">
      <c r="A4312" t="inlineStr">
        <is>
          <t>0271f8ce-9076-49d9-8542-0adc6898e6d9.jpg</t>
        </is>
      </c>
      <c r="B4312">
        <f>HYPERLINK("Объекты недвижимости, не соответствующие градостроительным нормам_00-022_Август/0271f8ce-9076-49d9-8542-0adc6898e6d9.jpg","open")</f>
        <v/>
      </c>
      <c r="C4312" t="inlineStr">
        <is>
          <t>1a55986c-2c3f-40c0-b3d1-014dce77832e</t>
        </is>
      </c>
      <c r="D4312" t="n">
        <v>55.70734</v>
      </c>
      <c r="E4312" t="n">
        <v>37.6519</v>
      </c>
      <c r="F4312" t="inlineStr"/>
      <c r="G4312" t="inlineStr"/>
      <c r="H4312" t="inlineStr"/>
    </row>
    <row r="4313">
      <c r="A4313" t="inlineStr">
        <is>
          <t>580df223-6cc0-4b88-8006-c76eb743c7e2.jpg</t>
        </is>
      </c>
      <c r="B4313">
        <f>HYPERLINK("Объекты недвижимости, не соответствующие градостроительным нормам_00-022_Август/580df223-6cc0-4b88-8006-c76eb743c7e2.jpg","open")</f>
        <v/>
      </c>
      <c r="C4313" t="inlineStr">
        <is>
          <t>ed2bf0f1-3a66-4913-896e-4420a9796c0b</t>
        </is>
      </c>
      <c r="D4313" t="n">
        <v>55.70734</v>
      </c>
      <c r="E4313" t="n">
        <v>37.65208</v>
      </c>
      <c r="F4313" t="inlineStr"/>
      <c r="G4313" t="inlineStr"/>
      <c r="H4313" t="inlineStr"/>
    </row>
    <row r="4314">
      <c r="A4314" t="inlineStr">
        <is>
          <t>637674b9-369d-48cb-9b7e-5d31e61a95f6.jpg</t>
        </is>
      </c>
      <c r="B4314">
        <f>HYPERLINK("Объекты недвижимости, не соответствующие градостроительным нормам_00-022_Август/637674b9-369d-48cb-9b7e-5d31e61a95f6.jpg","open")</f>
        <v/>
      </c>
      <c r="C4314" t="inlineStr">
        <is>
          <t>ed2bf0f1-3a66-4913-896e-4420a9796c0b</t>
        </is>
      </c>
      <c r="D4314" t="n">
        <v>55.70733</v>
      </c>
      <c r="E4314" t="n">
        <v>37.65308</v>
      </c>
      <c r="F4314" t="inlineStr"/>
      <c r="G4314" t="inlineStr"/>
      <c r="H4314" t="inlineStr"/>
    </row>
    <row r="4315">
      <c r="A4315" t="inlineStr">
        <is>
          <t>fbdcca64-f896-41ee-80bb-659da449eb76.jpg</t>
        </is>
      </c>
      <c r="B4315">
        <f>HYPERLINK("Объекты недвижимости, не соответствующие градостроительным нормам_00-022_Август/fbdcca64-f896-41ee-80bb-659da449eb76.jpg","open")</f>
        <v/>
      </c>
      <c r="C4315" t="inlineStr">
        <is>
          <t>1a55986c-2c3f-40c0-b3d1-014dce77832e</t>
        </is>
      </c>
      <c r="D4315" t="n">
        <v>55.70732</v>
      </c>
      <c r="E4315" t="n">
        <v>37.65303</v>
      </c>
      <c r="F4315" t="inlineStr"/>
      <c r="G4315" t="inlineStr"/>
      <c r="H4315" t="inlineStr"/>
    </row>
    <row r="4316">
      <c r="A4316" t="inlineStr">
        <is>
          <t>d29889f6-6f3d-47f1-844c-5ca744fc72a2.jpg</t>
        </is>
      </c>
      <c r="B4316">
        <f>HYPERLINK("Объекты недвижимости, не соответствующие градостроительным нормам_00-022_Август/d29889f6-6f3d-47f1-844c-5ca744fc72a2.jpg","open")</f>
        <v/>
      </c>
      <c r="C4316" t="inlineStr">
        <is>
          <t>1a55986c-2c3f-40c0-b3d1-014dce77832e</t>
        </is>
      </c>
      <c r="D4316" t="n">
        <v>55.70728</v>
      </c>
      <c r="E4316" t="n">
        <v>37.65223</v>
      </c>
      <c r="F4316" t="inlineStr"/>
      <c r="G4316" t="inlineStr"/>
      <c r="H4316" t="inlineStr"/>
    </row>
    <row r="4317">
      <c r="A4317" t="inlineStr">
        <is>
          <t>b5ad0bb2-2dab-4876-891b-8fce071a1441.jpg</t>
        </is>
      </c>
      <c r="B4317">
        <f>HYPERLINK("Объекты недвижимости, не соответствующие градостроительным нормам_00-022_Август/b5ad0bb2-2dab-4876-891b-8fce071a1441.jpg","open")</f>
        <v/>
      </c>
      <c r="C4317" t="inlineStr">
        <is>
          <t>1a55986c-2c3f-40c0-b3d1-014dce77832e</t>
        </is>
      </c>
      <c r="D4317" t="n">
        <v>55.7066</v>
      </c>
      <c r="E4317" t="n">
        <v>37.64926</v>
      </c>
      <c r="F4317" t="inlineStr"/>
      <c r="G4317" t="inlineStr"/>
      <c r="H4317" t="inlineStr"/>
    </row>
    <row r="4318">
      <c r="A4318" t="inlineStr">
        <is>
          <t>868cf1e0-61f1-414f-bc86-8956a1bcb662.jpg</t>
        </is>
      </c>
      <c r="B4318">
        <f>HYPERLINK("Объекты недвижимости, не соответствующие градостроительным нормам_00-022_Август/868cf1e0-61f1-414f-bc86-8956a1bcb662.jpg","open")</f>
        <v/>
      </c>
      <c r="C4318" t="inlineStr">
        <is>
          <t>1a55986c-2c3f-40c0-b3d1-014dce77832e</t>
        </is>
      </c>
      <c r="D4318" t="n">
        <v>55.70649</v>
      </c>
      <c r="E4318" t="n">
        <v>37.65512</v>
      </c>
      <c r="F4318" t="inlineStr"/>
      <c r="G4318" t="inlineStr"/>
      <c r="H4318" t="inlineStr"/>
    </row>
    <row r="4319">
      <c r="A4319" t="inlineStr">
        <is>
          <t>7ba5b667-6fcf-4be6-a1b5-031fe79df6f6.jpg</t>
        </is>
      </c>
      <c r="B4319">
        <f>HYPERLINK("Объекты недвижимости, не соответствующие градостроительным нормам_00-022_Август/7ba5b667-6fcf-4be6-a1b5-031fe79df6f6.jpg","open")</f>
        <v/>
      </c>
      <c r="C4319" t="inlineStr">
        <is>
          <t>ed2bf0f1-3a66-4913-896e-4420a9796c0b</t>
        </is>
      </c>
      <c r="D4319" t="n">
        <v>55.70381</v>
      </c>
      <c r="E4319" t="n">
        <v>37.64703</v>
      </c>
      <c r="F4319" t="inlineStr"/>
      <c r="G4319" t="inlineStr"/>
      <c r="H4319" t="inlineStr"/>
    </row>
    <row r="4320">
      <c r="A4320" t="inlineStr">
        <is>
          <t>8958b833-8c99-4587-839d-fa7e78da07a5.jpg</t>
        </is>
      </c>
      <c r="B4320">
        <f>HYPERLINK("Объекты недвижимости, не соответствующие градостроительным нормам_00-022_Август/8958b833-8c99-4587-839d-fa7e78da07a5.jpg","open")</f>
        <v/>
      </c>
      <c r="C4320" t="inlineStr">
        <is>
          <t>ed2bf0f1-3a66-4913-896e-4420a9796c0b</t>
        </is>
      </c>
      <c r="D4320" t="n">
        <v>55.70504</v>
      </c>
      <c r="E4320" t="n">
        <v>37.63372</v>
      </c>
      <c r="F4320" t="inlineStr"/>
      <c r="G4320" t="inlineStr"/>
      <c r="H4320" t="inlineStr"/>
    </row>
    <row r="4321">
      <c r="A4321" t="inlineStr">
        <is>
          <t>e8ac7ed9-15a4-4185-b0bc-e51a6bf0e209.jpg</t>
        </is>
      </c>
      <c r="B4321">
        <f>HYPERLINK("Объекты недвижимости, не соответствующие градостроительным нормам_00-022_Август/e8ac7ed9-15a4-4185-b0bc-e51a6bf0e209.jpg","open")</f>
        <v/>
      </c>
      <c r="C4321" t="inlineStr">
        <is>
          <t>cbf95b01-f708-45a3-9ec0-3603469b538e</t>
        </is>
      </c>
      <c r="D4321" t="n">
        <v>55.73462</v>
      </c>
      <c r="E4321" t="n">
        <v>37.68256</v>
      </c>
      <c r="F4321" t="inlineStr"/>
      <c r="G4321" t="inlineStr"/>
      <c r="H4321" t="inlineStr"/>
    </row>
    <row r="4322">
      <c r="A4322" t="inlineStr">
        <is>
          <t>8e2341ba-88b3-43d5-9e79-aa2928d2daaa.jpg</t>
        </is>
      </c>
      <c r="B4322">
        <f>HYPERLINK("Объекты недвижимости, не соответствующие градостроительным нормам_00-022_Август/8e2341ba-88b3-43d5-9e79-aa2928d2daaa.jpg","open")</f>
        <v/>
      </c>
      <c r="C4322" t="inlineStr">
        <is>
          <t>b0b7ea82-53be-40d0-b992-e2fd18611d5c</t>
        </is>
      </c>
      <c r="D4322" t="n">
        <v>55.67723</v>
      </c>
      <c r="E4322" t="n">
        <v>37.74334</v>
      </c>
      <c r="F4322" t="inlineStr"/>
      <c r="G4322" t="inlineStr"/>
      <c r="H4322" t="inlineStr"/>
    </row>
    <row r="4323">
      <c r="A4323" t="inlineStr">
        <is>
          <t>bf5d98a8-3ea9-48d3-a927-20afaad0d881.jpg</t>
        </is>
      </c>
      <c r="B4323">
        <f>HYPERLINK("Объекты недвижимости, не соответствующие градостроительным нормам_00-022_Август/bf5d98a8-3ea9-48d3-a927-20afaad0d881.jpg","open")</f>
        <v/>
      </c>
      <c r="C4323" t="inlineStr">
        <is>
          <t>cbf95b01-f708-45a3-9ec0-3603469b538e</t>
        </is>
      </c>
      <c r="D4323" t="n">
        <v>55.74235</v>
      </c>
      <c r="E4323" t="n">
        <v>37.6767</v>
      </c>
      <c r="F4323" t="inlineStr"/>
      <c r="G4323" t="inlineStr"/>
      <c r="H4323" t="inlineStr"/>
    </row>
    <row r="4324">
      <c r="A4324" t="inlineStr">
        <is>
          <t>a8803839-3f0c-45c5-87a0-02bcaf7d09f1.jpg</t>
        </is>
      </c>
      <c r="B4324">
        <f>HYPERLINK("Объекты недвижимости, не соответствующие градостроительным нормам_00-022_Август/a8803839-3f0c-45c5-87a0-02bcaf7d09f1.jpg","open")</f>
        <v/>
      </c>
      <c r="C4324" t="inlineStr">
        <is>
          <t>ad64e6b9-1ed5-44d7-a101-4945a1f9dec6</t>
        </is>
      </c>
      <c r="D4324" t="n">
        <v>55.66</v>
      </c>
      <c r="E4324" t="n">
        <v>37.57756</v>
      </c>
      <c r="F4324" t="inlineStr"/>
      <c r="G4324" t="inlineStr"/>
      <c r="H4324" t="inlineStr"/>
    </row>
    <row r="4325">
      <c r="A4325" t="inlineStr">
        <is>
          <t>0d23c787-76c7-4240-9ec4-78e049eb9981.jpg</t>
        </is>
      </c>
      <c r="B4325">
        <f>HYPERLINK("Объекты недвижимости, не соответствующие градостроительным нормам_00-022_Август/0d23c787-76c7-4240-9ec4-78e049eb9981.jpg","open")</f>
        <v/>
      </c>
      <c r="C4325" t="inlineStr">
        <is>
          <t>61936922-4d4b-458e-80ea-6d4c450aa1d5</t>
        </is>
      </c>
      <c r="D4325" t="n">
        <v>55.74044</v>
      </c>
      <c r="E4325" t="n">
        <v>37.47429</v>
      </c>
      <c r="F4325" t="inlineStr"/>
      <c r="G4325" t="inlineStr"/>
      <c r="H4325" t="inlineStr"/>
    </row>
    <row r="4326">
      <c r="A4326" t="inlineStr">
        <is>
          <t>bbf9d560-1a3b-460f-9831-4ed314d4f5e4.jpg</t>
        </is>
      </c>
      <c r="B4326">
        <f>HYPERLINK("Объекты недвижимости, не соответствующие градостроительным нормам_00-022_Август/bbf9d560-1a3b-460f-9831-4ed314d4f5e4.jpg","open")</f>
        <v/>
      </c>
      <c r="C4326" t="inlineStr">
        <is>
          <t>29ad9edb-d533-4272-a986-be24eb004851</t>
        </is>
      </c>
      <c r="D4326" t="n">
        <v>55.78243</v>
      </c>
      <c r="E4326" t="n">
        <v>37.66782</v>
      </c>
      <c r="F4326" t="inlineStr"/>
      <c r="G4326" t="inlineStr"/>
      <c r="H4326" t="inlineStr"/>
    </row>
    <row r="4327">
      <c r="A4327" t="inlineStr">
        <is>
          <t>1f030876-6fab-435b-b262-ad196204de52.jpg</t>
        </is>
      </c>
      <c r="B4327">
        <f>HYPERLINK("Объекты недвижимости, не соответствующие градостроительным нормам_00-022_Август/1f030876-6fab-435b-b262-ad196204de52.jpg","open")</f>
        <v/>
      </c>
      <c r="C4327" t="inlineStr">
        <is>
          <t>685d9054-b74f-49ab-857b-109fd2cec80d</t>
        </is>
      </c>
      <c r="D4327" t="n">
        <v>55.68364</v>
      </c>
      <c r="E4327" t="n">
        <v>37.59797</v>
      </c>
      <c r="F4327" t="inlineStr"/>
      <c r="G4327" t="inlineStr"/>
      <c r="H4327" t="inlineStr"/>
    </row>
    <row r="4328">
      <c r="A4328" t="inlineStr">
        <is>
          <t>2d0b5958-a3d5-4ea3-82ca-d60cf6b69aa4.jpg</t>
        </is>
      </c>
      <c r="B4328">
        <f>HYPERLINK("Объекты недвижимости, не соответствующие градостроительным нормам_00-022_Август/2d0b5958-a3d5-4ea3-82ca-d60cf6b69aa4.jpg","open")</f>
        <v/>
      </c>
      <c r="C4328" t="inlineStr">
        <is>
          <t>ad64e6b9-1ed5-44d7-a101-4945a1f9dec6</t>
        </is>
      </c>
      <c r="D4328" t="n">
        <v>55.6599</v>
      </c>
      <c r="E4328" t="n">
        <v>37.57834</v>
      </c>
      <c r="F4328" t="inlineStr"/>
      <c r="G4328" t="inlineStr"/>
      <c r="H4328" t="inlineStr"/>
    </row>
    <row r="4329">
      <c r="A4329" t="inlineStr">
        <is>
          <t>1d5672a7-98f3-476f-833d-81f8846df72b.jpg</t>
        </is>
      </c>
      <c r="B4329">
        <f>HYPERLINK("Объекты недвижимости, не соответствующие градостроительным нормам_00-022_Август/1d5672a7-98f3-476f-833d-81f8846df72b.jpg","open")</f>
        <v/>
      </c>
      <c r="C4329" t="inlineStr">
        <is>
          <t>1a55986c-2c3f-40c0-b3d1-014dce77832e</t>
        </is>
      </c>
      <c r="D4329" t="n">
        <v>55.70005</v>
      </c>
      <c r="E4329" t="n">
        <v>37.64111</v>
      </c>
      <c r="F4329" t="inlineStr"/>
      <c r="G4329" t="inlineStr"/>
      <c r="H4329" t="inlineStr"/>
    </row>
    <row r="4330">
      <c r="A4330" t="inlineStr">
        <is>
          <t>6b1684b3-37bf-4b93-a4a7-9c79fc5636bd.jpg</t>
        </is>
      </c>
      <c r="B4330">
        <f>HYPERLINK("Объекты недвижимости, не соответствующие градостроительным нормам_00-022_Август/6b1684b3-37bf-4b93-a4a7-9c79fc5636bd.jpg","open")</f>
        <v/>
      </c>
      <c r="C4330" t="inlineStr">
        <is>
          <t>b0b7ea82-53be-40d0-b992-e2fd18611d5c</t>
        </is>
      </c>
      <c r="D4330" t="n">
        <v>55.67751</v>
      </c>
      <c r="E4330" t="n">
        <v>37.74007</v>
      </c>
      <c r="F4330" t="inlineStr"/>
      <c r="G4330" t="inlineStr"/>
      <c r="H4330" t="inlineStr"/>
    </row>
    <row r="4331">
      <c r="A4331" t="inlineStr">
        <is>
          <t>301a4cf1-e262-46df-a576-b2676c336a7d.jpg</t>
        </is>
      </c>
      <c r="B4331">
        <f>HYPERLINK("Объекты недвижимости, не соответствующие градостроительным нормам_00-022_Август/301a4cf1-e262-46df-a576-b2676c336a7d.jpg","open")</f>
        <v/>
      </c>
      <c r="C4331" t="inlineStr">
        <is>
          <t>ffd931da-542f-43e9-979f-5552b17fe3dc</t>
        </is>
      </c>
      <c r="D4331" t="n">
        <v>55.82161</v>
      </c>
      <c r="E4331" t="n">
        <v>37.81435</v>
      </c>
      <c r="F4331" t="inlineStr"/>
      <c r="G4331" t="inlineStr"/>
      <c r="H4331" t="inlineStr"/>
    </row>
    <row r="4332">
      <c r="A4332" t="inlineStr">
        <is>
          <t>3fc145da-9c7d-4c8e-b468-811f0f0f51e8.jpg</t>
        </is>
      </c>
      <c r="B4332">
        <f>HYPERLINK("Объекты недвижимости, не соответствующие градостроительным нормам_00-022_Август/3fc145da-9c7d-4c8e-b468-811f0f0f51e8.jpg","open")</f>
        <v/>
      </c>
      <c r="C4332" t="inlineStr">
        <is>
          <t>1a55986c-2c3f-40c0-b3d1-014dce77832e</t>
        </is>
      </c>
      <c r="D4332" t="n">
        <v>55.70996</v>
      </c>
      <c r="E4332" t="n">
        <v>37.66454</v>
      </c>
      <c r="F4332" t="inlineStr"/>
      <c r="G4332" t="inlineStr"/>
      <c r="H4332" t="inlineStr"/>
    </row>
    <row r="4333">
      <c r="A4333" t="inlineStr">
        <is>
          <t>0294f494-f202-4021-919d-77f3c4ae3a3f.jpg</t>
        </is>
      </c>
      <c r="B4333">
        <f>HYPERLINK("Объекты недвижимости, не соответствующие градостроительным нормам_00-022_Август/0294f494-f202-4021-919d-77f3c4ae3a3f.jpg","open")</f>
        <v/>
      </c>
      <c r="C4333" t="inlineStr">
        <is>
          <t>acedacc2-0d8b-4fc1-9622-25621a89d071</t>
        </is>
      </c>
      <c r="D4333" t="n">
        <v>55.79541</v>
      </c>
      <c r="E4333" t="n">
        <v>37.76796</v>
      </c>
      <c r="F4333" t="inlineStr"/>
      <c r="G4333" t="inlineStr"/>
      <c r="H4333" t="inlineStr"/>
    </row>
    <row r="4334">
      <c r="A4334" t="inlineStr">
        <is>
          <t>00e52aec-576c-4638-a6db-02043a5ef1a3.jpg</t>
        </is>
      </c>
      <c r="B4334">
        <f>HYPERLINK("Объекты недвижимости, не соответствующие градостроительным нормам_00-022_Август/00e52aec-576c-4638-a6db-02043a5ef1a3.jpg","open")</f>
        <v/>
      </c>
      <c r="C4334" t="inlineStr">
        <is>
          <t>685d9054-b74f-49ab-857b-109fd2cec80d</t>
        </is>
      </c>
      <c r="D4334" t="n">
        <v>55.68388</v>
      </c>
      <c r="E4334" t="n">
        <v>37.59834</v>
      </c>
      <c r="F4334" t="inlineStr"/>
      <c r="G4334" t="inlineStr"/>
      <c r="H4334" t="inlineStr"/>
    </row>
    <row r="4335">
      <c r="A4335" t="inlineStr">
        <is>
          <t>b9087a0c-4538-4fb5-a9d5-b85e76bf0907.jpg</t>
        </is>
      </c>
      <c r="B4335">
        <f>HYPERLINK("Объекты недвижимости, не соответствующие градостроительным нормам_00-022_Август/b9087a0c-4538-4fb5-a9d5-b85e76bf0907.jpg","open")</f>
        <v/>
      </c>
      <c r="C4335" t="inlineStr">
        <is>
          <t>8b2675e2-7f40-47a9-a462-7c9feecd299c</t>
        </is>
      </c>
      <c r="D4335" t="n">
        <v>55.96962</v>
      </c>
      <c r="E4335" t="n">
        <v>37.40003</v>
      </c>
      <c r="F4335" t="inlineStr"/>
      <c r="G4335" t="inlineStr"/>
      <c r="H4335" t="inlineStr"/>
    </row>
    <row r="4336">
      <c r="A4336" t="inlineStr">
        <is>
          <t>f1136fde-46a6-4ecc-9b98-771bf6ef47b6.jpg</t>
        </is>
      </c>
      <c r="B4336">
        <f>HYPERLINK("Объекты недвижимости, не соответствующие градостроительным нормам_00-022_Август/f1136fde-46a6-4ecc-9b98-771bf6ef47b6.jpg","open")</f>
        <v/>
      </c>
      <c r="C4336" t="inlineStr">
        <is>
          <t>1a55986c-2c3f-40c0-b3d1-014dce77832e</t>
        </is>
      </c>
      <c r="D4336" t="n">
        <v>55.71004</v>
      </c>
      <c r="E4336" t="n">
        <v>37.66429</v>
      </c>
      <c r="F4336" t="inlineStr"/>
      <c r="G4336" t="inlineStr"/>
      <c r="H4336" t="inlineStr"/>
    </row>
    <row r="4337">
      <c r="A4337" t="inlineStr">
        <is>
          <t>4de0bf66-ce2f-4c3e-acf5-fd4032dfaf3c.jpg</t>
        </is>
      </c>
      <c r="B4337">
        <f>HYPERLINK("Объекты недвижимости, не соответствующие градостроительным нормам_00-022_Август/4de0bf66-ce2f-4c3e-acf5-fd4032dfaf3c.jpg","open")</f>
        <v/>
      </c>
      <c r="C4337" t="inlineStr">
        <is>
          <t>ed2bf0f1-3a66-4913-896e-4420a9796c0b</t>
        </is>
      </c>
      <c r="D4337" t="n">
        <v>55.71038</v>
      </c>
      <c r="E4337" t="n">
        <v>37.66502</v>
      </c>
      <c r="F4337" t="inlineStr"/>
      <c r="G4337" t="inlineStr"/>
      <c r="H4337" t="inlineStr"/>
    </row>
    <row r="4338">
      <c r="A4338" t="inlineStr">
        <is>
          <t>6d1169db-32fb-414c-a300-7f720fe84e6c.jpg</t>
        </is>
      </c>
      <c r="B4338">
        <f>HYPERLINK("Объекты недвижимости, не соответствующие градостроительным нормам_00-022_Август/6d1169db-32fb-414c-a300-7f720fe84e6c.jpg","open")</f>
        <v/>
      </c>
      <c r="C4338" t="inlineStr">
        <is>
          <t>685d9054-b74f-49ab-857b-109fd2cec80d</t>
        </is>
      </c>
      <c r="D4338" t="n">
        <v>55.68428</v>
      </c>
      <c r="E4338" t="n">
        <v>37.59794</v>
      </c>
      <c r="F4338" t="inlineStr"/>
      <c r="G4338" t="inlineStr"/>
      <c r="H4338" t="inlineStr"/>
    </row>
    <row r="4339">
      <c r="A4339" t="inlineStr">
        <is>
          <t>3c5c3c77-f87c-4d4a-8623-ee8c09b05044.jpg</t>
        </is>
      </c>
      <c r="B4339">
        <f>HYPERLINK("Объекты недвижимости, не соответствующие градостроительным нормам_00-022_Август/3c5c3c77-f87c-4d4a-8623-ee8c09b05044.jpg","open")</f>
        <v/>
      </c>
      <c r="C4339" t="inlineStr">
        <is>
          <t>8b2675e2-7f40-47a9-a462-7c9feecd299c</t>
        </is>
      </c>
      <c r="D4339" t="n">
        <v>55.98183</v>
      </c>
      <c r="E4339" t="n">
        <v>37.42085</v>
      </c>
      <c r="F4339" t="inlineStr"/>
      <c r="G4339" t="inlineStr"/>
      <c r="H4339" t="inlineStr"/>
    </row>
    <row r="4340">
      <c r="A4340" t="inlineStr">
        <is>
          <t>6df6a066-453b-46b9-a557-365a7b53e3c9.jpg</t>
        </is>
      </c>
      <c r="B4340">
        <f>HYPERLINK("Объекты недвижимости, не соответствующие градостроительным нормам_00-022_Август/6df6a066-453b-46b9-a557-365a7b53e3c9.jpg","open")</f>
        <v/>
      </c>
      <c r="C4340" t="inlineStr">
        <is>
          <t>8b2675e2-7f40-47a9-a462-7c9feecd299c</t>
        </is>
      </c>
      <c r="D4340" t="n">
        <v>55.97502</v>
      </c>
      <c r="E4340" t="n">
        <v>37.43082</v>
      </c>
      <c r="F4340" t="inlineStr"/>
      <c r="G4340" t="inlineStr"/>
      <c r="H4340" t="inlineStr"/>
    </row>
    <row r="4341">
      <c r="A4341" t="inlineStr">
        <is>
          <t>ec009005-c771-4d72-85af-40c9c7d0aa8e.jpg</t>
        </is>
      </c>
      <c r="B4341">
        <f>HYPERLINK("Объекты недвижимости, не соответствующие градостроительным нормам_00-022_Август/ec009005-c771-4d72-85af-40c9c7d0aa8e.jpg","open")</f>
        <v/>
      </c>
      <c r="C4341" t="inlineStr">
        <is>
          <t>b6b3590f-f506-4399-8205-e7ac710132e7</t>
        </is>
      </c>
      <c r="D4341" t="n">
        <v>55.83196</v>
      </c>
      <c r="E4341" t="n">
        <v>37.55128</v>
      </c>
      <c r="F4341" t="inlineStr"/>
      <c r="G4341" t="inlineStr"/>
      <c r="H4341" t="inlineStr"/>
    </row>
    <row r="4342">
      <c r="A4342" t="inlineStr">
        <is>
          <t>a593c555-398b-4b31-967e-5975b68fbf09.jpg</t>
        </is>
      </c>
      <c r="B4342">
        <f>HYPERLINK("Объекты недвижимости, не соответствующие градостроительным нормам_00-022_Август/a593c555-398b-4b31-967e-5975b68fbf09.jpg","open")</f>
        <v/>
      </c>
      <c r="C4342" t="inlineStr">
        <is>
          <t>91248771-2c4d-44f3-b3cf-d536bd4ae73c</t>
        </is>
      </c>
      <c r="D4342" t="n">
        <v>55.73594</v>
      </c>
      <c r="E4342" t="n">
        <v>37.69878</v>
      </c>
      <c r="F4342" t="inlineStr"/>
      <c r="G4342" t="inlineStr"/>
      <c r="H4342" t="inlineStr"/>
    </row>
    <row r="4343">
      <c r="A4343" t="inlineStr">
        <is>
          <t>0e96eb3b-2a74-4ae6-94c1-ea405d276335.jpg</t>
        </is>
      </c>
      <c r="B4343">
        <f>HYPERLINK("Объекты недвижимости, не соответствующие градостроительным нормам_00-022_Август/0e96eb3b-2a74-4ae6-94c1-ea405d276335.jpg","open")</f>
        <v/>
      </c>
      <c r="C4343" t="inlineStr">
        <is>
          <t>1a55986c-2c3f-40c0-b3d1-014dce77832e</t>
        </is>
      </c>
      <c r="D4343" t="n">
        <v>55.7101</v>
      </c>
      <c r="E4343" t="n">
        <v>37.66448</v>
      </c>
      <c r="F4343" t="inlineStr"/>
      <c r="G4343" t="inlineStr"/>
      <c r="H4343" t="inlineStr"/>
    </row>
    <row r="4344">
      <c r="A4344" t="inlineStr">
        <is>
          <t>2e3b01e3-cc7e-4ba3-92ec-b6f318ce83ef.jpg</t>
        </is>
      </c>
      <c r="B4344">
        <f>HYPERLINK("Объекты недвижимости, не соответствующие градостроительным нормам_00-022_Август/2e3b01e3-cc7e-4ba3-92ec-b6f318ce83ef.jpg","open")</f>
        <v/>
      </c>
      <c r="C4344" t="inlineStr">
        <is>
          <t>ed2bf0f1-3a66-4913-896e-4420a9796c0b</t>
        </is>
      </c>
      <c r="D4344" t="n">
        <v>55.71012</v>
      </c>
      <c r="E4344" t="n">
        <v>37.66452</v>
      </c>
      <c r="F4344" t="inlineStr"/>
      <c r="G4344" t="inlineStr"/>
      <c r="H4344" t="inlineStr"/>
    </row>
    <row r="4345">
      <c r="A4345" t="inlineStr">
        <is>
          <t>09d491b4-92cf-4aba-a1ed-2b24d7da6754.jpg</t>
        </is>
      </c>
      <c r="B4345">
        <f>HYPERLINK("Объекты недвижимости, не соответствующие градостроительным нормам_00-022_Август/09d491b4-92cf-4aba-a1ed-2b24d7da6754.jpg","open")</f>
        <v/>
      </c>
      <c r="C4345" t="inlineStr">
        <is>
          <t>030e8755-17c1-44eb-9530-707d0d3121cb</t>
        </is>
      </c>
      <c r="D4345" t="n">
        <v>55.57956</v>
      </c>
      <c r="E4345" t="n">
        <v>37.65779</v>
      </c>
      <c r="F4345" t="inlineStr"/>
      <c r="G4345" t="inlineStr"/>
      <c r="H4345" t="inlineStr"/>
    </row>
    <row r="4346">
      <c r="A4346" t="inlineStr">
        <is>
          <t>8233aa45-c6ca-4411-a55f-f2a9fa72e618.jpg</t>
        </is>
      </c>
      <c r="B4346">
        <f>HYPERLINK("Объекты недвижимости, не соответствующие градостроительным нормам_00-022_Август/8233aa45-c6ca-4411-a55f-f2a9fa72e618.jpg","open")</f>
        <v/>
      </c>
      <c r="C4346" t="inlineStr">
        <is>
          <t>ed2bf0f1-3a66-4913-896e-4420a9796c0b</t>
        </is>
      </c>
      <c r="D4346" t="n">
        <v>55.7104</v>
      </c>
      <c r="E4346" t="n">
        <v>37.66504</v>
      </c>
      <c r="F4346" t="inlineStr"/>
      <c r="G4346" t="inlineStr"/>
      <c r="H4346" t="inlineStr"/>
    </row>
    <row r="4347">
      <c r="A4347" t="inlineStr">
        <is>
          <t>9d387c9f-70f8-4ef0-86f8-dc87e66d8e4c.jpg</t>
        </is>
      </c>
      <c r="B4347">
        <f>HYPERLINK("Объекты недвижимости, не соответствующие градостроительным нормам_00-022_Август/9d387c9f-70f8-4ef0-86f8-dc87e66d8e4c.jpg","open")</f>
        <v/>
      </c>
      <c r="C4347" t="inlineStr">
        <is>
          <t>b6b3590f-f506-4399-8205-e7ac710132e7</t>
        </is>
      </c>
      <c r="D4347" t="n">
        <v>55.83457</v>
      </c>
      <c r="E4347" t="n">
        <v>37.54919</v>
      </c>
      <c r="F4347" t="inlineStr"/>
      <c r="G4347" t="inlineStr"/>
      <c r="H4347" t="inlineStr"/>
    </row>
    <row r="4348">
      <c r="A4348" t="inlineStr">
        <is>
          <t>c7cabea5-0652-4c2e-a717-5390b305d6fe.jpg</t>
        </is>
      </c>
      <c r="B4348">
        <f>HYPERLINK("Объекты недвижимости, не соответствующие градостроительным нормам_00-022_Август/c7cabea5-0652-4c2e-a717-5390b305d6fe.jpg","open")</f>
        <v/>
      </c>
      <c r="C4348" t="inlineStr">
        <is>
          <t>8996eb30-6497-4318-8a0e-b95314b8172e</t>
        </is>
      </c>
      <c r="D4348" t="n">
        <v>55.86748</v>
      </c>
      <c r="E4348" t="n">
        <v>37.68052</v>
      </c>
      <c r="F4348" t="inlineStr"/>
      <c r="G4348" t="inlineStr"/>
      <c r="H4348" t="inlineStr"/>
    </row>
    <row r="4349">
      <c r="A4349" t="inlineStr">
        <is>
          <t>95794c8f-37ce-413e-9219-d1ca9fc9c420.jpg</t>
        </is>
      </c>
      <c r="B4349">
        <f>HYPERLINK("Объекты недвижимости, не соответствующие градостроительным нормам_00-022_Август/95794c8f-37ce-413e-9219-d1ca9fc9c420.jpg","open")</f>
        <v/>
      </c>
      <c r="C4349" t="inlineStr">
        <is>
          <t>1a55986c-2c3f-40c0-b3d1-014dce77832e</t>
        </is>
      </c>
      <c r="D4349" t="n">
        <v>55.71017</v>
      </c>
      <c r="E4349" t="n">
        <v>37.66448</v>
      </c>
      <c r="F4349" t="inlineStr"/>
      <c r="G4349" t="inlineStr"/>
      <c r="H4349" t="inlineStr"/>
    </row>
    <row r="4350">
      <c r="A4350" t="inlineStr">
        <is>
          <t>39d61da6-2271-4907-ac9b-ff5e6109f3ef.jpg</t>
        </is>
      </c>
      <c r="B4350">
        <f>HYPERLINK("Объекты недвижимости, не соответствующие градостроительным нормам_00-022_Август/39d61da6-2271-4907-ac9b-ff5e6109f3ef.jpg","open")</f>
        <v/>
      </c>
      <c r="C4350" t="inlineStr">
        <is>
          <t>ed2bf0f1-3a66-4913-896e-4420a9796c0b</t>
        </is>
      </c>
      <c r="D4350" t="n">
        <v>55.71048</v>
      </c>
      <c r="E4350" t="n">
        <v>37.66513</v>
      </c>
      <c r="F4350" t="inlineStr"/>
      <c r="G4350" t="inlineStr"/>
      <c r="H4350" t="inlineStr"/>
    </row>
    <row r="4351">
      <c r="A4351" t="inlineStr">
        <is>
          <t>4a62c262-c085-4bc7-848a-9fb6e0be54d4.jpg</t>
        </is>
      </c>
      <c r="B4351">
        <f>HYPERLINK("Объекты недвижимости, не соответствующие градостроительным нормам_00-022_Август/4a62c262-c085-4bc7-848a-9fb6e0be54d4.jpg","open")</f>
        <v/>
      </c>
      <c r="C4351" t="inlineStr">
        <is>
          <t>5e5b9944-4f9e-4223-bf96-0bc0c8a93dfa</t>
        </is>
      </c>
      <c r="D4351" t="n">
        <v>55.71035</v>
      </c>
      <c r="E4351" t="n">
        <v>37.66511</v>
      </c>
      <c r="F4351" t="inlineStr"/>
      <c r="G4351" t="inlineStr"/>
      <c r="H4351" t="inlineStr"/>
    </row>
    <row r="4352">
      <c r="A4352" t="inlineStr">
        <is>
          <t>501066ff-9e55-4dce-857a-d5705eaf8fbb.jpg</t>
        </is>
      </c>
      <c r="B4352">
        <f>HYPERLINK("Объекты недвижимости, не соответствующие градостроительным нормам_00-022_Август/501066ff-9e55-4dce-857a-d5705eaf8fbb.jpg","open")</f>
        <v/>
      </c>
      <c r="C4352" t="inlineStr">
        <is>
          <t>750bf7e4-0f0f-4f1a-96af-607dc8c1f1c9</t>
        </is>
      </c>
      <c r="D4352" t="n">
        <v>55.71452</v>
      </c>
      <c r="E4352" t="n">
        <v>37.73925</v>
      </c>
      <c r="F4352" t="inlineStr"/>
      <c r="G4352" t="inlineStr"/>
      <c r="H4352" t="inlineStr"/>
    </row>
    <row r="4353">
      <c r="A4353" t="inlineStr">
        <is>
          <t>54d189e1-4e89-400c-9f83-0b908257a3d1.jpg</t>
        </is>
      </c>
      <c r="B4353">
        <f>HYPERLINK("Объекты недвижимости, не соответствующие градостроительным нормам_00-022_Август/54d189e1-4e89-400c-9f83-0b908257a3d1.jpg","open")</f>
        <v/>
      </c>
      <c r="C4353" t="inlineStr">
        <is>
          <t>9f88688f-4c81-42a8-b76a-3c3e7edf869e</t>
        </is>
      </c>
      <c r="D4353" t="n">
        <v>55.78242</v>
      </c>
      <c r="E4353" t="n">
        <v>37.671</v>
      </c>
      <c r="F4353" t="inlineStr"/>
      <c r="G4353" t="inlineStr"/>
      <c r="H4353" t="inlineStr"/>
    </row>
    <row r="4354">
      <c r="A4354" t="inlineStr">
        <is>
          <t>4aefbc07-6bf3-461c-aaf1-8b4aed0cac5f.jpg</t>
        </is>
      </c>
      <c r="B4354">
        <f>HYPERLINK("Объекты недвижимости, не соответствующие градостроительным нормам_00-022_Август/4aefbc07-6bf3-461c-aaf1-8b4aed0cac5f.jpg","open")</f>
        <v/>
      </c>
      <c r="C4354" t="inlineStr">
        <is>
          <t>e26f5fc2-1353-4f29-85f3-87c56419161c</t>
        </is>
      </c>
      <c r="D4354" t="n">
        <v>55.7685</v>
      </c>
      <c r="E4354" t="n">
        <v>37.63161</v>
      </c>
      <c r="F4354" t="inlineStr"/>
      <c r="G4354" t="inlineStr"/>
      <c r="H4354" t="inlineStr"/>
    </row>
    <row r="4355">
      <c r="A4355" t="inlineStr">
        <is>
          <t>1296059b-5b66-47bc-aa37-fd2cd02f1121.jpg</t>
        </is>
      </c>
      <c r="B4355">
        <f>HYPERLINK("Объекты недвижимости, не соответствующие градостроительным нормам_00-022_Август/1296059b-5b66-47bc-aa37-fd2cd02f1121.jpg","open")</f>
        <v/>
      </c>
      <c r="C4355" t="inlineStr">
        <is>
          <t>31a713a9-b910-424b-b847-e0eaa2f70c70</t>
        </is>
      </c>
      <c r="D4355" t="n">
        <v>55.71542</v>
      </c>
      <c r="E4355" t="n">
        <v>37.74099</v>
      </c>
      <c r="F4355" t="inlineStr"/>
      <c r="G4355" t="inlineStr"/>
      <c r="H4355" t="inlineStr"/>
    </row>
    <row r="4356">
      <c r="A4356" t="inlineStr">
        <is>
          <t>e1561009-d31e-465b-ba8d-08de83c09d8a.jpg</t>
        </is>
      </c>
      <c r="B4356">
        <f>HYPERLINK("Объекты недвижимости, не соответствующие градостроительным нормам_00-022_Август/e1561009-d31e-465b-ba8d-08de83c09d8a.jpg","open")</f>
        <v/>
      </c>
      <c r="C4356" t="inlineStr">
        <is>
          <t>b0b7ea82-53be-40d0-b992-e2fd18611d5c</t>
        </is>
      </c>
      <c r="D4356" t="n">
        <v>55.68349</v>
      </c>
      <c r="E4356" t="n">
        <v>37.7449</v>
      </c>
      <c r="F4356" t="inlineStr"/>
      <c r="G4356" t="inlineStr"/>
      <c r="H4356" t="inlineStr"/>
    </row>
    <row r="4357">
      <c r="A4357" t="inlineStr">
        <is>
          <t>3c6cfd9c-37d7-4490-a941-ddde0bd92dbc.jpg</t>
        </is>
      </c>
      <c r="B4357">
        <f>HYPERLINK("Объекты недвижимости, не соответствующие градостроительным нормам_00-022_Август/3c6cfd9c-37d7-4490-a941-ddde0bd92dbc.jpg","open")</f>
        <v/>
      </c>
      <c r="C4357" t="inlineStr">
        <is>
          <t>b6b3590f-f506-4399-8205-e7ac710132e7</t>
        </is>
      </c>
      <c r="D4357" t="n">
        <v>55.81146</v>
      </c>
      <c r="E4357" t="n">
        <v>37.56874</v>
      </c>
      <c r="F4357" t="inlineStr"/>
      <c r="G4357" t="inlineStr"/>
      <c r="H4357" t="inlineStr"/>
    </row>
    <row r="4358">
      <c r="A4358" t="inlineStr">
        <is>
          <t>e7710628-6245-4a0a-bc46-340a1a2b9a49.jpg</t>
        </is>
      </c>
      <c r="B4358">
        <f>HYPERLINK("Объекты недвижимости, не соответствующие градостроительным нормам_00-022_Август/e7710628-6245-4a0a-bc46-340a1a2b9a49.jpg","open")</f>
        <v/>
      </c>
      <c r="C4358" t="inlineStr">
        <is>
          <t>789f6c51-64ee-4078-b7bd-443af8b8b68a</t>
        </is>
      </c>
      <c r="D4358" t="n">
        <v>55.86065</v>
      </c>
      <c r="E4358" t="n">
        <v>37.69551</v>
      </c>
      <c r="F4358" t="inlineStr"/>
      <c r="G4358" t="inlineStr"/>
      <c r="H4358" t="inlineStr"/>
    </row>
    <row r="4359">
      <c r="A4359" t="inlineStr">
        <is>
          <t>a9437575-c6f4-4b4f-ae7f-a9cbec0f1bc6.jpg</t>
        </is>
      </c>
      <c r="B4359">
        <f>HYPERLINK("Объекты недвижимости, не соответствующие градостроительным нормам_00-022_Август/a9437575-c6f4-4b4f-ae7f-a9cbec0f1bc6.jpg","open")</f>
        <v/>
      </c>
      <c r="C4359" t="inlineStr">
        <is>
          <t>2acfb2da-e3f6-464c-bd17-4b713522c142</t>
        </is>
      </c>
      <c r="D4359" t="n">
        <v>55.86064</v>
      </c>
      <c r="E4359" t="n">
        <v>37.69553</v>
      </c>
      <c r="F4359" t="inlineStr"/>
      <c r="G4359" t="inlineStr"/>
      <c r="H4359" t="inlineStr"/>
    </row>
    <row r="4360">
      <c r="A4360" t="inlineStr">
        <is>
          <t>7e81fff5-f48a-4661-98c5-7ded51e7f041.jpg</t>
        </is>
      </c>
      <c r="B4360">
        <f>HYPERLINK("Объекты недвижимости, не соответствующие градостроительным нормам_00-022_Август/7e81fff5-f48a-4661-98c5-7ded51e7f041.jpg","open")</f>
        <v/>
      </c>
      <c r="C4360" t="inlineStr">
        <is>
          <t>ab4e767f-65c0-455b-af20-a5527124fd21</t>
        </is>
      </c>
      <c r="D4360" t="n">
        <v>55.98032</v>
      </c>
      <c r="E4360" t="n">
        <v>37.40484</v>
      </c>
      <c r="F4360" t="inlineStr"/>
      <c r="G4360" t="inlineStr"/>
      <c r="H4360" t="inlineStr"/>
    </row>
    <row r="4361">
      <c r="A4361" t="inlineStr">
        <is>
          <t>df84e087-abc8-4d7c-9a14-a53ae94ffbbb.jpg</t>
        </is>
      </c>
      <c r="B4361">
        <f>HYPERLINK("Объекты недвижимости, не соответствующие градостроительным нормам_00-022_Август/df84e087-abc8-4d7c-9a14-a53ae94ffbbb.jpg","open")</f>
        <v/>
      </c>
      <c r="C4361" t="inlineStr">
        <is>
          <t>789f6c51-64ee-4078-b7bd-443af8b8b68a</t>
        </is>
      </c>
      <c r="D4361" t="n">
        <v>55.86065</v>
      </c>
      <c r="E4361" t="n">
        <v>37.6955</v>
      </c>
      <c r="F4361" t="inlineStr"/>
      <c r="G4361" t="inlineStr"/>
      <c r="H4361" t="inlineStr"/>
    </row>
    <row r="4362">
      <c r="A4362" t="inlineStr">
        <is>
          <t>3f63a0a5-e849-4270-a6f9-29a6c64ffefe.jpg</t>
        </is>
      </c>
      <c r="B4362">
        <f>HYPERLINK("Объекты недвижимости, не соответствующие градостроительным нормам_00-022_Август/3f63a0a5-e849-4270-a6f9-29a6c64ffefe.jpg","open")</f>
        <v/>
      </c>
      <c r="C4362" t="inlineStr">
        <is>
          <t>2acfb2da-e3f6-464c-bd17-4b713522c142</t>
        </is>
      </c>
      <c r="D4362" t="n">
        <v>55.86063</v>
      </c>
      <c r="E4362" t="n">
        <v>37.69551</v>
      </c>
      <c r="F4362" t="inlineStr"/>
      <c r="G4362" t="inlineStr"/>
      <c r="H4362" t="inlineStr"/>
    </row>
    <row r="4363">
      <c r="A4363" t="inlineStr">
        <is>
          <t>c3d18f25-23e5-477d-a5d7-6e3d1db93a3a.jpg</t>
        </is>
      </c>
      <c r="B4363">
        <f>HYPERLINK("Объекты недвижимости, не соответствующие градостроительным нормам_00-022_Август/c3d18f25-23e5-477d-a5d7-6e3d1db93a3a.jpg","open")</f>
        <v/>
      </c>
      <c r="C4363" t="inlineStr">
        <is>
          <t>685d9054-b74f-49ab-857b-109fd2cec80d</t>
        </is>
      </c>
      <c r="D4363" t="n">
        <v>55.68367</v>
      </c>
      <c r="E4363" t="n">
        <v>37.59441</v>
      </c>
      <c r="F4363" t="inlineStr"/>
      <c r="G4363" t="inlineStr"/>
      <c r="H4363" t="inlineStr"/>
    </row>
    <row r="4364">
      <c r="A4364" t="inlineStr">
        <is>
          <t>29202891-e4e6-4569-9a6b-8ad9d9e248f6.jpg</t>
        </is>
      </c>
      <c r="B4364">
        <f>HYPERLINK("Объекты недвижимости, не соответствующие градостроительным нормам_00-022_Август/29202891-e4e6-4569-9a6b-8ad9d9e248f6.jpg","open")</f>
        <v/>
      </c>
      <c r="C4364" t="inlineStr">
        <is>
          <t>ed2bf0f1-3a66-4913-896e-4420a9796c0b</t>
        </is>
      </c>
      <c r="D4364" t="n">
        <v>55.71373</v>
      </c>
      <c r="E4364" t="n">
        <v>37.66036</v>
      </c>
      <c r="F4364" t="inlineStr"/>
      <c r="G4364" t="inlineStr"/>
      <c r="H4364" t="inlineStr"/>
    </row>
    <row r="4365">
      <c r="A4365" t="inlineStr">
        <is>
          <t>05725d0e-4962-453d-b9c5-ab07f6343ae3.jpg</t>
        </is>
      </c>
      <c r="B4365">
        <f>HYPERLINK("Объекты недвижимости, не соответствующие градостроительным нормам_00-022_Август/05725d0e-4962-453d-b9c5-ab07f6343ae3.jpg","open")</f>
        <v/>
      </c>
      <c r="C4365" t="inlineStr">
        <is>
          <t>a1a9db89-3f74-42ef-8fad-ad69705102cd</t>
        </is>
      </c>
      <c r="D4365" t="n">
        <v>55.74235</v>
      </c>
      <c r="E4365" t="n">
        <v>37.6767</v>
      </c>
      <c r="F4365" t="inlineStr"/>
      <c r="G4365" t="inlineStr"/>
      <c r="H4365" t="inlineStr"/>
    </row>
    <row r="4366">
      <c r="A4366" t="inlineStr">
        <is>
          <t>60970d80-479d-4be5-b263-1427d59f2ab5.jpg</t>
        </is>
      </c>
      <c r="B4366">
        <f>HYPERLINK("Объекты недвижимости, не соответствующие градостроительным нормам_00-022_Август/60970d80-479d-4be5-b263-1427d59f2ab5.jpg","open")</f>
        <v/>
      </c>
      <c r="C4366" t="inlineStr">
        <is>
          <t>9c930d0e-e445-452d-a046-325646b21ab7</t>
        </is>
      </c>
      <c r="D4366" t="n">
        <v>55.73664</v>
      </c>
      <c r="E4366" t="n">
        <v>37.6643</v>
      </c>
      <c r="F4366" t="inlineStr"/>
      <c r="G4366" t="inlineStr"/>
      <c r="H4366" t="inlineStr"/>
    </row>
    <row r="4367">
      <c r="A4367" t="inlineStr">
        <is>
          <t>a9390d56-49ea-457c-9a2b-5e5901deeed0.jpg</t>
        </is>
      </c>
      <c r="B4367">
        <f>HYPERLINK("Объекты недвижимости, не соответствующие градостроительным нормам_00-022_Август/a9390d56-49ea-457c-9a2b-5e5901deeed0.jpg","open")</f>
        <v/>
      </c>
      <c r="C4367" t="inlineStr">
        <is>
          <t>9c930d0e-e445-452d-a046-325646b21ab7</t>
        </is>
      </c>
      <c r="D4367" t="n">
        <v>55.73664</v>
      </c>
      <c r="E4367" t="n">
        <v>37.6643</v>
      </c>
      <c r="F4367" t="inlineStr"/>
      <c r="G4367" t="inlineStr"/>
      <c r="H4367" t="inlineStr"/>
    </row>
    <row r="4368">
      <c r="A4368" t="inlineStr">
        <is>
          <t>0aec8478-b2d2-493b-abf3-b021c44548b7.jpg</t>
        </is>
      </c>
      <c r="B4368">
        <f>HYPERLINK("Объекты недвижимости, не соответствующие градостроительным нормам_00-022_Август/0aec8478-b2d2-493b-abf3-b021c44548b7.jpg","open")</f>
        <v/>
      </c>
      <c r="C4368" t="inlineStr">
        <is>
          <t>685d9054-b74f-49ab-857b-109fd2cec80d</t>
        </is>
      </c>
      <c r="D4368" t="n">
        <v>55.6832</v>
      </c>
      <c r="E4368" t="n">
        <v>37.59789</v>
      </c>
      <c r="F4368" t="inlineStr"/>
      <c r="G4368" t="inlineStr"/>
      <c r="H4368" t="inlineStr"/>
    </row>
    <row r="4369">
      <c r="A4369" t="inlineStr">
        <is>
          <t>b0e7d089-eff1-476f-9bb5-fbe7c4366270.jpg</t>
        </is>
      </c>
      <c r="B4369">
        <f>HYPERLINK("Объекты недвижимости, не соответствующие градостроительным нормам_00-022_Август/b0e7d089-eff1-476f-9bb5-fbe7c4366270.jpg","open")</f>
        <v/>
      </c>
      <c r="C4369" t="inlineStr">
        <is>
          <t>ab4e767f-65c0-455b-af20-a5527124fd21</t>
        </is>
      </c>
      <c r="D4369" t="n">
        <v>55.97623</v>
      </c>
      <c r="E4369" t="n">
        <v>37.43014</v>
      </c>
      <c r="F4369" t="inlineStr"/>
      <c r="G4369" t="inlineStr"/>
      <c r="H4369" t="inlineStr"/>
    </row>
    <row r="4370">
      <c r="A4370" t="inlineStr">
        <is>
          <t>53d12001-d746-4a2f-a258-fd7a0e7b585b.jpg</t>
        </is>
      </c>
      <c r="B4370">
        <f>HYPERLINK("Объекты недвижимости, не соответствующие градостроительным нормам_00-022_Август/53d12001-d746-4a2f-a258-fd7a0e7b585b.jpg","open")</f>
        <v/>
      </c>
      <c r="C4370" t="inlineStr">
        <is>
          <t>29ad9edb-d533-4272-a986-be24eb004851</t>
        </is>
      </c>
      <c r="D4370" t="n">
        <v>55.76803</v>
      </c>
      <c r="E4370" t="n">
        <v>37.45421</v>
      </c>
      <c r="F4370" t="inlineStr"/>
      <c r="G4370" t="inlineStr"/>
      <c r="H4370" t="inlineStr"/>
    </row>
    <row r="4371">
      <c r="A4371" t="inlineStr">
        <is>
          <t>b251c9f0-6a7f-498c-b4ec-d2321e8a7ec2.jpg</t>
        </is>
      </c>
      <c r="B4371">
        <f>HYPERLINK("Объекты недвижимости, не соответствующие градостроительным нормам_00-022_Август/b251c9f0-6a7f-498c-b4ec-d2321e8a7ec2.jpg","open")</f>
        <v/>
      </c>
      <c r="C4371" t="inlineStr">
        <is>
          <t>c008bda0-324b-4c90-9c2f-36cfc930e0b5</t>
        </is>
      </c>
      <c r="D4371" t="n">
        <v>55.76803</v>
      </c>
      <c r="E4371" t="n">
        <v>37.45421</v>
      </c>
      <c r="F4371" t="inlineStr"/>
      <c r="G4371" t="inlineStr"/>
      <c r="H4371" t="inlineStr"/>
    </row>
    <row r="4372">
      <c r="A4372" t="inlineStr">
        <is>
          <t>6aaf3716-cf8f-4590-b9b4-e8049f8e26e5.jpg</t>
        </is>
      </c>
      <c r="B4372">
        <f>HYPERLINK("Объекты недвижимости, не соответствующие градостроительным нормам_00-022_Август/6aaf3716-cf8f-4590-b9b4-e8049f8e26e5.jpg","open")</f>
        <v/>
      </c>
      <c r="C4372" t="inlineStr">
        <is>
          <t>93848fc8-17e7-4748-9ebc-c7e379e11d2f</t>
        </is>
      </c>
      <c r="D4372" t="n">
        <v>55.7697</v>
      </c>
      <c r="E4372" t="n">
        <v>37.7449</v>
      </c>
      <c r="F4372" t="inlineStr"/>
      <c r="G4372" t="inlineStr"/>
      <c r="H4372" t="inlineStr"/>
    </row>
    <row r="4373">
      <c r="A4373" t="inlineStr">
        <is>
          <t>921e8a4f-0ffd-4b60-96ed-347f45b1e8ed.jpg</t>
        </is>
      </c>
      <c r="B4373">
        <f>HYPERLINK("Объекты недвижимости, не соответствующие градостроительным нормам_00-022_Август/921e8a4f-0ffd-4b60-96ed-347f45b1e8ed.jpg","open")</f>
        <v/>
      </c>
      <c r="C4373" t="inlineStr">
        <is>
          <t>f9ad0a8f-1e33-4fca-bdfe-5b844d3ee381</t>
        </is>
      </c>
      <c r="D4373" t="n">
        <v>55.76899</v>
      </c>
      <c r="E4373" t="n">
        <v>37.47365</v>
      </c>
      <c r="F4373" t="inlineStr"/>
      <c r="G4373" t="inlineStr"/>
      <c r="H4373" t="inlineStr"/>
    </row>
    <row r="4374">
      <c r="A4374" t="inlineStr">
        <is>
          <t>25464316-09c9-4b37-a74c-a318e491e4b4.jpg</t>
        </is>
      </c>
      <c r="B4374">
        <f>HYPERLINK("Объекты недвижимости, не соответствующие градостроительным нормам_00-022_Август/25464316-09c9-4b37-a74c-a318e491e4b4.jpg","open")</f>
        <v/>
      </c>
      <c r="C4374" t="inlineStr">
        <is>
          <t>ab4e767f-65c0-455b-af20-a5527124fd21</t>
        </is>
      </c>
      <c r="D4374" t="n">
        <v>55.76883</v>
      </c>
      <c r="E4374" t="n">
        <v>37.47358</v>
      </c>
      <c r="F4374" t="inlineStr"/>
      <c r="G4374" t="inlineStr"/>
      <c r="H4374" t="inlineStr"/>
    </row>
    <row r="4375">
      <c r="A4375" t="inlineStr">
        <is>
          <t>1411461a-de3e-4aed-9f31-f878178b97a5.jpg</t>
        </is>
      </c>
      <c r="B4375">
        <f>HYPERLINK("Объекты недвижимости, не соответствующие градостроительным нормам_00-022_Август/1411461a-de3e-4aed-9f31-f878178b97a5.jpg","open")</f>
        <v/>
      </c>
      <c r="C4375" t="inlineStr">
        <is>
          <t>036c664f-5408-4fd0-b479-342c00468eeb</t>
        </is>
      </c>
      <c r="D4375" t="n">
        <v>55.71428</v>
      </c>
      <c r="E4375" t="n">
        <v>37.40604</v>
      </c>
      <c r="F4375" t="inlineStr"/>
      <c r="G4375" t="inlineStr"/>
      <c r="H4375" t="inlineStr"/>
    </row>
    <row r="4376">
      <c r="A4376" t="inlineStr">
        <is>
          <t>53c7c630-2b27-41e8-bd81-edee047438c9.jpg</t>
        </is>
      </c>
      <c r="B4376">
        <f>HYPERLINK("Объекты недвижимости, не соответствующие градостроительным нормам_00-022_Август/53c7c630-2b27-41e8-bd81-edee047438c9.jpg","open")</f>
        <v/>
      </c>
      <c r="C4376" t="inlineStr">
        <is>
          <t>a1a9db89-3f74-42ef-8fad-ad69705102cd</t>
        </is>
      </c>
      <c r="D4376" t="n">
        <v>55.75914</v>
      </c>
      <c r="E4376" t="n">
        <v>37.67734</v>
      </c>
      <c r="F4376" t="inlineStr"/>
      <c r="G4376" t="inlineStr"/>
      <c r="H4376" t="inlineStr"/>
    </row>
    <row r="4377">
      <c r="A4377" t="inlineStr">
        <is>
          <t>f38ab95e-d756-4101-a560-5d0a595ac7a6.jpg</t>
        </is>
      </c>
      <c r="B4377">
        <f>HYPERLINK("Объекты недвижимости, не соответствующие градостроительным нормам_00-022_Август/f38ab95e-d756-4101-a560-5d0a595ac7a6.jpg","open")</f>
        <v/>
      </c>
      <c r="C4377" t="inlineStr">
        <is>
          <t>cbf95b01-f708-45a3-9ec0-3603469b538e</t>
        </is>
      </c>
      <c r="D4377" t="n">
        <v>55.76476</v>
      </c>
      <c r="E4377" t="n">
        <v>37.6866</v>
      </c>
      <c r="F4377" t="inlineStr"/>
      <c r="G4377" t="inlineStr"/>
      <c r="H4377" t="inlineStr"/>
    </row>
    <row r="4378">
      <c r="A4378" t="inlineStr">
        <is>
          <t>86fe8dad-3213-4373-8725-74471a497f5d.jpg</t>
        </is>
      </c>
      <c r="B4378">
        <f>HYPERLINK("Объекты недвижимости, не соответствующие градостроительным нормам_00-022_Август/86fe8dad-3213-4373-8725-74471a497f5d.jpg","open")</f>
        <v/>
      </c>
      <c r="C4378" t="inlineStr">
        <is>
          <t>a1a9db89-3f74-42ef-8fad-ad69705102cd</t>
        </is>
      </c>
      <c r="D4378" t="n">
        <v>55.76784</v>
      </c>
      <c r="E4378" t="n">
        <v>37.68941</v>
      </c>
      <c r="F4378" t="inlineStr"/>
      <c r="G4378" t="inlineStr"/>
      <c r="H4378" t="inlineStr"/>
    </row>
    <row r="4379">
      <c r="A4379" t="inlineStr">
        <is>
          <t>225bb764-6b58-41df-83d5-559c29ea63c0.jpg</t>
        </is>
      </c>
      <c r="B4379">
        <f>HYPERLINK("Объекты недвижимости, не соответствующие градостроительным нормам_00-022_Август/225bb764-6b58-41df-83d5-559c29ea63c0.jpg","open")</f>
        <v/>
      </c>
      <c r="C4379" t="inlineStr">
        <is>
          <t>cbf95b01-f708-45a3-9ec0-3603469b538e</t>
        </is>
      </c>
      <c r="D4379" t="n">
        <v>55.76855</v>
      </c>
      <c r="E4379" t="n">
        <v>37.69384</v>
      </c>
      <c r="F4379" t="inlineStr"/>
      <c r="G4379" t="inlineStr"/>
      <c r="H4379" t="inlineStr"/>
    </row>
    <row r="4380">
      <c r="A4380" t="inlineStr">
        <is>
          <t>4e87b8ba-670b-4773-9624-cb6e4b6f890a.jpg</t>
        </is>
      </c>
      <c r="B4380">
        <f>HYPERLINK("Объекты недвижимости, не соответствующие градостроительным нормам_00-022_Август/4e87b8ba-670b-4773-9624-cb6e4b6f890a.jpg","open")</f>
        <v/>
      </c>
      <c r="C4380" t="inlineStr">
        <is>
          <t>cbf95b01-f708-45a3-9ec0-3603469b538e</t>
        </is>
      </c>
      <c r="D4380" t="n">
        <v>55.7686</v>
      </c>
      <c r="E4380" t="n">
        <v>37.694</v>
      </c>
      <c r="F4380" t="inlineStr"/>
      <c r="G4380" t="inlineStr"/>
      <c r="H4380" t="inlineStr"/>
    </row>
    <row r="4381">
      <c r="A4381" t="inlineStr">
        <is>
          <t>85eef51c-4353-4884-b93b-ab389f131fa7.jpg</t>
        </is>
      </c>
      <c r="B4381">
        <f>HYPERLINK("Объекты недвижимости, не соответствующие градостроительным нормам_00-022_Август/85eef51c-4353-4884-b93b-ab389f131fa7.jpg","open")</f>
        <v/>
      </c>
      <c r="C4381" t="inlineStr">
        <is>
          <t>cbf95b01-f708-45a3-9ec0-3603469b538e</t>
        </is>
      </c>
      <c r="D4381" t="n">
        <v>55.77052</v>
      </c>
      <c r="E4381" t="n">
        <v>37.69049</v>
      </c>
      <c r="F4381" t="inlineStr"/>
      <c r="G4381" t="inlineStr"/>
      <c r="H4381" t="inlineStr"/>
    </row>
    <row r="4382">
      <c r="A4382" t="inlineStr">
        <is>
          <t>51348187-67f3-4968-bcfa-220766543d7c.jpg</t>
        </is>
      </c>
      <c r="B4382">
        <f>HYPERLINK("Объекты недвижимости, не соответствующие градостроительным нормам_00-022_Август/51348187-67f3-4968-bcfa-220766543d7c.jpg","open")</f>
        <v/>
      </c>
      <c r="C4382" t="inlineStr">
        <is>
          <t>036c664f-5408-4fd0-b479-342c00468eeb</t>
        </is>
      </c>
      <c r="D4382" t="n">
        <v>55.7144</v>
      </c>
      <c r="E4382" t="n">
        <v>37.40583</v>
      </c>
      <c r="F4382" t="inlineStr"/>
      <c r="G4382" t="inlineStr"/>
      <c r="H4382" t="inlineStr"/>
    </row>
    <row r="4383">
      <c r="A4383" t="inlineStr">
        <is>
          <t>dab729c9-ca50-4621-b58d-6a948e509200.jpg</t>
        </is>
      </c>
      <c r="B4383">
        <f>HYPERLINK("Объекты недвижимости, не соответствующие градостроительным нормам_00-022_Август/dab729c9-ca50-4621-b58d-6a948e509200.jpg","open")</f>
        <v/>
      </c>
      <c r="C4383" t="inlineStr">
        <is>
          <t>a1a9db89-3f74-42ef-8fad-ad69705102cd</t>
        </is>
      </c>
      <c r="D4383" t="n">
        <v>55.77331</v>
      </c>
      <c r="E4383" t="n">
        <v>37.68644</v>
      </c>
      <c r="F4383" t="inlineStr"/>
      <c r="G4383" t="inlineStr"/>
      <c r="H4383" t="inlineStr"/>
    </row>
    <row r="4384">
      <c r="A4384" t="inlineStr">
        <is>
          <t>c447c40b-0069-40cf-9e0f-2ec69e01b4cd.jpg</t>
        </is>
      </c>
      <c r="B4384">
        <f>HYPERLINK("Объекты недвижимости, не соответствующие градостроительным нормам_00-022_Август/c447c40b-0069-40cf-9e0f-2ec69e01b4cd.jpg","open")</f>
        <v/>
      </c>
      <c r="C4384" t="inlineStr">
        <is>
          <t>1a55986c-2c3f-40c0-b3d1-014dce77832e</t>
        </is>
      </c>
      <c r="D4384" t="n">
        <v>55.70601</v>
      </c>
      <c r="E4384" t="n">
        <v>37.64765</v>
      </c>
      <c r="F4384" t="inlineStr"/>
      <c r="G4384" t="inlineStr"/>
      <c r="H4384" t="inlineStr"/>
    </row>
    <row r="4385">
      <c r="A4385" t="inlineStr">
        <is>
          <t>78431151-c9a8-4205-9bba-4dce8fbebd4d.jpg</t>
        </is>
      </c>
      <c r="B4385">
        <f>HYPERLINK("Объекты недвижимости, не соответствующие градостроительным нормам_00-022_Август/78431151-c9a8-4205-9bba-4dce8fbebd4d.jpg","open")</f>
        <v/>
      </c>
      <c r="C4385" t="inlineStr">
        <is>
          <t>9f88688f-4c81-42a8-b76a-3c3e7edf869e</t>
        </is>
      </c>
      <c r="D4385" t="n">
        <v>55.79237</v>
      </c>
      <c r="E4385" t="n">
        <v>37.59024</v>
      </c>
      <c r="F4385" t="inlineStr"/>
      <c r="G4385" t="inlineStr"/>
      <c r="H4385" t="inlineStr"/>
    </row>
    <row r="4386">
      <c r="A4386" t="inlineStr">
        <is>
          <t>c1188ee0-bb06-4672-838a-06f289ed313d.jpg</t>
        </is>
      </c>
      <c r="B4386">
        <f>HYPERLINK("Объекты недвижимости, не соответствующие градостроительным нормам_00-022_Август/c1188ee0-bb06-4672-838a-06f289ed313d.jpg","open")</f>
        <v/>
      </c>
      <c r="C4386" t="inlineStr">
        <is>
          <t>ab4e767f-65c0-455b-af20-a5527124fd21</t>
        </is>
      </c>
      <c r="D4386" t="n">
        <v>55.74178</v>
      </c>
      <c r="E4386" t="n">
        <v>37.41782</v>
      </c>
      <c r="F4386" t="inlineStr"/>
      <c r="G4386" t="inlineStr"/>
      <c r="H4386" t="inlineStr"/>
    </row>
    <row r="4387">
      <c r="A4387" t="inlineStr">
        <is>
          <t>8fc30806-65fd-41e8-837e-788a2101cc28.jpg</t>
        </is>
      </c>
      <c r="B4387">
        <f>HYPERLINK("Объекты недвижимости, не соответствующие градостроительным нормам_00-022_Август/8fc30806-65fd-41e8-837e-788a2101cc28.jpg","open")</f>
        <v/>
      </c>
      <c r="C4387" t="inlineStr">
        <is>
          <t>1231bbc5-e64c-4dc7-9acc-77710f47607a</t>
        </is>
      </c>
      <c r="D4387" t="n">
        <v>55.682</v>
      </c>
      <c r="E4387" t="n">
        <v>37.59384</v>
      </c>
      <c r="F4387" t="inlineStr"/>
      <c r="G4387" t="inlineStr"/>
      <c r="H4387" t="inlineStr"/>
    </row>
    <row r="4388">
      <c r="A4388" t="inlineStr">
        <is>
          <t>40799993-defa-498e-b8c3-e31c045aa0b0.jpg</t>
        </is>
      </c>
      <c r="B4388">
        <f>HYPERLINK("Объекты недвижимости, не соответствующие градостроительным нормам_00-022_Август/40799993-defa-498e-b8c3-e31c045aa0b0.jpg","open")</f>
        <v/>
      </c>
      <c r="C4388" t="inlineStr">
        <is>
          <t>18a5c468-d9e6-4814-8477-1caf4a2e1fe9</t>
        </is>
      </c>
      <c r="D4388" t="n">
        <v>55.98158</v>
      </c>
      <c r="E4388" t="n">
        <v>37.40747</v>
      </c>
      <c r="F4388" t="inlineStr"/>
      <c r="G4388" t="inlineStr"/>
      <c r="H4388" t="inlineStr"/>
    </row>
    <row r="4389">
      <c r="A4389" t="inlineStr">
        <is>
          <t>971ea2c3-00cf-41ee-9bfc-25bbee2308da.jpg</t>
        </is>
      </c>
      <c r="B4389">
        <f>HYPERLINK("Объекты недвижимости, не соответствующие градостроительным нормам_00-022_Август/971ea2c3-00cf-41ee-9bfc-25bbee2308da.jpg","open")</f>
        <v/>
      </c>
      <c r="C4389" t="inlineStr">
        <is>
          <t>1231bbc5-e64c-4dc7-9acc-77710f47607a</t>
        </is>
      </c>
      <c r="D4389" t="n">
        <v>55.68233</v>
      </c>
      <c r="E4389" t="n">
        <v>37.59501</v>
      </c>
      <c r="F4389" t="inlineStr"/>
      <c r="G4389" t="inlineStr"/>
      <c r="H4389" t="inlineStr"/>
    </row>
    <row r="4390">
      <c r="A4390" t="inlineStr">
        <is>
          <t>85a8e5d4-4726-4e97-b35f-11182360c5f4.jpg</t>
        </is>
      </c>
      <c r="B4390">
        <f>HYPERLINK("Объекты недвижимости, не соответствующие градостроительным нормам_00-022_Август/85a8e5d4-4726-4e97-b35f-11182360c5f4.jpg","open")</f>
        <v/>
      </c>
      <c r="C4390" t="inlineStr">
        <is>
          <t>ed2bf0f1-3a66-4913-896e-4420a9796c0b</t>
        </is>
      </c>
      <c r="D4390" t="n">
        <v>55.70849</v>
      </c>
      <c r="E4390" t="n">
        <v>37.62125</v>
      </c>
      <c r="F4390" t="inlineStr"/>
      <c r="G4390" t="inlineStr"/>
      <c r="H4390" t="inlineStr"/>
    </row>
    <row r="4391">
      <c r="A4391" t="inlineStr">
        <is>
          <t>54459950-1746-4dd0-9a0a-b343172a9a79.jpg</t>
        </is>
      </c>
      <c r="B4391">
        <f>HYPERLINK("Объекты недвижимости, не соответствующие градостроительным нормам_00-022_Август/54459950-1746-4dd0-9a0a-b343172a9a79.jpg","open")</f>
        <v/>
      </c>
      <c r="C4391" t="inlineStr">
        <is>
          <t>e26f5fc2-1353-4f29-85f3-87c56419161c</t>
        </is>
      </c>
      <c r="D4391" t="n">
        <v>55.7685</v>
      </c>
      <c r="E4391" t="n">
        <v>37.63161</v>
      </c>
      <c r="F4391" t="inlineStr"/>
      <c r="G4391" t="inlineStr"/>
      <c r="H4391" t="inlineStr"/>
    </row>
    <row r="4392">
      <c r="A4392" t="inlineStr">
        <is>
          <t>257a801c-37d6-451d-9d51-7ac3cb17cac8.jpg</t>
        </is>
      </c>
      <c r="B4392">
        <f>HYPERLINK("Объекты недвижимости, не соответствующие градостроительным нормам_00-022_Август/257a801c-37d6-451d-9d51-7ac3cb17cac8.jpg","open")</f>
        <v/>
      </c>
      <c r="C4392" t="inlineStr">
        <is>
          <t>bfe6d308-d042-4641-8584-2e33d24b2451</t>
        </is>
      </c>
      <c r="D4392" t="n">
        <v>55.5188</v>
      </c>
      <c r="E4392" t="n">
        <v>37.49222</v>
      </c>
      <c r="F4392" t="inlineStr"/>
      <c r="G4392" t="inlineStr"/>
      <c r="H4392" t="inlineStr"/>
    </row>
    <row r="4393">
      <c r="A4393" t="inlineStr">
        <is>
          <t>5a1d3450-7c5b-4430-9aac-c71bc965d894.jpg</t>
        </is>
      </c>
      <c r="B4393">
        <f>HYPERLINK("Объекты недвижимости, не соответствующие градостроительным нормам_00-022_Август/5a1d3450-7c5b-4430-9aac-c71bc965d894.jpg","open")</f>
        <v/>
      </c>
      <c r="C4393" t="inlineStr">
        <is>
          <t>f7a3e6af-e9f9-46b2-a77f-b34d6002415e</t>
        </is>
      </c>
      <c r="D4393" t="n">
        <v>55.52166</v>
      </c>
      <c r="E4393" t="n">
        <v>37.50158</v>
      </c>
      <c r="F4393" t="inlineStr"/>
      <c r="G4393" t="inlineStr"/>
      <c r="H4393" t="inlineStr"/>
    </row>
    <row r="4394">
      <c r="A4394" t="inlineStr">
        <is>
          <t>8dcdcb36-ac13-4c2e-8e80-6acf75cc426d.jpg</t>
        </is>
      </c>
      <c r="B4394">
        <f>HYPERLINK("Объекты недвижимости, не соответствующие градостроительным нормам_00-022_Август/8dcdcb36-ac13-4c2e-8e80-6acf75cc426d.jpg","open")</f>
        <v/>
      </c>
      <c r="C4394" t="inlineStr">
        <is>
          <t>bfe6d308-d042-4641-8584-2e33d24b2451</t>
        </is>
      </c>
      <c r="D4394" t="n">
        <v>55.52166</v>
      </c>
      <c r="E4394" t="n">
        <v>37.50158</v>
      </c>
      <c r="F4394" t="inlineStr"/>
      <c r="G4394" t="inlineStr"/>
      <c r="H4394" t="inlineStr"/>
    </row>
    <row r="4395">
      <c r="A4395" t="inlineStr">
        <is>
          <t>cc470f4f-f34b-4452-b809-dff5c39e6b03.jpg</t>
        </is>
      </c>
      <c r="B4395">
        <f>HYPERLINK("Объекты недвижимости, не соответствующие градостроительным нормам_00-022_Август/cc470f4f-f34b-4452-b809-dff5c39e6b03.jpg","open")</f>
        <v/>
      </c>
      <c r="C4395" t="inlineStr">
        <is>
          <t>1231bbc5-e64c-4dc7-9acc-77710f47607a</t>
        </is>
      </c>
      <c r="D4395" t="n">
        <v>55.68327</v>
      </c>
      <c r="E4395" t="n">
        <v>37.59993</v>
      </c>
      <c r="F4395" t="inlineStr"/>
      <c r="G4395" t="inlineStr"/>
      <c r="H4395" t="inlineStr"/>
    </row>
    <row r="4396">
      <c r="A4396" t="inlineStr">
        <is>
          <t>2567059a-c476-44c8-a35c-ec26319b7a2d.jpg</t>
        </is>
      </c>
      <c r="B4396">
        <f>HYPERLINK("Объекты недвижимости, не соответствующие градостроительным нормам_00-022_Август/2567059a-c476-44c8-a35c-ec26319b7a2d.jpg","open")</f>
        <v/>
      </c>
      <c r="C4396" t="inlineStr">
        <is>
          <t>ed2bf0f1-3a66-4913-896e-4420a9796c0b</t>
        </is>
      </c>
      <c r="D4396" t="n">
        <v>55.70978</v>
      </c>
      <c r="E4396" t="n">
        <v>37.6234</v>
      </c>
      <c r="F4396" t="inlineStr"/>
      <c r="G4396" t="inlineStr"/>
      <c r="H4396" t="inlineStr"/>
    </row>
    <row r="4397">
      <c r="A4397" t="inlineStr">
        <is>
          <t>245928b2-d3dc-4a65-bfa0-b004b4f0a12e.jpg</t>
        </is>
      </c>
      <c r="B4397">
        <f>HYPERLINK("Объекты недвижимости, не соответствующие градостроительным нормам_00-022_Август/245928b2-d3dc-4a65-bfa0-b004b4f0a12e.jpg","open")</f>
        <v/>
      </c>
      <c r="C4397" t="inlineStr">
        <is>
          <t>685d9054-b74f-49ab-857b-109fd2cec80d</t>
        </is>
      </c>
      <c r="D4397" t="n">
        <v>55.68329</v>
      </c>
      <c r="E4397" t="n">
        <v>37.5999</v>
      </c>
      <c r="F4397" t="inlineStr"/>
      <c r="G4397" t="inlineStr"/>
      <c r="H4397" t="inlineStr"/>
    </row>
    <row r="4398">
      <c r="A4398" t="inlineStr">
        <is>
          <t>622eec6e-0020-4d84-9676-4732bfaf4b3f.jpg</t>
        </is>
      </c>
      <c r="B4398">
        <f>HYPERLINK("Объекты недвижимости, не соответствующие градостроительным нормам_00-022_Август/622eec6e-0020-4d84-9676-4732bfaf4b3f.jpg","open")</f>
        <v/>
      </c>
      <c r="C4398" t="inlineStr">
        <is>
          <t>93848fc8-17e7-4748-9ebc-c7e379e11d2f</t>
        </is>
      </c>
      <c r="D4398" t="n">
        <v>55.78243</v>
      </c>
      <c r="E4398" t="n">
        <v>37.70531</v>
      </c>
      <c r="F4398" t="inlineStr"/>
      <c r="G4398" t="inlineStr"/>
      <c r="H4398" t="inlineStr"/>
    </row>
    <row r="4399">
      <c r="A4399" t="inlineStr">
        <is>
          <t>5276f88f-69ef-4ade-9172-677e028a4ee9.jpg</t>
        </is>
      </c>
      <c r="B4399">
        <f>HYPERLINK("Объекты недвижимости, не соответствующие градостроительным нормам_00-022_Август/5276f88f-69ef-4ade-9172-677e028a4ee9.jpg","open")</f>
        <v/>
      </c>
      <c r="C4399" t="inlineStr">
        <is>
          <t>e26f5fc2-1353-4f29-85f3-87c56419161c</t>
        </is>
      </c>
      <c r="D4399" t="n">
        <v>55.7685</v>
      </c>
      <c r="E4399" t="n">
        <v>37.63161</v>
      </c>
      <c r="F4399" t="inlineStr"/>
      <c r="G4399" t="inlineStr"/>
      <c r="H4399" t="inlineStr"/>
    </row>
    <row r="4400">
      <c r="A4400" t="inlineStr">
        <is>
          <t>f3e8ca1f-a3dd-4624-a3c5-61cab7d1eb0d.jpg</t>
        </is>
      </c>
      <c r="B4400">
        <f>HYPERLINK("Объекты недвижимости, не соответствующие градостроительным нормам_00-022_Август/f3e8ca1f-a3dd-4624-a3c5-61cab7d1eb0d.jpg","open")</f>
        <v/>
      </c>
      <c r="C4400" t="inlineStr">
        <is>
          <t>1a55986c-2c3f-40c0-b3d1-014dce77832e</t>
        </is>
      </c>
      <c r="D4400" t="n">
        <v>55.70649</v>
      </c>
      <c r="E4400" t="n">
        <v>37.62475</v>
      </c>
      <c r="F4400" t="inlineStr"/>
      <c r="G4400" t="inlineStr"/>
      <c r="H4400" t="inlineStr"/>
    </row>
    <row r="4401">
      <c r="A4401" t="inlineStr">
        <is>
          <t>732aedfc-a81e-4376-908c-227cb538ea93.jpg</t>
        </is>
      </c>
      <c r="B4401">
        <f>HYPERLINK("Объекты недвижимости, не соответствующие градостроительным нормам_00-022_Август/732aedfc-a81e-4376-908c-227cb538ea93.jpg","open")</f>
        <v/>
      </c>
      <c r="C4401" t="inlineStr">
        <is>
          <t>5e5b9944-4f9e-4223-bf96-0bc0c8a93dfa</t>
        </is>
      </c>
      <c r="D4401" t="n">
        <v>55.71035</v>
      </c>
      <c r="E4401" t="n">
        <v>37.66511</v>
      </c>
      <c r="F4401" t="inlineStr"/>
      <c r="G4401" t="inlineStr"/>
      <c r="H4401" t="inlineStr"/>
    </row>
    <row r="4402">
      <c r="A4402" t="inlineStr">
        <is>
          <t>604cb8a3-0083-424f-9ce2-b23c6a6249b4.jpg</t>
        </is>
      </c>
      <c r="B4402">
        <f>HYPERLINK("Объекты недвижимости, не соответствующие градостроительным нормам_00-022_Август/604cb8a3-0083-424f-9ce2-b23c6a6249b4.jpg","open")</f>
        <v/>
      </c>
      <c r="C4402" t="inlineStr">
        <is>
          <t>5adecbcf-6742-48b8-951f-8e3abc9509e4</t>
        </is>
      </c>
      <c r="D4402" t="n">
        <v>55.71035</v>
      </c>
      <c r="E4402" t="n">
        <v>37.66511</v>
      </c>
      <c r="F4402" t="inlineStr"/>
      <c r="G4402" t="inlineStr"/>
      <c r="H4402" t="inlineStr"/>
    </row>
    <row r="4403">
      <c r="A4403" t="inlineStr">
        <is>
          <t>39307c54-e2e1-4b4a-9555-3bd7f20cc6e8.jpg</t>
        </is>
      </c>
      <c r="B4403">
        <f>HYPERLINK("Объекты недвижимости, не соответствующие градостроительным нормам_00-022_Август/39307c54-e2e1-4b4a-9555-3bd7f20cc6e8.jpg","open")</f>
        <v/>
      </c>
      <c r="C4403" t="inlineStr">
        <is>
          <t>a28f597e-d1cd-4d3b-b572-c86d033412e9</t>
        </is>
      </c>
      <c r="D4403" t="n">
        <v>55.71341</v>
      </c>
      <c r="E4403" t="n">
        <v>37.40746</v>
      </c>
      <c r="F4403" t="inlineStr"/>
      <c r="G4403" t="inlineStr"/>
      <c r="H4403" t="inlineStr"/>
    </row>
    <row r="4404">
      <c r="A4404" t="inlineStr">
        <is>
          <t>1287614d-bce1-46e9-a0f1-292e274cbbff.jpg</t>
        </is>
      </c>
      <c r="B4404">
        <f>HYPERLINK("Объекты недвижимости, не соответствующие градостроительным нормам_00-022_Август/1287614d-bce1-46e9-a0f1-292e274cbbff.jpg","open")</f>
        <v/>
      </c>
      <c r="C4404" t="inlineStr">
        <is>
          <t>5e5b9944-4f9e-4223-bf96-0bc0c8a93dfa</t>
        </is>
      </c>
      <c r="D4404" t="n">
        <v>55.71035</v>
      </c>
      <c r="E4404" t="n">
        <v>37.66511</v>
      </c>
      <c r="F4404" t="inlineStr"/>
      <c r="G4404" t="inlineStr"/>
      <c r="H4404" t="inlineStr"/>
    </row>
    <row r="4405">
      <c r="A4405" t="inlineStr">
        <is>
          <t>7dd96d67-6f09-4728-be66-a5c47862c2cf.jpg</t>
        </is>
      </c>
      <c r="B4405">
        <f>HYPERLINK("Объекты недвижимости, не соответствующие градостроительным нормам_00-022_Август/7dd96d67-6f09-4728-be66-a5c47862c2cf.jpg","open")</f>
        <v/>
      </c>
      <c r="C4405" t="inlineStr">
        <is>
          <t>5adecbcf-6742-48b8-951f-8e3abc9509e4</t>
        </is>
      </c>
      <c r="D4405" t="n">
        <v>55.71035</v>
      </c>
      <c r="E4405" t="n">
        <v>37.66511</v>
      </c>
      <c r="F4405" t="inlineStr"/>
      <c r="G4405" t="inlineStr"/>
      <c r="H4405" t="inlineStr"/>
    </row>
    <row r="4406">
      <c r="A4406" t="inlineStr">
        <is>
          <t>c9e294a9-de89-4c7e-8b8c-0f8a0a2fa8c9.jpg</t>
        </is>
      </c>
      <c r="B4406">
        <f>HYPERLINK("Объекты недвижимости, не соответствующие градостроительным нормам_00-022_Август/c9e294a9-de89-4c7e-8b8c-0f8a0a2fa8c9.jpg","open")</f>
        <v/>
      </c>
      <c r="C4406" t="inlineStr">
        <is>
          <t>685d9054-b74f-49ab-857b-109fd2cec80d</t>
        </is>
      </c>
      <c r="D4406" t="n">
        <v>55.6835</v>
      </c>
      <c r="E4406" t="n">
        <v>37.6039</v>
      </c>
      <c r="F4406" t="inlineStr"/>
      <c r="G4406" t="inlineStr"/>
      <c r="H4406" t="inlineStr"/>
    </row>
    <row r="4407">
      <c r="A4407" t="inlineStr">
        <is>
          <t>50d5470e-c702-42ab-8b6d-5b5e5b7ca6fd.jpg</t>
        </is>
      </c>
      <c r="B4407">
        <f>HYPERLINK("Объекты недвижимости, не соответствующие градостроительным нормам_00-022_Август/50d5470e-c702-42ab-8b6d-5b5e5b7ca6fd.jpg","open")</f>
        <v/>
      </c>
      <c r="C4407" t="inlineStr">
        <is>
          <t>b6b3590f-f506-4399-8205-e7ac710132e7</t>
        </is>
      </c>
      <c r="D4407" t="n">
        <v>55.96448</v>
      </c>
      <c r="E4407" t="n">
        <v>37.41449</v>
      </c>
      <c r="F4407" t="inlineStr"/>
      <c r="G4407" t="inlineStr"/>
      <c r="H4407" t="inlineStr"/>
    </row>
    <row r="4408">
      <c r="A4408" t="inlineStr">
        <is>
          <t>000d8ee0-2cc9-4d87-8339-806e6b74f0db.jpg</t>
        </is>
      </c>
      <c r="B4408">
        <f>HYPERLINK("Объекты недвижимости, не соответствующие градостроительным нормам_00-022_Август/000d8ee0-2cc9-4d87-8339-806e6b74f0db.jpg","open")</f>
        <v/>
      </c>
      <c r="C4408" t="inlineStr">
        <is>
          <t>1231bbc5-e64c-4dc7-9acc-77710f47607a</t>
        </is>
      </c>
      <c r="D4408" t="n">
        <v>55.68387</v>
      </c>
      <c r="E4408" t="n">
        <v>37.60409</v>
      </c>
      <c r="F4408" t="inlineStr"/>
      <c r="G4408" t="inlineStr"/>
      <c r="H4408" t="inlineStr"/>
    </row>
    <row r="4409">
      <c r="A4409" t="inlineStr">
        <is>
          <t>813b82e2-76fc-4d8f-b682-28f9fdf63ed6.jpg</t>
        </is>
      </c>
      <c r="B4409">
        <f>HYPERLINK("Объекты недвижимости, не соответствующие градостроительным нормам_00-022_Август/813b82e2-76fc-4d8f-b682-28f9fdf63ed6.jpg","open")</f>
        <v/>
      </c>
      <c r="C4409" t="inlineStr">
        <is>
          <t>b0429a31-0c70-4b9f-8ea5-73929d82f89e</t>
        </is>
      </c>
      <c r="D4409" t="n">
        <v>55.68197</v>
      </c>
      <c r="E4409" t="n">
        <v>37.64552</v>
      </c>
      <c r="F4409" t="inlineStr"/>
      <c r="G4409" t="inlineStr"/>
      <c r="H4409" t="inlineStr"/>
    </row>
    <row r="4410">
      <c r="A4410" t="inlineStr">
        <is>
          <t>a763f8f3-099f-4987-8ea7-df44de00f685.jpg</t>
        </is>
      </c>
      <c r="B4410">
        <f>HYPERLINK("Объекты недвижимости, не соответствующие градостроительным нормам_00-022_Август/a763f8f3-099f-4987-8ea7-df44de00f685.jpg","open")</f>
        <v/>
      </c>
      <c r="C4410" t="inlineStr">
        <is>
          <t>ed2bf0f1-3a66-4913-896e-4420a9796c0b</t>
        </is>
      </c>
      <c r="D4410" t="n">
        <v>55.70923</v>
      </c>
      <c r="E4410" t="n">
        <v>37.62851</v>
      </c>
      <c r="F4410" t="inlineStr"/>
      <c r="G4410" t="inlineStr"/>
      <c r="H4410" t="inlineStr"/>
    </row>
    <row r="4411">
      <c r="A4411" t="inlineStr">
        <is>
          <t>0492bb92-2821-4da9-9792-2cbe7b2b129f.jpg</t>
        </is>
      </c>
      <c r="B4411">
        <f>HYPERLINK("Объекты недвижимости, не соответствующие градостроительным нормам_00-022_Август/0492bb92-2821-4da9-9792-2cbe7b2b129f.jpg","open")</f>
        <v/>
      </c>
      <c r="C4411" t="inlineStr">
        <is>
          <t>750bf7e4-0f0f-4f1a-96af-607dc8c1f1c9</t>
        </is>
      </c>
      <c r="D4411" t="n">
        <v>55.70155</v>
      </c>
      <c r="E4411" t="n">
        <v>37.7395</v>
      </c>
      <c r="F4411" t="inlineStr"/>
      <c r="G4411" t="inlineStr"/>
      <c r="H4411" t="inlineStr"/>
    </row>
    <row r="4412">
      <c r="A4412" t="inlineStr">
        <is>
          <t>54e1ea46-1d0a-4955-b9b2-9ba69c9675ad.jpg</t>
        </is>
      </c>
      <c r="B4412">
        <f>HYPERLINK("Объекты недвижимости, не соответствующие градостроительным нормам_00-022_Август/54e1ea46-1d0a-4955-b9b2-9ba69c9675ad.jpg","open")</f>
        <v/>
      </c>
      <c r="C4412" t="inlineStr">
        <is>
          <t>99f3abba-c55b-49f0-9de5-9f88e9597cc0</t>
        </is>
      </c>
      <c r="D4412" t="n">
        <v>55.67975</v>
      </c>
      <c r="E4412" t="n">
        <v>37.64738</v>
      </c>
      <c r="F4412" t="inlineStr"/>
      <c r="G4412" t="inlineStr"/>
      <c r="H4412" t="inlineStr"/>
    </row>
    <row r="4413">
      <c r="A4413" t="inlineStr">
        <is>
          <t>94aa20ab-dbce-4af5-a230-3310f6729fe4.jpg</t>
        </is>
      </c>
      <c r="B4413">
        <f>HYPERLINK("Объекты недвижимости, не соответствующие градостроительным нормам_00-022_Август/94aa20ab-dbce-4af5-a230-3310f6729fe4.jpg","open")</f>
        <v/>
      </c>
      <c r="C4413" t="inlineStr">
        <is>
          <t>93848fc8-17e7-4748-9ebc-c7e379e11d2f</t>
        </is>
      </c>
      <c r="D4413" t="n">
        <v>55.78352</v>
      </c>
      <c r="E4413" t="n">
        <v>37.70636</v>
      </c>
      <c r="F4413" t="inlineStr"/>
      <c r="G4413" t="inlineStr"/>
      <c r="H4413" t="inlineStr"/>
    </row>
    <row r="4414">
      <c r="A4414" t="inlineStr">
        <is>
          <t>e2efbfc3-4d08-4d02-bd05-843cfb3ddfe7.jpg</t>
        </is>
      </c>
      <c r="B4414">
        <f>HYPERLINK("Объекты недвижимости, не соответствующие градостроительным нормам_00-022_Август/e2efbfc3-4d08-4d02-bd05-843cfb3ddfe7.jpg","open")</f>
        <v/>
      </c>
      <c r="C4414" t="inlineStr">
        <is>
          <t>cbf95b01-f708-45a3-9ec0-3603469b538e</t>
        </is>
      </c>
      <c r="D4414" t="n">
        <v>55.78288</v>
      </c>
      <c r="E4414" t="n">
        <v>37.66272</v>
      </c>
      <c r="F4414" t="inlineStr"/>
      <c r="G4414" t="inlineStr"/>
      <c r="H4414" t="inlineStr"/>
    </row>
    <row r="4415">
      <c r="A4415" t="inlineStr">
        <is>
          <t>306ae386-d3fb-4119-a2a3-e29325326ed9.jpg</t>
        </is>
      </c>
      <c r="B4415">
        <f>HYPERLINK("Объекты недвижимости, не соответствующие градостроительным нормам_00-022_Август/306ae386-d3fb-4119-a2a3-e29325326ed9.jpg","open")</f>
        <v/>
      </c>
      <c r="C4415" t="inlineStr">
        <is>
          <t>93848fc8-17e7-4748-9ebc-c7e379e11d2f</t>
        </is>
      </c>
      <c r="D4415" t="n">
        <v>55.78357</v>
      </c>
      <c r="E4415" t="n">
        <v>37.70639</v>
      </c>
      <c r="F4415" t="inlineStr"/>
      <c r="G4415" t="inlineStr"/>
      <c r="H4415" t="inlineStr"/>
    </row>
    <row r="4416">
      <c r="A4416" t="inlineStr">
        <is>
          <t>dbba9dea-3435-4f8d-8fdc-e6d0449d12b3.jpg</t>
        </is>
      </c>
      <c r="B4416">
        <f>HYPERLINK("Объекты недвижимости, не соответствующие градостроительным нормам_00-022_Август/dbba9dea-3435-4f8d-8fdc-e6d0449d12b3.jpg","open")</f>
        <v/>
      </c>
      <c r="C4416" t="inlineStr">
        <is>
          <t>cbf95b01-f708-45a3-9ec0-3603469b538e</t>
        </is>
      </c>
      <c r="D4416" t="n">
        <v>55.78299</v>
      </c>
      <c r="E4416" t="n">
        <v>37.66264</v>
      </c>
      <c r="F4416" t="inlineStr"/>
      <c r="G4416" t="inlineStr"/>
      <c r="H4416" t="inlineStr"/>
    </row>
    <row r="4417">
      <c r="A4417" t="inlineStr">
        <is>
          <t>03ed523b-b22c-48e8-9cb9-3674df3aa25e.jpg</t>
        </is>
      </c>
      <c r="B4417">
        <f>HYPERLINK("Объекты недвижимости, не соответствующие градостроительным нормам_00-022_Август/03ed523b-b22c-48e8-9cb9-3674df3aa25e.jpg","open")</f>
        <v/>
      </c>
      <c r="C4417" t="inlineStr">
        <is>
          <t>cbf95b01-f708-45a3-9ec0-3603469b538e</t>
        </is>
      </c>
      <c r="D4417" t="n">
        <v>55.78328</v>
      </c>
      <c r="E4417" t="n">
        <v>37.66235</v>
      </c>
      <c r="F4417" t="inlineStr"/>
      <c r="G4417" t="inlineStr"/>
      <c r="H4417" t="inlineStr"/>
    </row>
    <row r="4418">
      <c r="A4418" t="inlineStr">
        <is>
          <t>f548198c-b983-4e8e-9ecd-5772edda7654.jpg</t>
        </is>
      </c>
      <c r="B4418">
        <f>HYPERLINK("Объекты недвижимости, не соответствующие градостроительным нормам_00-022_Август/f548198c-b983-4e8e-9ecd-5772edda7654.jpg","open")</f>
        <v/>
      </c>
      <c r="C4418" t="inlineStr">
        <is>
          <t>ed2bf0f1-3a66-4913-896e-4420a9796c0b</t>
        </is>
      </c>
      <c r="D4418" t="n">
        <v>55.71247</v>
      </c>
      <c r="E4418" t="n">
        <v>37.62735</v>
      </c>
      <c r="F4418" t="inlineStr"/>
      <c r="G4418" t="inlineStr"/>
      <c r="H4418" t="inlineStr"/>
    </row>
    <row r="4419">
      <c r="A4419" t="inlineStr">
        <is>
          <t>395ad59c-a1e3-46b5-8599-badc1791ea7b.jpg</t>
        </is>
      </c>
      <c r="B4419">
        <f>HYPERLINK("Объекты недвижимости, не соответствующие градостроительным нормам_00-022_Август/395ad59c-a1e3-46b5-8599-badc1791ea7b.jpg","open")</f>
        <v/>
      </c>
      <c r="C4419" t="inlineStr">
        <is>
          <t>0dd30d74-4dbc-46a8-b638-91e1431bb398</t>
        </is>
      </c>
      <c r="D4419" t="n">
        <v>55.78446</v>
      </c>
      <c r="E4419" t="n">
        <v>37.70662</v>
      </c>
      <c r="F4419" t="inlineStr"/>
      <c r="G4419" t="inlineStr"/>
      <c r="H4419" t="inlineStr"/>
    </row>
    <row r="4420">
      <c r="A4420" t="inlineStr">
        <is>
          <t>6ae398d7-a5c7-441c-a6f8-95cdb5f54651.jpg</t>
        </is>
      </c>
      <c r="B4420">
        <f>HYPERLINK("Объекты недвижимости, не соответствующие градостроительным нормам_00-022_Август/6ae398d7-a5c7-441c-a6f8-95cdb5f54651.jpg","open")</f>
        <v/>
      </c>
      <c r="C4420" t="inlineStr">
        <is>
          <t>cbf95b01-f708-45a3-9ec0-3603469b538e</t>
        </is>
      </c>
      <c r="D4420" t="n">
        <v>55.78339</v>
      </c>
      <c r="E4420" t="n">
        <v>37.66223</v>
      </c>
      <c r="F4420" t="inlineStr"/>
      <c r="G4420" t="inlineStr"/>
      <c r="H4420" t="inlineStr"/>
    </row>
    <row r="4421">
      <c r="A4421" t="inlineStr">
        <is>
          <t>446b450e-10fb-4a4f-b55c-b8cb9c02cf21.jpg</t>
        </is>
      </c>
      <c r="B4421">
        <f>HYPERLINK("Объекты недвижимости, не соответствующие градостроительным нормам_00-022_Август/446b450e-10fb-4a4f-b55c-b8cb9c02cf21.jpg","open")</f>
        <v/>
      </c>
      <c r="C4421" t="inlineStr">
        <is>
          <t>dd48f742-b338-42e2-bbaf-b3a9701b437c</t>
        </is>
      </c>
      <c r="D4421" t="n">
        <v>55.78843</v>
      </c>
      <c r="E4421" t="n">
        <v>37.7355</v>
      </c>
      <c r="F4421" t="inlineStr"/>
      <c r="G4421" t="inlineStr"/>
      <c r="H4421" t="inlineStr"/>
    </row>
    <row r="4422">
      <c r="A4422" t="inlineStr">
        <is>
          <t>e46ceaae-5008-4a88-9819-12f010c6e93a.jpg</t>
        </is>
      </c>
      <c r="B4422">
        <f>HYPERLINK("Объекты недвижимости, не соответствующие градостроительным нормам_00-022_Август/e46ceaae-5008-4a88-9819-12f010c6e93a.jpg","open")</f>
        <v/>
      </c>
      <c r="C4422" t="inlineStr">
        <is>
          <t>93848fc8-17e7-4748-9ebc-c7e379e11d2f</t>
        </is>
      </c>
      <c r="D4422" t="n">
        <v>55.78448</v>
      </c>
      <c r="E4422" t="n">
        <v>37.70605</v>
      </c>
      <c r="F4422" t="inlineStr"/>
      <c r="G4422" t="inlineStr"/>
      <c r="H4422" t="inlineStr"/>
    </row>
    <row r="4423">
      <c r="A4423" t="inlineStr">
        <is>
          <t>11aa7e72-c33e-4e8e-a11d-27e71ac89289.jpg</t>
        </is>
      </c>
      <c r="B4423">
        <f>HYPERLINK("Объекты недвижимости, не соответствующие градостроительным нормам_00-022_Август/11aa7e72-c33e-4e8e-a11d-27e71ac89289.jpg","open")</f>
        <v/>
      </c>
      <c r="C4423" t="inlineStr">
        <is>
          <t>cbf95b01-f708-45a3-9ec0-3603469b538e</t>
        </is>
      </c>
      <c r="D4423" t="n">
        <v>55.78603</v>
      </c>
      <c r="E4423" t="n">
        <v>37.65911</v>
      </c>
      <c r="F4423" t="inlineStr"/>
      <c r="G4423" t="inlineStr"/>
      <c r="H4423" t="inlineStr"/>
    </row>
    <row r="4424">
      <c r="A4424" t="inlineStr">
        <is>
          <t>139e4678-9adb-4aac-8bad-d98afdc69b5d.jpg</t>
        </is>
      </c>
      <c r="B4424">
        <f>HYPERLINK("Объекты недвижимости, не соответствующие градостроительным нормам_00-022_Август/139e4678-9adb-4aac-8bad-d98afdc69b5d.jpg","open")</f>
        <v/>
      </c>
      <c r="C4424" t="inlineStr">
        <is>
          <t>cbf95b01-f708-45a3-9ec0-3603469b538e</t>
        </is>
      </c>
      <c r="D4424" t="n">
        <v>55.78619</v>
      </c>
      <c r="E4424" t="n">
        <v>37.65892</v>
      </c>
      <c r="F4424" t="inlineStr"/>
      <c r="G4424" t="inlineStr"/>
      <c r="H4424" t="inlineStr"/>
    </row>
    <row r="4425">
      <c r="A4425" t="inlineStr">
        <is>
          <t>6fed7657-f066-4ff6-8d48-92b8a5b2a4ac.jpg</t>
        </is>
      </c>
      <c r="B4425">
        <f>HYPERLINK("Объекты недвижимости, не соответствующие градостроительным нормам_00-022_Август/6fed7657-f066-4ff6-8d48-92b8a5b2a4ac.jpg","open")</f>
        <v/>
      </c>
      <c r="C4425" t="inlineStr">
        <is>
          <t>a1a9db89-3f74-42ef-8fad-ad69705102cd</t>
        </is>
      </c>
      <c r="D4425" t="n">
        <v>55.78619</v>
      </c>
      <c r="E4425" t="n">
        <v>37.65892</v>
      </c>
      <c r="F4425" t="inlineStr"/>
      <c r="G4425" t="inlineStr"/>
      <c r="H4425" t="inlineStr"/>
    </row>
    <row r="4426">
      <c r="A4426" t="inlineStr">
        <is>
          <t>091dd2ad-7c23-477e-aa31-1f453171b8de.jpg</t>
        </is>
      </c>
      <c r="B4426">
        <f>HYPERLINK("Объекты недвижимости, не соответствующие градостроительным нормам_00-022_Август/091dd2ad-7c23-477e-aa31-1f453171b8de.jpg","open")</f>
        <v/>
      </c>
      <c r="C4426" t="inlineStr">
        <is>
          <t>b0429a31-0c70-4b9f-8ea5-73929d82f89e</t>
        </is>
      </c>
      <c r="D4426" t="n">
        <v>55.6796</v>
      </c>
      <c r="E4426" t="n">
        <v>37.64558</v>
      </c>
      <c r="F4426" t="inlineStr"/>
      <c r="G4426" t="inlineStr"/>
      <c r="H4426" t="inlineStr"/>
    </row>
    <row r="4427">
      <c r="A4427" t="inlineStr">
        <is>
          <t>02063a8e-5e47-42b1-8e98-826bfa19e825.jpg</t>
        </is>
      </c>
      <c r="B4427">
        <f>HYPERLINK("Объекты недвижимости, не соответствующие градостроительным нормам_00-022_Август/02063a8e-5e47-42b1-8e98-826bfa19e825.jpg","open")</f>
        <v/>
      </c>
      <c r="C4427" t="inlineStr">
        <is>
          <t>b0429a31-0c70-4b9f-8ea5-73929d82f89e</t>
        </is>
      </c>
      <c r="D4427" t="n">
        <v>55.67964</v>
      </c>
      <c r="E4427" t="n">
        <v>37.6456</v>
      </c>
      <c r="F4427" t="inlineStr"/>
      <c r="G4427" t="inlineStr"/>
      <c r="H4427" t="inlineStr"/>
    </row>
    <row r="4428">
      <c r="A4428" t="inlineStr">
        <is>
          <t>af1ee78e-9b86-4e92-b6da-5f2b2f53975b.jpg</t>
        </is>
      </c>
      <c r="B4428">
        <f>HYPERLINK("Объекты недвижимости, не соответствующие градостроительным нормам_00-022_Август/af1ee78e-9b86-4e92-b6da-5f2b2f53975b.jpg","open")</f>
        <v/>
      </c>
      <c r="C4428" t="inlineStr">
        <is>
          <t>99f3abba-c55b-49f0-9de5-9f88e9597cc0</t>
        </is>
      </c>
      <c r="D4428" t="n">
        <v>55.6796</v>
      </c>
      <c r="E4428" t="n">
        <v>37.64558</v>
      </c>
      <c r="F4428" t="inlineStr"/>
      <c r="G4428" t="inlineStr"/>
      <c r="H4428" t="inlineStr"/>
    </row>
    <row r="4429">
      <c r="A4429" t="inlineStr">
        <is>
          <t>02b70bb6-57e9-469e-91cd-96d838b7cac1.jpg</t>
        </is>
      </c>
      <c r="B4429">
        <f>HYPERLINK("Объекты недвижимости, не соответствующие градостроительным нормам_00-022_Август/02b70bb6-57e9-469e-91cd-96d838b7cac1.jpg","open")</f>
        <v/>
      </c>
      <c r="C4429" t="inlineStr">
        <is>
          <t>b0429a31-0c70-4b9f-8ea5-73929d82f89e</t>
        </is>
      </c>
      <c r="D4429" t="n">
        <v>55.67968</v>
      </c>
      <c r="E4429" t="n">
        <v>37.6456</v>
      </c>
      <c r="F4429" t="inlineStr"/>
      <c r="G4429" t="inlineStr"/>
      <c r="H4429" t="inlineStr"/>
    </row>
    <row r="4430">
      <c r="A4430" t="inlineStr">
        <is>
          <t>3dc19870-9500-4ce8-92de-9980c390e74e.jpg</t>
        </is>
      </c>
      <c r="B4430">
        <f>HYPERLINK("Объекты недвижимости, не соответствующие градостроительным нормам_00-022_Август/3dc19870-9500-4ce8-92de-9980c390e74e.jpg","open")</f>
        <v/>
      </c>
      <c r="C4430" t="inlineStr">
        <is>
          <t>93848fc8-17e7-4748-9ebc-c7e379e11d2f</t>
        </is>
      </c>
      <c r="D4430" t="n">
        <v>55.7837</v>
      </c>
      <c r="E4430" t="n">
        <v>37.70715</v>
      </c>
      <c r="F4430" t="inlineStr"/>
      <c r="G4430" t="inlineStr"/>
      <c r="H4430" t="inlineStr"/>
    </row>
    <row r="4431">
      <c r="A4431" t="inlineStr">
        <is>
          <t>cba370cd-ac08-40a4-b925-dd8bb9a01a62.jpg</t>
        </is>
      </c>
      <c r="B4431">
        <f>HYPERLINK("Объекты недвижимости, не соответствующие градостроительным нормам_00-022_Август/cba370cd-ac08-40a4-b925-dd8bb9a01a62.jpg","open")</f>
        <v/>
      </c>
      <c r="C4431" t="inlineStr">
        <is>
          <t>1a55986c-2c3f-40c0-b3d1-014dce77832e</t>
        </is>
      </c>
      <c r="D4431" t="n">
        <v>55.7163</v>
      </c>
      <c r="E4431" t="n">
        <v>37.63314</v>
      </c>
      <c r="F4431" t="inlineStr"/>
      <c r="G4431" t="inlineStr"/>
      <c r="H4431" t="inlineStr"/>
    </row>
    <row r="4432">
      <c r="A4432" t="inlineStr">
        <is>
          <t>69739b89-35ce-4d02-9a9d-738e0fb28574.jpg</t>
        </is>
      </c>
      <c r="B4432">
        <f>HYPERLINK("Объекты недвижимости, не соответствующие градостроительным нормам_00-022_Август/69739b89-35ce-4d02-9a9d-738e0fb28574.jpg","open")</f>
        <v/>
      </c>
      <c r="C4432" t="inlineStr">
        <is>
          <t>1a55986c-2c3f-40c0-b3d1-014dce77832e</t>
        </is>
      </c>
      <c r="D4432" t="n">
        <v>55.71791</v>
      </c>
      <c r="E4432" t="n">
        <v>37.63399</v>
      </c>
      <c r="F4432" t="inlineStr"/>
      <c r="G4432" t="inlineStr"/>
      <c r="H4432" t="inlineStr"/>
    </row>
    <row r="4433">
      <c r="A4433" t="inlineStr">
        <is>
          <t>96f10908-904e-4a1a-8e59-d78a9fee9dad.jpg</t>
        </is>
      </c>
      <c r="B4433">
        <f>HYPERLINK("Объекты недвижимости, не соответствующие градостроительным нормам_00-022_Август/96f10908-904e-4a1a-8e59-d78a9fee9dad.jpg","open")</f>
        <v/>
      </c>
      <c r="C4433" t="inlineStr">
        <is>
          <t>1a55986c-2c3f-40c0-b3d1-014dce77832e</t>
        </is>
      </c>
      <c r="D4433" t="n">
        <v>55.7188</v>
      </c>
      <c r="E4433" t="n">
        <v>37.63425</v>
      </c>
      <c r="F4433" t="inlineStr"/>
      <c r="G4433" t="inlineStr"/>
      <c r="H4433" t="inlineStr"/>
    </row>
    <row r="4434">
      <c r="A4434" t="inlineStr">
        <is>
          <t>4013e819-ddba-4e86-9fc8-7c6648b8bbfc.jpg</t>
        </is>
      </c>
      <c r="B4434">
        <f>HYPERLINK("Объекты недвижимости, не соответствующие градостроительным нормам_00-022_Август/4013e819-ddba-4e86-9fc8-7c6648b8bbfc.jpg","open")</f>
        <v/>
      </c>
      <c r="C4434" t="inlineStr">
        <is>
          <t>1a55986c-2c3f-40c0-b3d1-014dce77832e</t>
        </is>
      </c>
      <c r="D4434" t="n">
        <v>55.71672</v>
      </c>
      <c r="E4434" t="n">
        <v>37.63333</v>
      </c>
      <c r="F4434" t="inlineStr"/>
      <c r="G4434" t="inlineStr"/>
      <c r="H4434" t="inlineStr"/>
    </row>
    <row r="4435">
      <c r="A4435" t="inlineStr">
        <is>
          <t>d2ef48be-786a-4dff-a46d-d913d76589aa.jpg</t>
        </is>
      </c>
      <c r="B4435">
        <f>HYPERLINK("Объекты недвижимости, не соответствующие градостроительным нормам_00-022_Август/d2ef48be-786a-4dff-a46d-d913d76589aa.jpg","open")</f>
        <v/>
      </c>
      <c r="C4435" t="inlineStr">
        <is>
          <t>ed2bf0f1-3a66-4913-896e-4420a9796c0b</t>
        </is>
      </c>
      <c r="D4435" t="n">
        <v>55.71681</v>
      </c>
      <c r="E4435" t="n">
        <v>37.63339</v>
      </c>
      <c r="F4435" t="inlineStr"/>
      <c r="G4435" t="inlineStr"/>
      <c r="H4435" t="inlineStr"/>
    </row>
    <row r="4436">
      <c r="A4436" t="inlineStr">
        <is>
          <t>951173a5-aa64-4cf7-aede-94aedb517389.jpg</t>
        </is>
      </c>
      <c r="B4436">
        <f>HYPERLINK("Объекты недвижимости, не соответствующие градостроительным нормам_00-022_Август/951173a5-aa64-4cf7-aede-94aedb517389.jpg","open")</f>
        <v/>
      </c>
      <c r="C4436" t="inlineStr">
        <is>
          <t>ed2bf0f1-3a66-4913-896e-4420a9796c0b</t>
        </is>
      </c>
      <c r="D4436" t="n">
        <v>55.71989</v>
      </c>
      <c r="E4436" t="n">
        <v>37.63466</v>
      </c>
      <c r="F4436" t="inlineStr"/>
      <c r="G4436" t="inlineStr"/>
      <c r="H4436" t="inlineStr"/>
    </row>
    <row r="4437">
      <c r="A4437" t="inlineStr">
        <is>
          <t>5fb12d6d-bbaf-469a-b3f5-9f53b6cc568d.jpg</t>
        </is>
      </c>
      <c r="B4437">
        <f>HYPERLINK("Объекты недвижимости, не соответствующие градостроительным нормам_00-022_Август/5fb12d6d-bbaf-469a-b3f5-9f53b6cc568d.jpg","open")</f>
        <v/>
      </c>
      <c r="C4437" t="inlineStr">
        <is>
          <t>ed2bf0f1-3a66-4913-896e-4420a9796c0b</t>
        </is>
      </c>
      <c r="D4437" t="n">
        <v>55.72139</v>
      </c>
      <c r="E4437" t="n">
        <v>37.63554</v>
      </c>
      <c r="F4437" t="inlineStr"/>
      <c r="G4437" t="inlineStr"/>
      <c r="H4437" t="inlineStr"/>
    </row>
    <row r="4438">
      <c r="A4438" t="inlineStr">
        <is>
          <t>c05bb053-3667-42fe-b665-3bc0cd111c0b.jpg</t>
        </is>
      </c>
      <c r="B4438">
        <f>HYPERLINK("Объекты недвижимости, не соответствующие градостроительным нормам_00-022_Август/c05bb053-3667-42fe-b665-3bc0cd111c0b.jpg","open")</f>
        <v/>
      </c>
      <c r="C4438" t="inlineStr">
        <is>
          <t>1a55986c-2c3f-40c0-b3d1-014dce77832e</t>
        </is>
      </c>
      <c r="D4438" t="n">
        <v>55.72208</v>
      </c>
      <c r="E4438" t="n">
        <v>37.63583</v>
      </c>
      <c r="F4438" t="inlineStr"/>
      <c r="G4438" t="inlineStr"/>
      <c r="H4438" t="inlineStr"/>
    </row>
    <row r="4439">
      <c r="A4439" t="inlineStr">
        <is>
          <t>82c253d9-df4b-429d-a08d-57d2e1e17e2d.jpg</t>
        </is>
      </c>
      <c r="B4439">
        <f>HYPERLINK("Объекты недвижимости, не соответствующие градостроительным нормам_00-022_Август/82c253d9-df4b-429d-a08d-57d2e1e17e2d.jpg","open")</f>
        <v/>
      </c>
      <c r="C4439" t="inlineStr">
        <is>
          <t>ed2bf0f1-3a66-4913-896e-4420a9796c0b</t>
        </is>
      </c>
      <c r="D4439" t="n">
        <v>55.72218</v>
      </c>
      <c r="E4439" t="n">
        <v>37.63586</v>
      </c>
      <c r="F4439" t="inlineStr"/>
      <c r="G4439" t="inlineStr"/>
      <c r="H4439" t="inlineStr"/>
    </row>
    <row r="4440">
      <c r="A4440" t="inlineStr">
        <is>
          <t>5bb18e62-a794-49e3-95bb-90e0cc12a708.jpg</t>
        </is>
      </c>
      <c r="B4440">
        <f>HYPERLINK("Объекты недвижимости, не соответствующие градостроительным нормам_00-022_Август/5bb18e62-a794-49e3-95bb-90e0cc12a708.jpg","open")</f>
        <v/>
      </c>
      <c r="C4440" t="inlineStr">
        <is>
          <t>685d9054-b74f-49ab-857b-109fd2cec80d</t>
        </is>
      </c>
      <c r="D4440" t="n">
        <v>55.67993</v>
      </c>
      <c r="E4440" t="n">
        <v>37.59699</v>
      </c>
      <c r="F4440" t="inlineStr"/>
      <c r="G4440" t="inlineStr"/>
      <c r="H4440" t="inlineStr"/>
    </row>
    <row r="4441">
      <c r="A4441" t="inlineStr">
        <is>
          <t>4e9ba8b9-7c79-4b22-ae21-64ba9b61daed.jpg</t>
        </is>
      </c>
      <c r="B4441">
        <f>HYPERLINK("Объекты недвижимости, не соответствующие градостроительным нормам_00-022_Август/4e9ba8b9-7c79-4b22-ae21-64ba9b61daed.jpg","open")</f>
        <v/>
      </c>
      <c r="C4441" t="inlineStr">
        <is>
          <t>ed2bf0f1-3a66-4913-896e-4420a9796c0b</t>
        </is>
      </c>
      <c r="D4441" t="n">
        <v>55.72283</v>
      </c>
      <c r="E4441" t="n">
        <v>37.63612</v>
      </c>
      <c r="F4441" t="inlineStr"/>
      <c r="G4441" t="inlineStr"/>
      <c r="H4441" t="inlineStr"/>
    </row>
    <row r="4442">
      <c r="A4442" t="inlineStr">
        <is>
          <t>afc4564a-b577-4254-9da8-17a4681511c9.jpg</t>
        </is>
      </c>
      <c r="B4442">
        <f>HYPERLINK("Объекты недвижимости, не соответствующие градостроительным нормам_00-022_Август/afc4564a-b577-4254-9da8-17a4681511c9.jpg","open")</f>
        <v/>
      </c>
      <c r="C4442" t="inlineStr">
        <is>
          <t>cbf95b01-f708-45a3-9ec0-3603469b538e</t>
        </is>
      </c>
      <c r="D4442" t="n">
        <v>55.79241</v>
      </c>
      <c r="E4442" t="n">
        <v>37.62936</v>
      </c>
      <c r="F4442" t="inlineStr"/>
      <c r="G4442" t="inlineStr"/>
      <c r="H4442" t="inlineStr"/>
    </row>
    <row r="4443">
      <c r="A4443" t="inlineStr">
        <is>
          <t>58748e5b-5dbe-460b-8cc1-4bdae3894409.jpg</t>
        </is>
      </c>
      <c r="B4443">
        <f>HYPERLINK("Объекты недвижимости, не соответствующие градостроительным нормам_00-022_Август/58748e5b-5dbe-460b-8cc1-4bdae3894409.jpg","open")</f>
        <v/>
      </c>
      <c r="C4443" t="inlineStr">
        <is>
          <t>1a55986c-2c3f-40c0-b3d1-014dce77832e</t>
        </is>
      </c>
      <c r="D4443" t="n">
        <v>55.72339</v>
      </c>
      <c r="E4443" t="n">
        <v>37.63678</v>
      </c>
      <c r="F4443" t="inlineStr"/>
      <c r="G4443" t="inlineStr"/>
      <c r="H4443" t="inlineStr"/>
    </row>
    <row r="4444">
      <c r="A4444" t="inlineStr">
        <is>
          <t>7e2394d3-05c1-4a03-9efe-7521504b9ddf.jpg</t>
        </is>
      </c>
      <c r="B4444">
        <f>HYPERLINK("Объекты недвижимости, не соответствующие градостроительным нормам_00-022_Август/7e2394d3-05c1-4a03-9efe-7521504b9ddf.jpg","open")</f>
        <v/>
      </c>
      <c r="C4444" t="inlineStr">
        <is>
          <t>b6b3590f-f506-4399-8205-e7ac710132e7</t>
        </is>
      </c>
      <c r="D4444" t="n">
        <v>55.83175</v>
      </c>
      <c r="E4444" t="n">
        <v>37.57264</v>
      </c>
      <c r="F4444" t="inlineStr"/>
      <c r="G4444" t="inlineStr"/>
      <c r="H4444" t="inlineStr"/>
    </row>
    <row r="4445">
      <c r="A4445" t="inlineStr">
        <is>
          <t>00e043e5-31ca-4e9c-8e0d-e0b8f75512bb.jpg</t>
        </is>
      </c>
      <c r="B4445">
        <f>HYPERLINK("Объекты недвижимости, не соответствующие градостроительным нормам_00-022_Август/00e043e5-31ca-4e9c-8e0d-e0b8f75512bb.jpg","open")</f>
        <v/>
      </c>
      <c r="C4445" t="inlineStr">
        <is>
          <t>93848fc8-17e7-4748-9ebc-c7e379e11d2f</t>
        </is>
      </c>
      <c r="D4445" t="n">
        <v>55.78349</v>
      </c>
      <c r="E4445" t="n">
        <v>37.70643</v>
      </c>
      <c r="F4445" t="inlineStr"/>
      <c r="G4445" t="inlineStr"/>
      <c r="H4445" t="inlineStr"/>
    </row>
    <row r="4446">
      <c r="A4446" t="inlineStr">
        <is>
          <t>92b0a311-1200-443c-8ccd-df4c4070aa40.jpg</t>
        </is>
      </c>
      <c r="B4446">
        <f>HYPERLINK("Объекты недвижимости, не соответствующие градостроительным нормам_00-022_Август/92b0a311-1200-443c-8ccd-df4c4070aa40.jpg","open")</f>
        <v/>
      </c>
      <c r="C4446" t="inlineStr">
        <is>
          <t>cbf95b01-f708-45a3-9ec0-3603469b538e</t>
        </is>
      </c>
      <c r="D4446" t="n">
        <v>55.79255</v>
      </c>
      <c r="E4446" t="n">
        <v>37.62396</v>
      </c>
      <c r="F4446" t="inlineStr"/>
      <c r="G4446" t="inlineStr"/>
      <c r="H4446" t="inlineStr"/>
    </row>
    <row r="4447">
      <c r="A4447" t="inlineStr">
        <is>
          <t>6031a9d5-b34d-4fc4-8100-66def0925833.jpg</t>
        </is>
      </c>
      <c r="B4447">
        <f>HYPERLINK("Объекты недвижимости, не соответствующие градостроительным нормам_00-022_Август/6031a9d5-b34d-4fc4-8100-66def0925833.jpg","open")</f>
        <v/>
      </c>
      <c r="C4447" t="inlineStr">
        <is>
          <t>1a55986c-2c3f-40c0-b3d1-014dce77832e</t>
        </is>
      </c>
      <c r="D4447" t="n">
        <v>55.72539</v>
      </c>
      <c r="E4447" t="n">
        <v>37.65049</v>
      </c>
      <c r="F4447" t="inlineStr"/>
      <c r="G4447" t="inlineStr"/>
      <c r="H4447" t="inlineStr"/>
    </row>
    <row r="4448">
      <c r="A4448" t="inlineStr">
        <is>
          <t>2941c8aa-507a-4d7e-b13a-dbf3adbd2786.jpg</t>
        </is>
      </c>
      <c r="B4448">
        <f>HYPERLINK("Объекты недвижимости, не соответствующие градостроительным нормам_00-022_Август/2941c8aa-507a-4d7e-b13a-dbf3adbd2786.jpg","open")</f>
        <v/>
      </c>
      <c r="C4448" t="inlineStr">
        <is>
          <t>b0429a31-0c70-4b9f-8ea5-73929d82f89e</t>
        </is>
      </c>
      <c r="D4448" t="n">
        <v>55.68007</v>
      </c>
      <c r="E4448" t="n">
        <v>37.64099</v>
      </c>
      <c r="F4448" t="inlineStr"/>
      <c r="G4448" t="inlineStr"/>
      <c r="H4448" t="inlineStr"/>
    </row>
    <row r="4449">
      <c r="A4449" t="inlineStr">
        <is>
          <t>b175a469-49d5-4505-a2da-c387220e4ffc.jpg</t>
        </is>
      </c>
      <c r="B4449">
        <f>HYPERLINK("Объекты недвижимости, не соответствующие градостроительным нормам_00-022_Август/b175a469-49d5-4505-a2da-c387220e4ffc.jpg","open")</f>
        <v/>
      </c>
      <c r="C4449" t="inlineStr">
        <is>
          <t>ed2bf0f1-3a66-4913-896e-4420a9796c0b</t>
        </is>
      </c>
      <c r="D4449" t="n">
        <v>55.72816</v>
      </c>
      <c r="E4449" t="n">
        <v>37.65336</v>
      </c>
      <c r="F4449" t="inlineStr"/>
      <c r="G4449" t="inlineStr"/>
      <c r="H4449" t="inlineStr"/>
    </row>
    <row r="4450">
      <c r="A4450" t="inlineStr">
        <is>
          <t>ab992f1e-2945-42f0-b4e4-ecacf6487a91.jpg</t>
        </is>
      </c>
      <c r="B4450">
        <f>HYPERLINK("Объекты недвижимости, не соответствующие градостроительным нормам_00-022_Август/ab992f1e-2945-42f0-b4e4-ecacf6487a91.jpg","open")</f>
        <v/>
      </c>
      <c r="C4450" t="inlineStr">
        <is>
          <t>ed2bf0f1-3a66-4913-896e-4420a9796c0b</t>
        </is>
      </c>
      <c r="D4450" t="n">
        <v>55.72881</v>
      </c>
      <c r="E4450" t="n">
        <v>37.65405</v>
      </c>
      <c r="F4450" t="inlineStr"/>
      <c r="G4450" t="inlineStr"/>
      <c r="H4450" t="inlineStr"/>
    </row>
    <row r="4451">
      <c r="A4451" t="inlineStr">
        <is>
          <t>7b029023-2bf6-4be3-be5a-87021bddaaac.jpg</t>
        </is>
      </c>
      <c r="B4451">
        <f>HYPERLINK("Объекты недвижимости, не соответствующие градостроительным нормам_00-022_Август/7b029023-2bf6-4be3-be5a-87021bddaaac.jpg","open")</f>
        <v/>
      </c>
      <c r="C4451" t="inlineStr">
        <is>
          <t>685d9054-b74f-49ab-857b-109fd2cec80d</t>
        </is>
      </c>
      <c r="D4451" t="n">
        <v>55.68142</v>
      </c>
      <c r="E4451" t="n">
        <v>37.60606</v>
      </c>
      <c r="F4451" t="inlineStr"/>
      <c r="G4451" t="inlineStr"/>
      <c r="H4451" t="inlineStr"/>
    </row>
    <row r="4452">
      <c r="A4452" t="inlineStr">
        <is>
          <t>5e1cf67b-23d2-41a6-bada-1d1d37317baf.jpg</t>
        </is>
      </c>
      <c r="B4452">
        <f>HYPERLINK("Объекты недвижимости, не соответствующие градостроительным нормам_00-022_Август/5e1cf67b-23d2-41a6-bada-1d1d37317baf.jpg","open")</f>
        <v/>
      </c>
      <c r="C4452" t="inlineStr">
        <is>
          <t>685d9054-b74f-49ab-857b-109fd2cec80d</t>
        </is>
      </c>
      <c r="D4452" t="n">
        <v>55.6815</v>
      </c>
      <c r="E4452" t="n">
        <v>37.60426</v>
      </c>
      <c r="F4452" t="inlineStr"/>
      <c r="G4452" t="inlineStr"/>
      <c r="H4452" t="inlineStr"/>
    </row>
    <row r="4453">
      <c r="A4453" t="inlineStr">
        <is>
          <t>15551b0d-d762-44a6-ae47-f234bd5effa1.jpg</t>
        </is>
      </c>
      <c r="B4453">
        <f>HYPERLINK("Объекты недвижимости, не соответствующие градостроительным нормам_00-022_Август/15551b0d-d762-44a6-ae47-f234bd5effa1.jpg","open")</f>
        <v/>
      </c>
      <c r="C4453" t="inlineStr">
        <is>
          <t>ffd931da-542f-43e9-979f-5552b17fe3dc</t>
        </is>
      </c>
      <c r="D4453" t="n">
        <v>55.81791</v>
      </c>
      <c r="E4453" t="n">
        <v>37.81058</v>
      </c>
      <c r="F4453" t="inlineStr"/>
      <c r="G4453" t="inlineStr"/>
      <c r="H4453" t="inlineStr"/>
    </row>
    <row r="4454">
      <c r="A4454" t="inlineStr">
        <is>
          <t>a7ae01f4-eeb1-4d07-b000-fbdb7df1962b.jpg</t>
        </is>
      </c>
      <c r="B4454">
        <f>HYPERLINK("Объекты недвижимости, не соответствующие градостроительным нормам_00-022_Август/a7ae01f4-eeb1-4d07-b000-fbdb7df1962b.jpg","open")</f>
        <v/>
      </c>
      <c r="C4454" t="inlineStr">
        <is>
          <t>93848fc8-17e7-4748-9ebc-c7e379e11d2f</t>
        </is>
      </c>
      <c r="D4454" t="n">
        <v>55.78242</v>
      </c>
      <c r="E4454" t="n">
        <v>37.70535</v>
      </c>
      <c r="F4454" t="inlineStr"/>
      <c r="G4454" t="inlineStr"/>
      <c r="H4454" t="inlineStr"/>
    </row>
    <row r="4455">
      <c r="A4455" t="inlineStr">
        <is>
          <t>1358341a-22c7-4bb2-98a2-35cfe0e27d07.jpg</t>
        </is>
      </c>
      <c r="B4455">
        <f>HYPERLINK("Объекты недвижимости, не соответствующие градостроительным нормам_00-022_Август/1358341a-22c7-4bb2-98a2-35cfe0e27d07.jpg","open")</f>
        <v/>
      </c>
      <c r="C4455" t="inlineStr">
        <is>
          <t>685d9054-b74f-49ab-857b-109fd2cec80d</t>
        </is>
      </c>
      <c r="D4455" t="n">
        <v>55.68149</v>
      </c>
      <c r="E4455" t="n">
        <v>37.60413</v>
      </c>
      <c r="F4455" t="inlineStr"/>
      <c r="G4455" t="inlineStr"/>
      <c r="H4455" t="inlineStr"/>
    </row>
    <row r="4456">
      <c r="A4456" t="inlineStr">
        <is>
          <t>18ce888d-09a7-4888-adec-0a72b67522de.jpg</t>
        </is>
      </c>
      <c r="B4456">
        <f>HYPERLINK("Объекты недвижимости, не соответствующие градостроительным нормам_00-022_Август/18ce888d-09a7-4888-adec-0a72b67522de.jpg","open")</f>
        <v/>
      </c>
      <c r="C4456" t="inlineStr">
        <is>
          <t>cbf95b01-f708-45a3-9ec0-3603469b538e</t>
        </is>
      </c>
      <c r="D4456" t="n">
        <v>55.78159</v>
      </c>
      <c r="E4456" t="n">
        <v>37.62973</v>
      </c>
      <c r="F4456" t="inlineStr"/>
      <c r="G4456" t="inlineStr"/>
      <c r="H4456" t="inlineStr"/>
    </row>
    <row r="4457">
      <c r="A4457" t="inlineStr">
        <is>
          <t>cae5317e-ada3-4434-af0e-c2671928d786.jpg</t>
        </is>
      </c>
      <c r="B4457">
        <f>HYPERLINK("Объекты недвижимости, не соответствующие градостроительным нормам_00-022_Август/cae5317e-ada3-4434-af0e-c2671928d786.jpg","open")</f>
        <v/>
      </c>
      <c r="C4457" t="inlineStr">
        <is>
          <t>750bf7e4-0f0f-4f1a-96af-607dc8c1f1c9</t>
        </is>
      </c>
      <c r="D4457" t="n">
        <v>55.7015</v>
      </c>
      <c r="E4457" t="n">
        <v>37.73952</v>
      </c>
      <c r="F4457" t="inlineStr"/>
      <c r="G4457" t="inlineStr"/>
      <c r="H4457" t="inlineStr"/>
    </row>
    <row r="4458">
      <c r="A4458" t="inlineStr">
        <is>
          <t>fda81e3d-6e2f-4ae0-b4ee-2ea2eb0fdfaf.jpg</t>
        </is>
      </c>
      <c r="B4458">
        <f>HYPERLINK("Объекты недвижимости, не соответствующие градостроительным нормам_00-022_Август/fda81e3d-6e2f-4ae0-b4ee-2ea2eb0fdfaf.jpg","open")</f>
        <v/>
      </c>
      <c r="C4458" t="inlineStr">
        <is>
          <t>a28f597e-d1cd-4d3b-b572-c86d033412e9</t>
        </is>
      </c>
      <c r="D4458" t="n">
        <v>55.71586</v>
      </c>
      <c r="E4458" t="n">
        <v>37.41183</v>
      </c>
      <c r="F4458" t="inlineStr"/>
      <c r="G4458" t="inlineStr"/>
      <c r="H4458" t="inlineStr"/>
    </row>
    <row r="4459">
      <c r="A4459" t="inlineStr">
        <is>
          <t>4daa0e7b-2a89-46ba-8a77-6904b26a20c9.jpg</t>
        </is>
      </c>
      <c r="B4459">
        <f>HYPERLINK("Объекты недвижимости, не соответствующие градостроительным нормам_00-022_Август/4daa0e7b-2a89-46ba-8a77-6904b26a20c9.jpg","open")</f>
        <v/>
      </c>
      <c r="C4459" t="inlineStr">
        <is>
          <t>ed2bf0f1-3a66-4913-896e-4420a9796c0b</t>
        </is>
      </c>
      <c r="D4459" t="n">
        <v>55.72869</v>
      </c>
      <c r="E4459" t="n">
        <v>37.64936</v>
      </c>
      <c r="F4459" t="inlineStr"/>
      <c r="G4459" t="inlineStr"/>
      <c r="H4459" t="inlineStr"/>
    </row>
    <row r="4460">
      <c r="A4460" t="inlineStr">
        <is>
          <t>80b0c650-2e17-4913-a695-8c6776ec6dd9.jpg</t>
        </is>
      </c>
      <c r="B4460">
        <f>HYPERLINK("Объекты недвижимости, не соответствующие градостроительным нормам_00-022_Август/80b0c650-2e17-4913-a695-8c6776ec6dd9.jpg","open")</f>
        <v/>
      </c>
      <c r="C4460" t="inlineStr">
        <is>
          <t>93848fc8-17e7-4748-9ebc-c7e379e11d2f</t>
        </is>
      </c>
      <c r="D4460" t="n">
        <v>55.77775</v>
      </c>
      <c r="E4460" t="n">
        <v>37.71851</v>
      </c>
      <c r="F4460" t="inlineStr"/>
      <c r="G4460" t="inlineStr"/>
      <c r="H4460" t="inlineStr"/>
    </row>
    <row r="4461">
      <c r="A4461" t="inlineStr">
        <is>
          <t>611d14cf-35fe-4844-af9f-169965c759a7.jpg</t>
        </is>
      </c>
      <c r="B4461">
        <f>HYPERLINK("Объекты недвижимости, не соответствующие градостроительным нормам_00-022_Август/611d14cf-35fe-4844-af9f-169965c759a7.jpg","open")</f>
        <v/>
      </c>
      <c r="C4461" t="inlineStr">
        <is>
          <t>036c664f-5408-4fd0-b479-342c00468eeb</t>
        </is>
      </c>
      <c r="D4461" t="n">
        <v>55.71631</v>
      </c>
      <c r="E4461" t="n">
        <v>37.41225</v>
      </c>
      <c r="F4461" t="inlineStr"/>
      <c r="G4461" t="inlineStr"/>
      <c r="H4461" t="inlineStr"/>
    </row>
    <row r="4462">
      <c r="A4462" t="inlineStr">
        <is>
          <t>6e8db139-1a29-4bc1-93ab-c4542cae949e.jpg</t>
        </is>
      </c>
      <c r="B4462">
        <f>HYPERLINK("Объекты недвижимости, не соответствующие градостроительным нормам_00-022_Август/6e8db139-1a29-4bc1-93ab-c4542cae949e.jpg","open")</f>
        <v/>
      </c>
      <c r="C4462" t="inlineStr">
        <is>
          <t>a28f597e-d1cd-4d3b-b572-c86d033412e9</t>
        </is>
      </c>
      <c r="D4462" t="n">
        <v>55.71637</v>
      </c>
      <c r="E4462" t="n">
        <v>37.41242</v>
      </c>
      <c r="F4462" t="inlineStr"/>
      <c r="G4462" t="inlineStr"/>
      <c r="H4462" t="inlineStr"/>
    </row>
    <row r="4463">
      <c r="A4463" t="inlineStr">
        <is>
          <t>37d38ca7-6f72-47a5-82e7-1c6c0492c263.jpg</t>
        </is>
      </c>
      <c r="B4463">
        <f>HYPERLINK("Объекты недвижимости, не соответствующие градостроительным нормам_00-022_Август/37d38ca7-6f72-47a5-82e7-1c6c0492c263.jpg","open")</f>
        <v/>
      </c>
      <c r="C4463" t="inlineStr">
        <is>
          <t>685d9054-b74f-49ab-857b-109fd2cec80d</t>
        </is>
      </c>
      <c r="D4463" t="n">
        <v>55.68062</v>
      </c>
      <c r="E4463" t="n">
        <v>37.60701</v>
      </c>
      <c r="F4463" t="inlineStr"/>
      <c r="G4463" t="inlineStr"/>
      <c r="H4463" t="inlineStr"/>
    </row>
    <row r="4464">
      <c r="A4464" t="inlineStr">
        <is>
          <t>a6469526-bf52-4849-8517-712ec1c52990.jpg</t>
        </is>
      </c>
      <c r="B4464">
        <f>HYPERLINK("Объекты недвижимости, не соответствующие градостроительным нормам_00-022_Август/a6469526-bf52-4849-8517-712ec1c52990.jpg","open")</f>
        <v/>
      </c>
      <c r="C4464" t="inlineStr">
        <is>
          <t>1231bbc5-e64c-4dc7-9acc-77710f47607a</t>
        </is>
      </c>
      <c r="D4464" t="n">
        <v>55.68062</v>
      </c>
      <c r="E4464" t="n">
        <v>37.60701</v>
      </c>
      <c r="F4464" t="inlineStr"/>
      <c r="G4464" t="inlineStr"/>
      <c r="H4464" t="inlineStr"/>
    </row>
    <row r="4465">
      <c r="A4465" t="inlineStr">
        <is>
          <t>138667fd-01d7-45ac-9696-e529ef13ac80.jpg</t>
        </is>
      </c>
      <c r="B4465">
        <f>HYPERLINK("Объекты недвижимости, не соответствующие градостроительным нормам_00-022_Август/138667fd-01d7-45ac-9696-e529ef13ac80.jpg","open")</f>
        <v/>
      </c>
      <c r="C4465" t="inlineStr">
        <is>
          <t>a28f597e-d1cd-4d3b-b572-c86d033412e9</t>
        </is>
      </c>
      <c r="D4465" t="n">
        <v>55.71636</v>
      </c>
      <c r="E4465" t="n">
        <v>37.41268</v>
      </c>
      <c r="F4465" t="inlineStr"/>
      <c r="G4465" t="inlineStr"/>
      <c r="H4465" t="inlineStr"/>
    </row>
    <row r="4466">
      <c r="A4466" t="inlineStr">
        <is>
          <t>6946f7fb-4ac2-48be-8cfc-dd6111cbefee.jpg</t>
        </is>
      </c>
      <c r="B4466">
        <f>HYPERLINK("Объекты недвижимости, не соответствующие градостроительным нормам_00-022_Август/6946f7fb-4ac2-48be-8cfc-dd6111cbefee.jpg","open")</f>
        <v/>
      </c>
      <c r="C4466" t="inlineStr">
        <is>
          <t>93848fc8-17e7-4748-9ebc-c7e379e11d2f</t>
        </is>
      </c>
      <c r="D4466" t="n">
        <v>55.77566</v>
      </c>
      <c r="E4466" t="n">
        <v>37.71431</v>
      </c>
      <c r="F4466" t="inlineStr"/>
      <c r="G4466" t="inlineStr"/>
      <c r="H4466" t="inlineStr"/>
    </row>
    <row r="4467">
      <c r="A4467" t="inlineStr">
        <is>
          <t>914f2f6a-43ed-45cc-bc34-3ae7bc2409a9.jpg</t>
        </is>
      </c>
      <c r="B4467">
        <f>HYPERLINK("Объекты недвижимости, не соответствующие градостроительным нормам_00-022_Август/914f2f6a-43ed-45cc-bc34-3ae7bc2409a9.jpg","open")</f>
        <v/>
      </c>
      <c r="C4467" t="inlineStr">
        <is>
          <t>29ad9edb-d533-4272-a986-be24eb004851</t>
        </is>
      </c>
      <c r="D4467" t="n">
        <v>55.71954</v>
      </c>
      <c r="E4467" t="n">
        <v>37.48304</v>
      </c>
      <c r="F4467" t="inlineStr"/>
      <c r="G4467" t="inlineStr"/>
      <c r="H4467" t="inlineStr"/>
    </row>
    <row r="4468">
      <c r="A4468" t="inlineStr">
        <is>
          <t>40079344-013d-4b7a-ad34-345b421c7828.jpg</t>
        </is>
      </c>
      <c r="B4468">
        <f>HYPERLINK("Объекты недвижимости, не соответствующие градостроительным нормам_00-022_Август/40079344-013d-4b7a-ad34-345b421c7828.jpg","open")</f>
        <v/>
      </c>
      <c r="C4468" t="inlineStr">
        <is>
          <t>685d9054-b74f-49ab-857b-109fd2cec80d</t>
        </is>
      </c>
      <c r="D4468" t="n">
        <v>55.67942</v>
      </c>
      <c r="E4468" t="n">
        <v>37.60387</v>
      </c>
      <c r="F4468" t="inlineStr"/>
      <c r="G4468" t="inlineStr"/>
      <c r="H4468" t="inlineStr"/>
    </row>
    <row r="4469">
      <c r="A4469" t="inlineStr">
        <is>
          <t>467f8ddc-0cd6-459b-95e1-8894fe9a028b.jpg</t>
        </is>
      </c>
      <c r="B4469">
        <f>HYPERLINK("Объекты недвижимости, не соответствующие градостроительным нормам_00-022_Август/467f8ddc-0cd6-459b-95e1-8894fe9a028b.jpg","open")</f>
        <v/>
      </c>
      <c r="C4469" t="inlineStr">
        <is>
          <t>ed2bf0f1-3a66-4913-896e-4420a9796c0b</t>
        </is>
      </c>
      <c r="D4469" t="n">
        <v>55.70868</v>
      </c>
      <c r="E4469" t="n">
        <v>37.63239</v>
      </c>
      <c r="F4469" t="inlineStr"/>
      <c r="G4469" t="inlineStr"/>
      <c r="H4469" t="inlineStr"/>
    </row>
    <row r="4470">
      <c r="A4470" t="inlineStr">
        <is>
          <t>88de6093-ed0d-4310-a425-c9993623399d.jpg</t>
        </is>
      </c>
      <c r="B4470">
        <f>HYPERLINK("Объекты недвижимости, не соответствующие градостроительным нормам_00-022_Август/88de6093-ed0d-4310-a425-c9993623399d.jpg","open")</f>
        <v/>
      </c>
      <c r="C4470" t="inlineStr">
        <is>
          <t>ad64e6b9-1ed5-44d7-a101-4945a1f9dec6</t>
        </is>
      </c>
      <c r="D4470" t="n">
        <v>55.65541</v>
      </c>
      <c r="E4470" t="n">
        <v>37.58797</v>
      </c>
      <c r="F4470" t="inlineStr"/>
      <c r="G4470" t="inlineStr"/>
      <c r="H4470" t="inlineStr"/>
    </row>
    <row r="4471">
      <c r="A4471" t="inlineStr">
        <is>
          <t>298b1093-d2d8-4a84-80da-529f712760eb.jpg</t>
        </is>
      </c>
      <c r="B4471">
        <f>HYPERLINK("Объекты недвижимости, не соответствующие градостроительным нормам_00-022_Август/298b1093-d2d8-4a84-80da-529f712760eb.jpg","open")</f>
        <v/>
      </c>
      <c r="C4471" t="inlineStr">
        <is>
          <t>e90a3ac0-5b70-4ede-abeb-382371713306</t>
        </is>
      </c>
      <c r="D4471" t="n">
        <v>55.68264</v>
      </c>
      <c r="E4471" t="n">
        <v>37.57019</v>
      </c>
      <c r="F4471" t="inlineStr"/>
      <c r="G4471" t="inlineStr"/>
      <c r="H4471" t="inlineStr"/>
    </row>
    <row r="4472">
      <c r="A4472" t="inlineStr">
        <is>
          <t>387ed2dd-d15d-44e6-ba7a-efd6896a5498.jpg</t>
        </is>
      </c>
      <c r="B4472">
        <f>HYPERLINK("Объекты недвижимости, не соответствующие градостроительным нормам_00-022_Август/387ed2dd-d15d-44e6-ba7a-efd6896a5498.jpg","open")</f>
        <v/>
      </c>
      <c r="C4472" t="inlineStr">
        <is>
          <t>ffd931da-542f-43e9-979f-5552b17fe3dc</t>
        </is>
      </c>
      <c r="D4472" t="n">
        <v>55.81765</v>
      </c>
      <c r="E4472" t="n">
        <v>37.8042</v>
      </c>
      <c r="F4472" t="inlineStr"/>
      <c r="G4472" t="inlineStr"/>
      <c r="H4472" t="inlineStr"/>
    </row>
    <row r="4473">
      <c r="A4473" t="inlineStr">
        <is>
          <t>0febc640-23dd-4ec6-b55a-cbcd6b43775a.jpg</t>
        </is>
      </c>
      <c r="B4473">
        <f>HYPERLINK("Объекты недвижимости, не соответствующие градостроительным нормам_00-022_Август/0febc640-23dd-4ec6-b55a-cbcd6b43775a.jpg","open")</f>
        <v/>
      </c>
      <c r="C4473" t="inlineStr">
        <is>
          <t>789f6c51-64ee-4078-b7bd-443af8b8b68a</t>
        </is>
      </c>
      <c r="D4473" t="n">
        <v>55.8742</v>
      </c>
      <c r="E4473" t="n">
        <v>37.71767</v>
      </c>
      <c r="F4473" t="inlineStr"/>
      <c r="G4473" t="inlineStr"/>
      <c r="H4473" t="inlineStr"/>
    </row>
    <row r="4474">
      <c r="A4474" t="inlineStr">
        <is>
          <t>5420dbcb-c314-483f-81b9-f225367087da.jpg</t>
        </is>
      </c>
      <c r="B4474">
        <f>HYPERLINK("Объекты недвижимости, не соответствующие градостроительным нормам_00-022_Август/5420dbcb-c314-483f-81b9-f225367087da.jpg","open")</f>
        <v/>
      </c>
      <c r="C4474" t="inlineStr">
        <is>
          <t>2acfb2da-e3f6-464c-bd17-4b713522c142</t>
        </is>
      </c>
      <c r="D4474" t="n">
        <v>55.87422</v>
      </c>
      <c r="E4474" t="n">
        <v>37.71765</v>
      </c>
      <c r="F4474" t="inlineStr"/>
      <c r="G4474" t="inlineStr"/>
      <c r="H4474" t="inlineStr"/>
    </row>
    <row r="4475">
      <c r="A4475" t="inlineStr">
        <is>
          <t>37d75e55-a0b6-4b31-a63f-7bc3afd5f35a.jpg</t>
        </is>
      </c>
      <c r="B4475">
        <f>HYPERLINK("Объекты недвижимости, не соответствующие градостроительным нормам_00-022_Август/37d75e55-a0b6-4b31-a63f-7bc3afd5f35a.jpg","open")</f>
        <v/>
      </c>
      <c r="C4475" t="inlineStr">
        <is>
          <t>9c930d0e-e445-452d-a046-325646b21ab7</t>
        </is>
      </c>
      <c r="D4475" t="n">
        <v>55.77956</v>
      </c>
      <c r="E4475" t="n">
        <v>37.60756</v>
      </c>
      <c r="F4475" t="inlineStr"/>
      <c r="G4475" t="inlineStr"/>
      <c r="H4475" t="inlineStr"/>
    </row>
    <row r="4476">
      <c r="A4476" t="inlineStr">
        <is>
          <t>7e1d87c3-88a5-4e6e-8a66-2e43a5bdf770.jpg</t>
        </is>
      </c>
      <c r="B4476">
        <f>HYPERLINK("Объекты недвижимости, не соответствующие градостроительным нормам_00-022_Август/7e1d87c3-88a5-4e6e-8a66-2e43a5bdf770.jpg","open")</f>
        <v/>
      </c>
      <c r="C4476" t="inlineStr">
        <is>
          <t>a1a9db89-3f74-42ef-8fad-ad69705102cd</t>
        </is>
      </c>
      <c r="D4476" t="n">
        <v>55.77228</v>
      </c>
      <c r="E4476" t="n">
        <v>37.61131</v>
      </c>
      <c r="F4476" t="inlineStr"/>
      <c r="G4476" t="inlineStr"/>
      <c r="H4476" t="inlineStr"/>
    </row>
    <row r="4477">
      <c r="A4477" t="inlineStr">
        <is>
          <t>673d6291-ab24-4348-b308-557ac314a265.jpg</t>
        </is>
      </c>
      <c r="B4477">
        <f>HYPERLINK("Объекты недвижимости, не соответствующие градостроительным нормам_00-022_Август/673d6291-ab24-4348-b308-557ac314a265.jpg","open")</f>
        <v/>
      </c>
      <c r="C4477" t="inlineStr">
        <is>
          <t>1231bbc5-e64c-4dc7-9acc-77710f47607a</t>
        </is>
      </c>
      <c r="D4477" t="n">
        <v>55.68012</v>
      </c>
      <c r="E4477" t="n">
        <v>37.60256</v>
      </c>
      <c r="F4477" t="inlineStr"/>
      <c r="G4477" t="inlineStr"/>
      <c r="H4477" t="inlineStr"/>
    </row>
    <row r="4478">
      <c r="A4478" t="inlineStr">
        <is>
          <t>920a8a96-b733-439d-9aaa-f62936508ae7.jpg</t>
        </is>
      </c>
      <c r="B4478">
        <f>HYPERLINK("Объекты недвижимости, не соответствующие градостроительным нормам_00-022_Август/920a8a96-b733-439d-9aaa-f62936508ae7.jpg","open")</f>
        <v/>
      </c>
      <c r="C4478" t="inlineStr">
        <is>
          <t>a1a9db89-3f74-42ef-8fad-ad69705102cd</t>
        </is>
      </c>
      <c r="D4478" t="n">
        <v>55.77228</v>
      </c>
      <c r="E4478" t="n">
        <v>37.61131</v>
      </c>
      <c r="F4478" t="inlineStr"/>
      <c r="G4478" t="inlineStr"/>
      <c r="H4478" t="inlineStr"/>
    </row>
    <row r="4479">
      <c r="A4479" t="inlineStr">
        <is>
          <t>445ee4b5-95c6-4753-b840-53c3b968e179.jpg</t>
        </is>
      </c>
      <c r="B4479">
        <f>HYPERLINK("Объекты недвижимости, не соответствующие градостроительным нормам_00-022_Август/445ee4b5-95c6-4753-b840-53c3b968e179.jpg","open")</f>
        <v/>
      </c>
      <c r="C4479" t="inlineStr">
        <is>
          <t>cbf95b01-f708-45a3-9ec0-3603469b538e</t>
        </is>
      </c>
      <c r="D4479" t="n">
        <v>55.77228</v>
      </c>
      <c r="E4479" t="n">
        <v>37.61131</v>
      </c>
      <c r="F4479" t="inlineStr"/>
      <c r="G4479" t="inlineStr"/>
      <c r="H4479" t="inlineStr"/>
    </row>
    <row r="4480">
      <c r="A4480" t="inlineStr">
        <is>
          <t>6eeaac11-0090-4d32-97bc-62157804c628.jpg</t>
        </is>
      </c>
      <c r="B4480">
        <f>HYPERLINK("Объекты недвижимости, не соответствующие градостроительным нормам_00-022_Август/6eeaac11-0090-4d32-97bc-62157804c628.jpg","open")</f>
        <v/>
      </c>
      <c r="C4480" t="inlineStr">
        <is>
          <t>cbf95b01-f708-45a3-9ec0-3603469b538e</t>
        </is>
      </c>
      <c r="D4480" t="n">
        <v>55.77228</v>
      </c>
      <c r="E4480" t="n">
        <v>37.61131</v>
      </c>
      <c r="F4480" t="inlineStr"/>
      <c r="G4480" t="inlineStr"/>
      <c r="H4480" t="inlineStr"/>
    </row>
    <row r="4481">
      <c r="A4481" t="inlineStr">
        <is>
          <t>bd53675e-b158-401d-9761-ceed97f7b1fa.jpg</t>
        </is>
      </c>
      <c r="B4481">
        <f>HYPERLINK("Объекты недвижимости, не соответствующие градостроительным нормам_00-022_Август/bd53675e-b158-401d-9761-ceed97f7b1fa.jpg","open")</f>
        <v/>
      </c>
      <c r="C4481" t="inlineStr">
        <is>
          <t>61936922-4d4b-458e-80ea-6d4c450aa1d5</t>
        </is>
      </c>
      <c r="D4481" t="n">
        <v>55.96835</v>
      </c>
      <c r="E4481" t="n">
        <v>37.42824</v>
      </c>
      <c r="F4481" t="inlineStr"/>
      <c r="G4481" t="inlineStr"/>
      <c r="H4481" t="inlineStr"/>
    </row>
    <row r="4482">
      <c r="A4482" t="inlineStr">
        <is>
          <t>ada913d9-dcf5-480f-9285-e6f4bfb9697e.jpg</t>
        </is>
      </c>
      <c r="B4482">
        <f>HYPERLINK("Объекты недвижимости, не соответствующие градостроительным нормам_00-022_Август/ada913d9-dcf5-480f-9285-e6f4bfb9697e.jpg","open")</f>
        <v/>
      </c>
      <c r="C4482" t="inlineStr">
        <is>
          <t>cbf95b01-f708-45a3-9ec0-3603469b538e</t>
        </is>
      </c>
      <c r="D4482" t="n">
        <v>55.77228</v>
      </c>
      <c r="E4482" t="n">
        <v>37.61131</v>
      </c>
      <c r="F4482" t="inlineStr"/>
      <c r="G4482" t="inlineStr"/>
      <c r="H4482" t="inlineStr"/>
    </row>
    <row r="4483">
      <c r="A4483" t="inlineStr">
        <is>
          <t>cbf69a71-2b38-4e56-8b71-1b573272d51e.jpg</t>
        </is>
      </c>
      <c r="B4483">
        <f>HYPERLINK("Объекты недвижимости, не соответствующие градостроительным нормам_00-022_Август/cbf69a71-2b38-4e56-8b71-1b573272d51e.jpg","open")</f>
        <v/>
      </c>
      <c r="C4483" t="inlineStr">
        <is>
          <t>936502dd-24a4-4256-9fdf-0d8fb72af3ed</t>
        </is>
      </c>
      <c r="D4483" t="n">
        <v>55.58395</v>
      </c>
      <c r="E4483" t="n">
        <v>37.64501</v>
      </c>
      <c r="F4483" t="inlineStr"/>
      <c r="G4483" t="inlineStr"/>
      <c r="H4483" t="inlineStr"/>
    </row>
    <row r="4484">
      <c r="A4484" t="inlineStr">
        <is>
          <t>cd311855-3be6-48f7-a19e-7435b16e75fd.jpg</t>
        </is>
      </c>
      <c r="B4484">
        <f>HYPERLINK("Объекты недвижимости, не соответствующие градостроительным нормам_00-022_Август/cd311855-3be6-48f7-a19e-7435b16e75fd.jpg","open")</f>
        <v/>
      </c>
      <c r="C4484" t="inlineStr">
        <is>
          <t>036c664f-5408-4fd0-b479-342c00468eeb</t>
        </is>
      </c>
      <c r="D4484" t="n">
        <v>55.71837</v>
      </c>
      <c r="E4484" t="n">
        <v>37.42307</v>
      </c>
      <c r="F4484" t="inlineStr"/>
      <c r="G4484" t="inlineStr"/>
      <c r="H4484" t="inlineStr"/>
    </row>
    <row r="4485">
      <c r="A4485" t="inlineStr">
        <is>
          <t>71f3250d-d380-4c11-8b03-49d0db9d36e1.jpg</t>
        </is>
      </c>
      <c r="B4485">
        <f>HYPERLINK("Объекты недвижимости, не соответствующие градостроительным нормам_00-022_Август/71f3250d-d380-4c11-8b03-49d0db9d36e1.jpg","open")</f>
        <v/>
      </c>
      <c r="C4485" t="inlineStr">
        <is>
          <t>6e2567a0-1fb9-40d5-a0e7-0adb480d2965</t>
        </is>
      </c>
      <c r="D4485" t="n">
        <v>55.78796</v>
      </c>
      <c r="E4485" t="n">
        <v>37.67408</v>
      </c>
      <c r="F4485" t="inlineStr"/>
      <c r="G4485" t="inlineStr"/>
      <c r="H4485" t="inlineStr"/>
    </row>
    <row r="4486">
      <c r="A4486" t="inlineStr">
        <is>
          <t>5e7ae490-84a5-433b-89d5-e1735a0fd8fc.jpg</t>
        </is>
      </c>
      <c r="B4486">
        <f>HYPERLINK("Объекты недвижимости, не соответствующие градостроительным нормам_00-022_Август/5e7ae490-84a5-433b-89d5-e1735a0fd8fc.jpg","open")</f>
        <v/>
      </c>
      <c r="C4486" t="inlineStr">
        <is>
          <t>9fb3d110-951f-48da-9d90-cfd7e1b5800d</t>
        </is>
      </c>
      <c r="D4486" t="n">
        <v>55.96835</v>
      </c>
      <c r="E4486" t="n">
        <v>37.42824</v>
      </c>
      <c r="F4486" t="inlineStr"/>
      <c r="G4486" t="inlineStr"/>
      <c r="H4486" t="inlineStr"/>
    </row>
    <row r="4487">
      <c r="A4487" t="inlineStr">
        <is>
          <t>3a75d7de-df07-415a-9ae0-2848e5bfda81.jpg</t>
        </is>
      </c>
      <c r="B4487">
        <f>HYPERLINK("Объекты недвижимости, не соответствующие градостроительным нормам_00-022_Август/3a75d7de-df07-415a-9ae0-2848e5bfda81.jpg","open")</f>
        <v/>
      </c>
      <c r="C4487" t="inlineStr">
        <is>
          <t>ed2bf0f1-3a66-4913-896e-4420a9796c0b</t>
        </is>
      </c>
      <c r="D4487" t="n">
        <v>55.72069</v>
      </c>
      <c r="E4487" t="n">
        <v>37.65376</v>
      </c>
      <c r="F4487" t="inlineStr"/>
      <c r="G4487" t="inlineStr"/>
      <c r="H4487" t="inlineStr"/>
    </row>
    <row r="4488">
      <c r="A4488" t="inlineStr">
        <is>
          <t>e3ccb6bd-ccf9-4590-8edf-efdd21894cf4.jpg</t>
        </is>
      </c>
      <c r="B4488">
        <f>HYPERLINK("Объекты недвижимости, не соответствующие градостроительным нормам_00-022_Август/e3ccb6bd-ccf9-4590-8edf-efdd21894cf4.jpg","open")</f>
        <v/>
      </c>
      <c r="C4488" t="inlineStr">
        <is>
          <t>1231bbc5-e64c-4dc7-9acc-77710f47607a</t>
        </is>
      </c>
      <c r="D4488" t="n">
        <v>55.67937</v>
      </c>
      <c r="E4488" t="n">
        <v>37.60349</v>
      </c>
      <c r="F4488" t="inlineStr"/>
      <c r="G4488" t="inlineStr"/>
      <c r="H4488" t="inlineStr"/>
    </row>
    <row r="4489">
      <c r="A4489" t="inlineStr">
        <is>
          <t>f1d7b843-6741-4383-bc4c-4d1add8a9c54.jpg</t>
        </is>
      </c>
      <c r="B4489">
        <f>HYPERLINK("Объекты недвижимости, не соответствующие градостроительным нормам_00-022_Август/f1d7b843-6741-4383-bc4c-4d1add8a9c54.jpg","open")</f>
        <v/>
      </c>
      <c r="C4489" t="inlineStr">
        <is>
          <t>685d9054-b74f-49ab-857b-109fd2cec80d</t>
        </is>
      </c>
      <c r="D4489" t="n">
        <v>55.67999</v>
      </c>
      <c r="E4489" t="n">
        <v>37.60273</v>
      </c>
      <c r="F4489" t="inlineStr"/>
      <c r="G4489" t="inlineStr"/>
      <c r="H4489" t="inlineStr"/>
    </row>
    <row r="4490">
      <c r="A4490" t="inlineStr">
        <is>
          <t>c81dabe0-c9a3-4f85-8913-b70b8cc8230a.jpg</t>
        </is>
      </c>
      <c r="B4490">
        <f>HYPERLINK("Объекты недвижимости, не соответствующие градостроительным нормам_00-022_Август/c81dabe0-c9a3-4f85-8913-b70b8cc8230a.jpg","open")</f>
        <v/>
      </c>
      <c r="C4490" t="inlineStr">
        <is>
          <t>1a55986c-2c3f-40c0-b3d1-014dce77832e</t>
        </is>
      </c>
      <c r="D4490" t="n">
        <v>55.72069</v>
      </c>
      <c r="E4490" t="n">
        <v>37.65376</v>
      </c>
      <c r="F4490" t="inlineStr"/>
      <c r="G4490" t="inlineStr"/>
      <c r="H4490" t="inlineStr"/>
    </row>
    <row r="4491">
      <c r="A4491" t="inlineStr">
        <is>
          <t>7e5bfeb5-e8da-4673-b301-ba72454db6ba.jpg</t>
        </is>
      </c>
      <c r="B4491">
        <f>HYPERLINK("Объекты недвижимости, не соответствующие градостроительным нормам_00-022_Август/7e5bfeb5-e8da-4673-b301-ba72454db6ba.jpg","open")</f>
        <v/>
      </c>
      <c r="C4491" t="inlineStr">
        <is>
          <t>1231bbc5-e64c-4dc7-9acc-77710f47607a</t>
        </is>
      </c>
      <c r="D4491" t="n">
        <v>55.67904</v>
      </c>
      <c r="E4491" t="n">
        <v>37.604</v>
      </c>
      <c r="F4491" t="inlineStr"/>
      <c r="G4491" t="inlineStr"/>
      <c r="H4491" t="inlineStr"/>
    </row>
    <row r="4492">
      <c r="A4492" t="inlineStr">
        <is>
          <t>33b77649-af9c-4835-9106-83c838863c23.jpg</t>
        </is>
      </c>
      <c r="B4492">
        <f>HYPERLINK("Объекты недвижимости, не соответствующие градостроительным нормам_00-022_Август/33b77649-af9c-4835-9106-83c838863c23.jpg","open")</f>
        <v/>
      </c>
      <c r="C4492" t="inlineStr">
        <is>
          <t>ed2bf0f1-3a66-4913-896e-4420a9796c0b</t>
        </is>
      </c>
      <c r="D4492" t="n">
        <v>55.72069</v>
      </c>
      <c r="E4492" t="n">
        <v>37.65376</v>
      </c>
      <c r="F4492" t="inlineStr"/>
      <c r="G4492" t="inlineStr"/>
      <c r="H4492" t="inlineStr"/>
    </row>
    <row r="4493">
      <c r="A4493" t="inlineStr">
        <is>
          <t>95e108a6-6c02-40cf-8252-1adb9be5d9db.jpg</t>
        </is>
      </c>
      <c r="B4493">
        <f>HYPERLINK("Объекты недвижимости, не соответствующие градостроительным нормам_00-022_Август/95e108a6-6c02-40cf-8252-1adb9be5d9db.jpg","open")</f>
        <v/>
      </c>
      <c r="C4493" t="inlineStr">
        <is>
          <t>6e2567a0-1fb9-40d5-a0e7-0adb480d2965</t>
        </is>
      </c>
      <c r="D4493" t="n">
        <v>55.78876</v>
      </c>
      <c r="E4493" t="n">
        <v>37.71663</v>
      </c>
      <c r="F4493" t="inlineStr"/>
      <c r="G4493" t="inlineStr"/>
      <c r="H4493" t="inlineStr"/>
    </row>
    <row r="4494">
      <c r="A4494" t="inlineStr">
        <is>
          <t>cc85ab6b-8d2d-4c33-9ec7-8e72a7d33d76.jpg</t>
        </is>
      </c>
      <c r="B4494">
        <f>HYPERLINK("Объекты недвижимости, не соответствующие градостроительным нормам_00-022_Август/cc85ab6b-8d2d-4c33-9ec7-8e72a7d33d76.jpg","open")</f>
        <v/>
      </c>
      <c r="C4494" t="inlineStr">
        <is>
          <t>cb4060b2-34d3-44a4-9f60-115fb1e9278e</t>
        </is>
      </c>
      <c r="D4494" t="n">
        <v>55.78794</v>
      </c>
      <c r="E4494" t="n">
        <v>37.71687</v>
      </c>
      <c r="F4494" t="inlineStr"/>
      <c r="G4494" t="inlineStr"/>
      <c r="H4494" t="inlineStr"/>
    </row>
    <row r="4495">
      <c r="A4495" t="inlineStr">
        <is>
          <t>f033051b-466d-4518-9343-877cb2a084d7.jpg</t>
        </is>
      </c>
      <c r="B4495">
        <f>HYPERLINK("Объекты недвижимости, не соответствующие градостроительным нормам_00-022_Август/f033051b-466d-4518-9343-877cb2a084d7.jpg","open")</f>
        <v/>
      </c>
      <c r="C4495" t="inlineStr">
        <is>
          <t>ed2bf0f1-3a66-4913-896e-4420a9796c0b</t>
        </is>
      </c>
      <c r="D4495" t="n">
        <v>55.72069</v>
      </c>
      <c r="E4495" t="n">
        <v>37.65376</v>
      </c>
      <c r="F4495" t="inlineStr"/>
      <c r="G4495" t="inlineStr"/>
      <c r="H4495" t="inlineStr"/>
    </row>
    <row r="4496">
      <c r="A4496" t="inlineStr">
        <is>
          <t>ffe0a82c-fd22-4cf4-b80b-1c21c52a79d7.jpg</t>
        </is>
      </c>
      <c r="B4496">
        <f>HYPERLINK("Объекты недвижимости, не соответствующие градостроительным нормам_00-022_Август/ffe0a82c-fd22-4cf4-b80b-1c21c52a79d7.jpg","open")</f>
        <v/>
      </c>
      <c r="C4496" t="inlineStr">
        <is>
          <t>61936922-4d4b-458e-80ea-6d4c450aa1d5</t>
        </is>
      </c>
      <c r="D4496" t="n">
        <v>55.96835</v>
      </c>
      <c r="E4496" t="n">
        <v>37.42824</v>
      </c>
      <c r="F4496" t="inlineStr"/>
      <c r="G4496" t="inlineStr"/>
      <c r="H4496" t="inlineStr"/>
    </row>
    <row r="4497">
      <c r="A4497" t="inlineStr">
        <is>
          <t>778e1321-70e4-4517-9c1c-c80b157598a0.jpg</t>
        </is>
      </c>
      <c r="B4497">
        <f>HYPERLINK("Объекты недвижимости, не соответствующие градостроительным нормам_00-022_Август/778e1321-70e4-4517-9c1c-c80b157598a0.jpg","open")</f>
        <v/>
      </c>
      <c r="C4497" t="inlineStr">
        <is>
          <t>ed2bf0f1-3a66-4913-896e-4420a9796c0b</t>
        </is>
      </c>
      <c r="D4497" t="n">
        <v>55.72069</v>
      </c>
      <c r="E4497" t="n">
        <v>37.65376</v>
      </c>
      <c r="F4497" t="inlineStr"/>
      <c r="G4497" t="inlineStr"/>
      <c r="H4497" t="inlineStr"/>
    </row>
    <row r="4498">
      <c r="A4498" t="inlineStr">
        <is>
          <t>eb41b6db-66b9-4e40-b2a0-21314b67abb8.jpg</t>
        </is>
      </c>
      <c r="B4498">
        <f>HYPERLINK("Объекты недвижимости, не соответствующие градостроительным нормам_00-022_Август/eb41b6db-66b9-4e40-b2a0-21314b67abb8.jpg","open")</f>
        <v/>
      </c>
      <c r="C4498" t="inlineStr">
        <is>
          <t>61936922-4d4b-458e-80ea-6d4c450aa1d5</t>
        </is>
      </c>
      <c r="D4498" t="n">
        <v>55.96835</v>
      </c>
      <c r="E4498" t="n">
        <v>37.42824</v>
      </c>
      <c r="F4498" t="inlineStr"/>
      <c r="G4498" t="inlineStr"/>
      <c r="H4498" t="inlineStr"/>
    </row>
    <row r="4499">
      <c r="A4499" t="inlineStr">
        <is>
          <t>fce9b29e-9b1f-4524-9211-8c7bb282981d.jpg</t>
        </is>
      </c>
      <c r="B4499">
        <f>HYPERLINK("Объекты недвижимости, не соответствующие градостроительным нормам_00-022_Август/fce9b29e-9b1f-4524-9211-8c7bb282981d.jpg","open")</f>
        <v/>
      </c>
      <c r="C4499" t="inlineStr">
        <is>
          <t>ed2bf0f1-3a66-4913-896e-4420a9796c0b</t>
        </is>
      </c>
      <c r="D4499" t="n">
        <v>55.72069</v>
      </c>
      <c r="E4499" t="n">
        <v>37.65376</v>
      </c>
      <c r="F4499" t="inlineStr"/>
      <c r="G4499" t="inlineStr"/>
      <c r="H4499" t="inlineStr"/>
    </row>
    <row r="4500">
      <c r="A4500" t="inlineStr">
        <is>
          <t>12d9f06f-5d87-41e2-8c33-75495bf2abbf.jpg</t>
        </is>
      </c>
      <c r="B4500">
        <f>HYPERLINK("Объекты недвижимости, не соответствующие градостроительным нормам_00-022_Август/12d9f06f-5d87-41e2-8c33-75495bf2abbf.jpg","open")</f>
        <v/>
      </c>
      <c r="C4500" t="inlineStr">
        <is>
          <t>1231bbc5-e64c-4dc7-9acc-77710f47607a</t>
        </is>
      </c>
      <c r="D4500" t="n">
        <v>55.68001</v>
      </c>
      <c r="E4500" t="n">
        <v>37.60272</v>
      </c>
      <c r="F4500" t="inlineStr"/>
      <c r="G4500" t="inlineStr"/>
      <c r="H4500" t="inlineStr"/>
    </row>
    <row r="4501">
      <c r="A4501" t="inlineStr">
        <is>
          <t>892a4579-3ee1-4b54-85d2-1c1981ebd5ef.jpg</t>
        </is>
      </c>
      <c r="B4501">
        <f>HYPERLINK("Объекты недвижимости, не соответствующие градостроительным нормам_00-022_Август/892a4579-3ee1-4b54-85d2-1c1981ebd5ef.jpg","open")</f>
        <v/>
      </c>
      <c r="C4501" t="inlineStr">
        <is>
          <t>ed2bf0f1-3a66-4913-896e-4420a9796c0b</t>
        </is>
      </c>
      <c r="D4501" t="n">
        <v>55.72069</v>
      </c>
      <c r="E4501" t="n">
        <v>37.65376</v>
      </c>
      <c r="F4501" t="inlineStr"/>
      <c r="G4501" t="inlineStr"/>
      <c r="H4501" t="inlineStr"/>
    </row>
    <row r="4502">
      <c r="A4502" t="inlineStr">
        <is>
          <t>df0a1ed8-807f-47e3-a8cf-120da57eb4bd.jpg</t>
        </is>
      </c>
      <c r="B4502">
        <f>HYPERLINK("Объекты недвижимости, не соответствующие градостроительным нормам_00-022_Август/df0a1ed8-807f-47e3-a8cf-120da57eb4bd.jpg","open")</f>
        <v/>
      </c>
      <c r="C4502" t="inlineStr">
        <is>
          <t>936502dd-24a4-4256-9fdf-0d8fb72af3ed</t>
        </is>
      </c>
      <c r="D4502" t="n">
        <v>55.58612</v>
      </c>
      <c r="E4502" t="n">
        <v>37.64294</v>
      </c>
      <c r="F4502" t="inlineStr"/>
      <c r="G4502" t="inlineStr"/>
      <c r="H4502" t="inlineStr"/>
    </row>
    <row r="4503">
      <c r="A4503" t="inlineStr">
        <is>
          <t>6e6ba8e4-51b2-42c5-9081-7556feaa5b70.jpg</t>
        </is>
      </c>
      <c r="B4503">
        <f>HYPERLINK("Объекты недвижимости, не соответствующие градостроительным нормам_00-022_Август/6e6ba8e4-51b2-42c5-9081-7556feaa5b70.jpg","open")</f>
        <v/>
      </c>
      <c r="C4503" t="inlineStr">
        <is>
          <t>ed2bf0f1-3a66-4913-896e-4420a9796c0b</t>
        </is>
      </c>
      <c r="D4503" t="n">
        <v>55.72069</v>
      </c>
      <c r="E4503" t="n">
        <v>37.65376</v>
      </c>
      <c r="F4503" t="inlineStr"/>
      <c r="G4503" t="inlineStr"/>
      <c r="H4503" t="inlineStr"/>
    </row>
    <row r="4504">
      <c r="A4504" t="inlineStr">
        <is>
          <t>ce7ec6b1-3fd1-4c3c-80c4-e5f3b5e07096.jpg</t>
        </is>
      </c>
      <c r="B4504">
        <f>HYPERLINK("Объекты недвижимости, не соответствующие градостроительным нормам_00-022_Август/ce7ec6b1-3fd1-4c3c-80c4-e5f3b5e07096.jpg","open")</f>
        <v/>
      </c>
      <c r="C4504" t="inlineStr">
        <is>
          <t>cbf95b01-f708-45a3-9ec0-3603469b538e</t>
        </is>
      </c>
      <c r="D4504" t="n">
        <v>55.77454</v>
      </c>
      <c r="E4504" t="n">
        <v>37.59334</v>
      </c>
      <c r="F4504" t="inlineStr"/>
      <c r="G4504" t="inlineStr"/>
      <c r="H4504" t="inlineStr"/>
    </row>
    <row r="4505">
      <c r="A4505" t="inlineStr">
        <is>
          <t>50f4d5d8-6647-4d6c-b005-8b8518d9ff9b.jpg</t>
        </is>
      </c>
      <c r="B4505">
        <f>HYPERLINK("Объекты недвижимости, не соответствующие градостроительным нормам_00-022_Август/50f4d5d8-6647-4d6c-b005-8b8518d9ff9b.jpg","open")</f>
        <v/>
      </c>
      <c r="C4505" t="inlineStr">
        <is>
          <t>ed2bf0f1-3a66-4913-896e-4420a9796c0b</t>
        </is>
      </c>
      <c r="D4505" t="n">
        <v>55.72069</v>
      </c>
      <c r="E4505" t="n">
        <v>37.65376</v>
      </c>
      <c r="F4505" t="inlineStr"/>
      <c r="G4505" t="inlineStr"/>
      <c r="H4505" t="inlineStr"/>
    </row>
    <row r="4506">
      <c r="A4506" t="inlineStr">
        <is>
          <t>31fb4a85-5b25-489a-abd1-61b9ac3adcff.jpg</t>
        </is>
      </c>
      <c r="B4506">
        <f>HYPERLINK("Объекты недвижимости, не соответствующие градостроительным нормам_00-022_Август/31fb4a85-5b25-489a-abd1-61b9ac3adcff.jpg","open")</f>
        <v/>
      </c>
      <c r="C4506" t="inlineStr">
        <is>
          <t>ed2bf0f1-3a66-4913-896e-4420a9796c0b</t>
        </is>
      </c>
      <c r="D4506" t="n">
        <v>55.72069</v>
      </c>
      <c r="E4506" t="n">
        <v>37.65376</v>
      </c>
      <c r="F4506" t="inlineStr"/>
      <c r="G4506" t="inlineStr"/>
      <c r="H4506" t="inlineStr"/>
    </row>
    <row r="4507">
      <c r="A4507" t="inlineStr">
        <is>
          <t>38a9b712-3d55-40fa-933e-46d7a42b547c.jpg</t>
        </is>
      </c>
      <c r="B4507">
        <f>HYPERLINK("Объекты недвижимости, не соответствующие градостроительным нормам_00-022_Август/38a9b712-3d55-40fa-933e-46d7a42b547c.jpg","open")</f>
        <v/>
      </c>
      <c r="C4507" t="inlineStr">
        <is>
          <t>ed2bf0f1-3a66-4913-896e-4420a9796c0b</t>
        </is>
      </c>
      <c r="D4507" t="n">
        <v>55.75248</v>
      </c>
      <c r="E4507" t="n">
        <v>37.58805</v>
      </c>
      <c r="F4507" t="inlineStr"/>
      <c r="G4507" t="inlineStr"/>
      <c r="H4507" t="inlineStr"/>
    </row>
    <row r="4508">
      <c r="A4508" t="inlineStr">
        <is>
          <t>41f93cc2-2dcb-49f3-9c14-c4dff7bde3e3.jpg</t>
        </is>
      </c>
      <c r="B4508">
        <f>HYPERLINK("Объекты недвижимости, не соответствующие градостроительным нормам_00-022_Август/41f93cc2-2dcb-49f3-9c14-c4dff7bde3e3.jpg","open")</f>
        <v/>
      </c>
      <c r="C4508" t="inlineStr">
        <is>
          <t>ed2bf0f1-3a66-4913-896e-4420a9796c0b</t>
        </is>
      </c>
      <c r="D4508" t="n">
        <v>55.75917</v>
      </c>
      <c r="E4508" t="n">
        <v>37.60923</v>
      </c>
      <c r="F4508" t="inlineStr"/>
      <c r="G4508" t="inlineStr"/>
      <c r="H4508" t="inlineStr"/>
    </row>
    <row r="4509">
      <c r="A4509" t="inlineStr">
        <is>
          <t>febd429f-383f-4623-ac17-44e1006aa16c.jpg</t>
        </is>
      </c>
      <c r="B4509">
        <f>HYPERLINK("Объекты недвижимости, не соответствующие градостроительным нормам_00-022_Август/febd429f-383f-4623-ac17-44e1006aa16c.jpg","open")</f>
        <v/>
      </c>
      <c r="C4509" t="inlineStr">
        <is>
          <t>ed2bf0f1-3a66-4913-896e-4420a9796c0b</t>
        </is>
      </c>
      <c r="D4509" t="n">
        <v>55.76375</v>
      </c>
      <c r="E4509" t="n">
        <v>37.62251</v>
      </c>
      <c r="F4509" t="inlineStr"/>
      <c r="G4509" t="inlineStr"/>
      <c r="H4509" t="inlineStr"/>
    </row>
    <row r="4510">
      <c r="A4510" t="inlineStr">
        <is>
          <t>4c3cf234-0037-4675-887f-0c75c522bf11.jpg</t>
        </is>
      </c>
      <c r="B4510">
        <f>HYPERLINK("Объекты недвижимости, не соответствующие градостроительным нормам_00-022_Август/4c3cf234-0037-4675-887f-0c75c522bf11.jpg","open")</f>
        <v/>
      </c>
      <c r="C4510" t="inlineStr">
        <is>
          <t>48b533d5-d106-4175-ac9b-d5ce8d90cccf</t>
        </is>
      </c>
      <c r="D4510" t="n">
        <v>55.86205</v>
      </c>
      <c r="E4510" t="n">
        <v>37.6708</v>
      </c>
      <c r="F4510" t="inlineStr"/>
      <c r="G4510" t="inlineStr"/>
      <c r="H4510" t="inlineStr"/>
    </row>
    <row r="4511">
      <c r="A4511" t="inlineStr">
        <is>
          <t>d7a06195-cd20-47bf-8deb-a85c8c0aec4a.jpg</t>
        </is>
      </c>
      <c r="B4511">
        <f>HYPERLINK("Объекты недвижимости, не соответствующие градостроительным нормам_00-022_Август/d7a06195-cd20-47bf-8deb-a85c8c0aec4a.jpg","open")</f>
        <v/>
      </c>
      <c r="C4511" t="inlineStr">
        <is>
          <t>ed2bf0f1-3a66-4913-896e-4420a9796c0b</t>
        </is>
      </c>
      <c r="D4511" t="n">
        <v>55.76375</v>
      </c>
      <c r="E4511" t="n">
        <v>37.62251</v>
      </c>
      <c r="F4511" t="inlineStr"/>
      <c r="G4511" t="inlineStr"/>
      <c r="H4511" t="inlineStr"/>
    </row>
    <row r="4512">
      <c r="A4512" t="inlineStr">
        <is>
          <t>88c8dd5c-2fb5-4a75-bf41-4217e52e9ce1.jpg</t>
        </is>
      </c>
      <c r="B4512">
        <f>HYPERLINK("Объекты недвижимости, не соответствующие градостроительным нормам_00-022_Август/88c8dd5c-2fb5-4a75-bf41-4217e52e9ce1.jpg","open")</f>
        <v/>
      </c>
      <c r="C4512" t="inlineStr">
        <is>
          <t>a1a9db89-3f74-42ef-8fad-ad69705102cd</t>
        </is>
      </c>
      <c r="D4512" t="n">
        <v>55.77043</v>
      </c>
      <c r="E4512" t="n">
        <v>37.59725</v>
      </c>
      <c r="F4512" t="inlineStr"/>
      <c r="G4512" t="inlineStr"/>
      <c r="H4512" t="inlineStr"/>
    </row>
    <row r="4513">
      <c r="A4513" t="inlineStr">
        <is>
          <t>f52b014d-5293-4d2d-ba0f-4b2ff624dc30.jpg</t>
        </is>
      </c>
      <c r="B4513">
        <f>HYPERLINK("Объекты недвижимости, не соответствующие градостроительным нормам_00-022_Август/f52b014d-5293-4d2d-ba0f-4b2ff624dc30.jpg","open")</f>
        <v/>
      </c>
      <c r="C4513" t="inlineStr">
        <is>
          <t>99f3abba-c55b-49f0-9de5-9f88e9597cc0</t>
        </is>
      </c>
      <c r="D4513" t="n">
        <v>55.68307</v>
      </c>
      <c r="E4513" t="n">
        <v>37.63799</v>
      </c>
      <c r="F4513" t="inlineStr"/>
      <c r="G4513" t="inlineStr"/>
      <c r="H4513" t="inlineStr"/>
    </row>
    <row r="4514">
      <c r="A4514" t="inlineStr">
        <is>
          <t>4c8fa2cf-d07e-4acc-bc3b-c0d2eb5ac9b2.jpg</t>
        </is>
      </c>
      <c r="B4514">
        <f>HYPERLINK("Объекты недвижимости, не соответствующие градостроительным нормам_00-022_Август/4c8fa2cf-d07e-4acc-bc3b-c0d2eb5ac9b2.jpg","open")</f>
        <v/>
      </c>
      <c r="C4514" t="inlineStr">
        <is>
          <t>cbf95b01-f708-45a3-9ec0-3603469b538e</t>
        </is>
      </c>
      <c r="D4514" t="n">
        <v>55.77052</v>
      </c>
      <c r="E4514" t="n">
        <v>37.59723</v>
      </c>
      <c r="F4514" t="inlineStr"/>
      <c r="G4514" t="inlineStr"/>
      <c r="H4514" t="inlineStr"/>
    </row>
    <row r="4515">
      <c r="A4515" t="inlineStr">
        <is>
          <t>bea0938e-2ec4-4f4a-8f99-b3dfd36f0f13.jpg</t>
        </is>
      </c>
      <c r="B4515">
        <f>HYPERLINK("Объекты недвижимости, не соответствующие градостроительным нормам_00-022_Август/bea0938e-2ec4-4f4a-8f99-b3dfd36f0f13.jpg","open")</f>
        <v/>
      </c>
      <c r="C4515" t="inlineStr">
        <is>
          <t>cbf95b01-f708-45a3-9ec0-3603469b538e</t>
        </is>
      </c>
      <c r="D4515" t="n">
        <v>55.77034</v>
      </c>
      <c r="E4515" t="n">
        <v>37.59737</v>
      </c>
      <c r="F4515" t="inlineStr"/>
      <c r="G4515" t="inlineStr"/>
      <c r="H4515" t="inlineStr"/>
    </row>
    <row r="4516">
      <c r="A4516" t="inlineStr">
        <is>
          <t>74a21dcf-1d9b-4634-a11f-4f853a63bca0.jpg</t>
        </is>
      </c>
      <c r="B4516">
        <f>HYPERLINK("Объекты недвижимости, не соответствующие градостроительным нормам_00-022_Август/74a21dcf-1d9b-4634-a11f-4f853a63bca0.jpg","open")</f>
        <v/>
      </c>
      <c r="C4516" t="inlineStr">
        <is>
          <t>cbf95b01-f708-45a3-9ec0-3603469b538e</t>
        </is>
      </c>
      <c r="D4516" t="n">
        <v>55.77032</v>
      </c>
      <c r="E4516" t="n">
        <v>37.5974</v>
      </c>
      <c r="F4516" t="inlineStr"/>
      <c r="G4516" t="inlineStr"/>
      <c r="H4516" t="inlineStr"/>
    </row>
    <row r="4517">
      <c r="A4517" t="inlineStr">
        <is>
          <t>33b39f9c-c633-40ef-ad08-841f14baf282.jpg</t>
        </is>
      </c>
      <c r="B4517">
        <f>HYPERLINK("Объекты недвижимости, не соответствующие градостроительным нормам_00-022_Август/33b39f9c-c633-40ef-ad08-841f14baf282.jpg","open")</f>
        <v/>
      </c>
      <c r="C4517" t="inlineStr">
        <is>
          <t>a1a9db89-3f74-42ef-8fad-ad69705102cd</t>
        </is>
      </c>
      <c r="D4517" t="n">
        <v>55.77038</v>
      </c>
      <c r="E4517" t="n">
        <v>37.59729</v>
      </c>
      <c r="F4517" t="inlineStr"/>
      <c r="G4517" t="inlineStr"/>
      <c r="H4517" t="inlineStr"/>
    </row>
    <row r="4518">
      <c r="A4518" t="inlineStr">
        <is>
          <t>9217f2f8-af4a-4554-9621-447f4982bfb1.jpg</t>
        </is>
      </c>
      <c r="B4518">
        <f>HYPERLINK("Объекты недвижимости, не соответствующие градостроительным нормам_00-022_Август/9217f2f8-af4a-4554-9621-447f4982bfb1.jpg","open")</f>
        <v/>
      </c>
      <c r="C4518" t="inlineStr">
        <is>
          <t>1a55986c-2c3f-40c0-b3d1-014dce77832e</t>
        </is>
      </c>
      <c r="D4518" t="n">
        <v>55.76375</v>
      </c>
      <c r="E4518" t="n">
        <v>37.62251</v>
      </c>
      <c r="F4518" t="inlineStr"/>
      <c r="G4518" t="inlineStr"/>
      <c r="H4518" t="inlineStr"/>
    </row>
    <row r="4519">
      <c r="A4519" t="inlineStr">
        <is>
          <t>10bc1552-956e-4154-819a-9205ed84c981.jpg</t>
        </is>
      </c>
      <c r="B4519">
        <f>HYPERLINK("Объекты недвижимости, не соответствующие градостроительным нормам_00-022_Август/10bc1552-956e-4154-819a-9205ed84c981.jpg","open")</f>
        <v/>
      </c>
      <c r="C4519" t="inlineStr">
        <is>
          <t>cbf95b01-f708-45a3-9ec0-3603469b538e</t>
        </is>
      </c>
      <c r="D4519" t="n">
        <v>55.77028</v>
      </c>
      <c r="E4519" t="n">
        <v>37.59753</v>
      </c>
      <c r="F4519" t="inlineStr"/>
      <c r="G4519" t="inlineStr"/>
      <c r="H4519" t="inlineStr"/>
    </row>
    <row r="4520">
      <c r="A4520" t="inlineStr">
        <is>
          <t>b7ea9e96-d1c2-48c4-b581-56045213692b.jpg</t>
        </is>
      </c>
      <c r="B4520">
        <f>HYPERLINK("Объекты недвижимости, не соответствующие градостроительным нормам_00-022_Август/b7ea9e96-d1c2-48c4-b581-56045213692b.jpg","open")</f>
        <v/>
      </c>
      <c r="C4520" t="inlineStr">
        <is>
          <t>fce890a6-27da-4062-a046-08262a160ee6</t>
        </is>
      </c>
      <c r="D4520" t="n">
        <v>55.78245</v>
      </c>
      <c r="E4520" t="n">
        <v>37.6709</v>
      </c>
      <c r="F4520" t="inlineStr"/>
      <c r="G4520" t="inlineStr"/>
      <c r="H4520" t="inlineStr"/>
    </row>
    <row r="4521">
      <c r="A4521" t="inlineStr">
        <is>
          <t>be05cf59-9d43-4e61-9af3-7f1cf16bd0ae.jpg</t>
        </is>
      </c>
      <c r="B4521">
        <f>HYPERLINK("Объекты недвижимости, не соответствующие градостроительным нормам_00-022_Август/be05cf59-9d43-4e61-9af3-7f1cf16bd0ae.jpg","open")</f>
        <v/>
      </c>
      <c r="C4521" t="inlineStr">
        <is>
          <t>99f3abba-c55b-49f0-9de5-9f88e9597cc0</t>
        </is>
      </c>
      <c r="D4521" t="n">
        <v>55.68316</v>
      </c>
      <c r="E4521" t="n">
        <v>37.6398</v>
      </c>
      <c r="F4521" t="inlineStr"/>
      <c r="G4521" t="inlineStr"/>
      <c r="H4521" t="inlineStr"/>
    </row>
    <row r="4522">
      <c r="A4522" t="inlineStr">
        <is>
          <t>6e338c8e-0cc3-46ec-bd85-3f690fc50b59.jpg</t>
        </is>
      </c>
      <c r="B4522">
        <f>HYPERLINK("Объекты недвижимости, не соответствующие градостроительным нормам_00-022_Август/6e338c8e-0cc3-46ec-bd85-3f690fc50b59.jpg","open")</f>
        <v/>
      </c>
      <c r="C4522" t="inlineStr">
        <is>
          <t>9f88688f-4c81-42a8-b76a-3c3e7edf869e</t>
        </is>
      </c>
      <c r="D4522" t="n">
        <v>55.78245</v>
      </c>
      <c r="E4522" t="n">
        <v>37.6709</v>
      </c>
      <c r="F4522" t="inlineStr"/>
      <c r="G4522" t="inlineStr"/>
      <c r="H4522" t="inlineStr"/>
    </row>
    <row r="4523">
      <c r="A4523" t="inlineStr">
        <is>
          <t>145132b5-2794-4ed5-bafa-a5fa919e4361.jpg</t>
        </is>
      </c>
      <c r="B4523">
        <f>HYPERLINK("Объекты недвижимости, не соответствующие градостроительным нормам_00-022_Август/145132b5-2794-4ed5-bafa-a5fa919e4361.jpg","open")</f>
        <v/>
      </c>
      <c r="C4523" t="inlineStr">
        <is>
          <t>685d9054-b74f-49ab-857b-109fd2cec80d</t>
        </is>
      </c>
      <c r="D4523" t="n">
        <v>55.6811</v>
      </c>
      <c r="E4523" t="n">
        <v>37.6084</v>
      </c>
      <c r="F4523" t="inlineStr"/>
      <c r="G4523" t="inlineStr"/>
      <c r="H4523" t="inlineStr"/>
    </row>
    <row r="4524">
      <c r="A4524" t="inlineStr">
        <is>
          <t>09952287-4c50-46e1-aebf-a4637cb1bc0a.jpg</t>
        </is>
      </c>
      <c r="B4524">
        <f>HYPERLINK("Объекты недвижимости, не соответствующие градостроительным нормам_00-022_Август/09952287-4c50-46e1-aebf-a4637cb1bc0a.jpg","open")</f>
        <v/>
      </c>
      <c r="C4524" t="inlineStr">
        <is>
          <t>fce890a6-27da-4062-a046-08262a160ee6</t>
        </is>
      </c>
      <c r="D4524" t="n">
        <v>55.78245</v>
      </c>
      <c r="E4524" t="n">
        <v>37.6709</v>
      </c>
      <c r="F4524" t="inlineStr"/>
      <c r="G4524" t="inlineStr"/>
      <c r="H4524" t="inlineStr"/>
    </row>
    <row r="4525">
      <c r="A4525" t="inlineStr">
        <is>
          <t>56924104-34a1-4ceb-b5c1-44ad429291b0.jpg</t>
        </is>
      </c>
      <c r="B4525">
        <f>HYPERLINK("Объекты недвижимости, не соответствующие градостроительным нормам_00-022_Август/56924104-34a1-4ceb-b5c1-44ad429291b0.jpg","open")</f>
        <v/>
      </c>
      <c r="C4525" t="inlineStr">
        <is>
          <t>e26f5fc2-1353-4f29-85f3-87c56419161c</t>
        </is>
      </c>
      <c r="D4525" t="n">
        <v>55.80611</v>
      </c>
      <c r="E4525" t="n">
        <v>37.58192</v>
      </c>
      <c r="F4525" t="inlineStr"/>
      <c r="G4525" t="inlineStr"/>
      <c r="H4525" t="inlineStr"/>
    </row>
    <row r="4526">
      <c r="A4526" t="inlineStr">
        <is>
          <t>18a4ebeb-b63c-4599-9b5c-8d31ad877e82.jpg</t>
        </is>
      </c>
      <c r="B4526">
        <f>HYPERLINK("Объекты недвижимости, не соответствующие градостроительным нормам_00-022_Август/18a4ebeb-b63c-4599-9b5c-8d31ad877e82.jpg","open")</f>
        <v/>
      </c>
      <c r="C4526" t="inlineStr">
        <is>
          <t>e26f5fc2-1353-4f29-85f3-87c56419161c</t>
        </is>
      </c>
      <c r="D4526" t="n">
        <v>55.80736</v>
      </c>
      <c r="E4526" t="n">
        <v>37.58114</v>
      </c>
      <c r="F4526" t="inlineStr"/>
      <c r="G4526" t="inlineStr"/>
      <c r="H4526" t="inlineStr"/>
    </row>
    <row r="4527">
      <c r="A4527" t="inlineStr">
        <is>
          <t>7fd790aa-bac2-455f-9610-cfee401672be.jpg</t>
        </is>
      </c>
      <c r="B4527">
        <f>HYPERLINK("Объекты недвижимости, не соответствующие градостроительным нормам_00-022_Август/7fd790aa-bac2-455f-9610-cfee401672be.jpg","open")</f>
        <v/>
      </c>
      <c r="C4527" t="inlineStr">
        <is>
          <t>6e2567a0-1fb9-40d5-a0e7-0adb480d2965</t>
        </is>
      </c>
      <c r="D4527" t="n">
        <v>55.79351</v>
      </c>
      <c r="E4527" t="n">
        <v>37.71467</v>
      </c>
      <c r="F4527" t="inlineStr"/>
      <c r="G4527" t="inlineStr"/>
      <c r="H4527" t="inlineStr"/>
    </row>
    <row r="4528">
      <c r="A4528" t="inlineStr">
        <is>
          <t>312137ee-5d06-443d-be0e-f38e285b948f.jpg</t>
        </is>
      </c>
      <c r="B4528">
        <f>HYPERLINK("Объекты недвижимости, не соответствующие градостроительным нормам_00-022_Август/312137ee-5d06-443d-be0e-f38e285b948f.jpg","open")</f>
        <v/>
      </c>
      <c r="C4528" t="inlineStr">
        <is>
          <t>fce890a6-27da-4062-a046-08262a160ee6</t>
        </is>
      </c>
      <c r="D4528" t="n">
        <v>55.78245</v>
      </c>
      <c r="E4528" t="n">
        <v>37.6709</v>
      </c>
      <c r="F4528" t="inlineStr"/>
      <c r="G4528" t="inlineStr"/>
      <c r="H4528" t="inlineStr"/>
    </row>
    <row r="4529">
      <c r="A4529" t="inlineStr">
        <is>
          <t>359b54f6-00e9-4158-a2af-85743ca27d99.jpg</t>
        </is>
      </c>
      <c r="B4529">
        <f>HYPERLINK("Объекты недвижимости, не соответствующие градостроительным нормам_00-022_Август/359b54f6-00e9-4158-a2af-85743ca27d99.jpg","open")</f>
        <v/>
      </c>
      <c r="C4529" t="inlineStr">
        <is>
          <t>fce890a6-27da-4062-a046-08262a160ee6</t>
        </is>
      </c>
      <c r="D4529" t="n">
        <v>55.78245</v>
      </c>
      <c r="E4529" t="n">
        <v>37.6709</v>
      </c>
      <c r="F4529" t="inlineStr"/>
      <c r="G4529" t="inlineStr"/>
      <c r="H4529" t="inlineStr"/>
    </row>
    <row r="4530">
      <c r="A4530" t="inlineStr">
        <is>
          <t>59c1634b-4150-4648-b008-3914417cd284.jpg</t>
        </is>
      </c>
      <c r="B4530">
        <f>HYPERLINK("Объекты недвижимости, не соответствующие градостроительным нормам_00-022_Август/59c1634b-4150-4648-b008-3914417cd284.jpg","open")</f>
        <v/>
      </c>
      <c r="C4530" t="inlineStr">
        <is>
          <t>ed2bf0f1-3a66-4913-896e-4420a9796c0b</t>
        </is>
      </c>
      <c r="D4530" t="n">
        <v>55.71698</v>
      </c>
      <c r="E4530" t="n">
        <v>37.6234</v>
      </c>
      <c r="F4530" t="inlineStr"/>
      <c r="G4530" t="inlineStr"/>
      <c r="H4530" t="inlineStr"/>
    </row>
    <row r="4531">
      <c r="A4531" t="inlineStr">
        <is>
          <t>1dbf488e-0618-452b-b0eb-e0b0e7896ef1.jpg</t>
        </is>
      </c>
      <c r="B4531">
        <f>HYPERLINK("Объекты недвижимости, не соответствующие градостроительным нормам_00-022_Август/1dbf488e-0618-452b-b0eb-e0b0e7896ef1.jpg","open")</f>
        <v/>
      </c>
      <c r="C4531" t="inlineStr">
        <is>
          <t>1a55986c-2c3f-40c0-b3d1-014dce77832e</t>
        </is>
      </c>
      <c r="D4531" t="n">
        <v>55.71704</v>
      </c>
      <c r="E4531" t="n">
        <v>37.62338</v>
      </c>
      <c r="F4531" t="inlineStr"/>
      <c r="G4531" t="inlineStr"/>
      <c r="H4531" t="inlineStr"/>
    </row>
    <row r="4532">
      <c r="A4532" t="inlineStr">
        <is>
          <t>254bce56-df75-4a7e-a2d5-28eb6954da95.jpg</t>
        </is>
      </c>
      <c r="B4532">
        <f>HYPERLINK("Объекты недвижимости, не соответствующие градостроительным нормам_00-022_Август/254bce56-df75-4a7e-a2d5-28eb6954da95.jpg","open")</f>
        <v/>
      </c>
      <c r="C4532" t="inlineStr">
        <is>
          <t>685d9054-b74f-49ab-857b-109fd2cec80d</t>
        </is>
      </c>
      <c r="D4532" t="n">
        <v>55.68143</v>
      </c>
      <c r="E4532" t="n">
        <v>37.60356</v>
      </c>
      <c r="F4532" t="inlineStr"/>
      <c r="G4532" t="inlineStr"/>
      <c r="H4532" t="inlineStr"/>
    </row>
    <row r="4533">
      <c r="A4533" t="inlineStr">
        <is>
          <t>e5bf0bb4-5cad-44c3-81d3-62c5ba7a8a6d.jpg</t>
        </is>
      </c>
      <c r="B4533">
        <f>HYPERLINK("Объекты недвижимости, не соответствующие градостроительным нормам_00-022_Август/e5bf0bb4-5cad-44c3-81d3-62c5ba7a8a6d.jpg","open")</f>
        <v/>
      </c>
      <c r="C4533" t="inlineStr">
        <is>
          <t>685d9054-b74f-49ab-857b-109fd2cec80d</t>
        </is>
      </c>
      <c r="D4533" t="n">
        <v>55.68087</v>
      </c>
      <c r="E4533" t="n">
        <v>37.60438</v>
      </c>
      <c r="F4533" t="inlineStr"/>
      <c r="G4533" t="inlineStr"/>
      <c r="H4533" t="inlineStr"/>
    </row>
    <row r="4534">
      <c r="A4534" t="inlineStr">
        <is>
          <t>041e7e3d-d6d7-43ab-9a67-84028251ad45.jpg</t>
        </is>
      </c>
      <c r="B4534">
        <f>HYPERLINK("Объекты недвижимости, не соответствующие градостроительным нормам_00-022_Август/041e7e3d-d6d7-43ab-9a67-84028251ad45.jpg","open")</f>
        <v/>
      </c>
      <c r="C4534" t="inlineStr">
        <is>
          <t>685d9054-b74f-49ab-857b-109fd2cec80d</t>
        </is>
      </c>
      <c r="D4534" t="n">
        <v>55.68082</v>
      </c>
      <c r="E4534" t="n">
        <v>37.60635</v>
      </c>
      <c r="F4534" t="inlineStr"/>
      <c r="G4534" t="inlineStr"/>
      <c r="H4534" t="inlineStr"/>
    </row>
    <row r="4535">
      <c r="A4535" t="inlineStr">
        <is>
          <t>96d2722a-cd55-4ea1-9935-376d8a2b2d4d.jpg</t>
        </is>
      </c>
      <c r="B4535">
        <f>HYPERLINK("Объекты недвижимости, не соответствующие градостроительным нормам_00-022_Август/96d2722a-cd55-4ea1-9935-376d8a2b2d4d.jpg","open")</f>
        <v/>
      </c>
      <c r="C4535" t="inlineStr">
        <is>
          <t>ed2bf0f1-3a66-4913-896e-4420a9796c0b</t>
        </is>
      </c>
      <c r="D4535" t="n">
        <v>55.71757</v>
      </c>
      <c r="E4535" t="n">
        <v>37.61325</v>
      </c>
      <c r="F4535" t="inlineStr"/>
      <c r="G4535" t="inlineStr"/>
      <c r="H4535" t="inlineStr"/>
    </row>
    <row r="4536">
      <c r="A4536" t="inlineStr">
        <is>
          <t>8cae2a78-9c41-4200-81e3-863120ea6c2c.jpg</t>
        </is>
      </c>
      <c r="B4536">
        <f>HYPERLINK("Объекты недвижимости, не соответствующие градостроительным нормам_00-022_Август/8cae2a78-9c41-4200-81e3-863120ea6c2c.jpg","open")</f>
        <v/>
      </c>
      <c r="C4536" t="inlineStr">
        <is>
          <t>fce890a6-27da-4062-a046-08262a160ee6</t>
        </is>
      </c>
      <c r="D4536" t="n">
        <v>55.78245</v>
      </c>
      <c r="E4536" t="n">
        <v>37.6709</v>
      </c>
      <c r="F4536" t="inlineStr"/>
      <c r="G4536" t="inlineStr"/>
      <c r="H4536" t="inlineStr"/>
    </row>
    <row r="4537">
      <c r="A4537" t="inlineStr">
        <is>
          <t>e7d397fa-2e8a-453b-ad3e-ffe22fc29eec.jpg</t>
        </is>
      </c>
      <c r="B4537">
        <f>HYPERLINK("Объекты недвижимости, не соответствующие градостроительным нормам_00-022_Август/e7d397fa-2e8a-453b-ad3e-ffe22fc29eec.jpg","open")</f>
        <v/>
      </c>
      <c r="C4537" t="inlineStr">
        <is>
          <t>a1a9db89-3f74-42ef-8fad-ad69705102cd</t>
        </is>
      </c>
      <c r="D4537" t="n">
        <v>55.77016</v>
      </c>
      <c r="E4537" t="n">
        <v>37.64315</v>
      </c>
      <c r="F4537" t="inlineStr"/>
      <c r="G4537" t="inlineStr"/>
      <c r="H4537" t="inlineStr"/>
    </row>
    <row r="4538">
      <c r="A4538" t="inlineStr">
        <is>
          <t>271345c4-fd06-4f4c-bc8b-ed3ad25aaab1.jpg</t>
        </is>
      </c>
      <c r="B4538">
        <f>HYPERLINK("Объекты недвижимости, не соответствующие градостроительным нормам_00-022_Август/271345c4-fd06-4f4c-bc8b-ed3ad25aaab1.jpg","open")</f>
        <v/>
      </c>
      <c r="C4538" t="inlineStr">
        <is>
          <t>cbf95b01-f708-45a3-9ec0-3603469b538e</t>
        </is>
      </c>
      <c r="D4538" t="n">
        <v>55.77016</v>
      </c>
      <c r="E4538" t="n">
        <v>37.64315</v>
      </c>
      <c r="F4538" t="inlineStr"/>
      <c r="G4538" t="inlineStr"/>
      <c r="H4538" t="inlineStr"/>
    </row>
    <row r="4539">
      <c r="A4539" t="inlineStr">
        <is>
          <t>19035700-68bc-4ba0-80ba-c4fa1488b481.jpg</t>
        </is>
      </c>
      <c r="B4539">
        <f>HYPERLINK("Объекты недвижимости, не соответствующие градостроительным нормам_00-022_Август/19035700-68bc-4ba0-80ba-c4fa1488b481.jpg","open")</f>
        <v/>
      </c>
      <c r="C4539" t="inlineStr">
        <is>
          <t>036c664f-5408-4fd0-b479-342c00468eeb</t>
        </is>
      </c>
      <c r="D4539" t="n">
        <v>55.72034</v>
      </c>
      <c r="E4539" t="n">
        <v>37.42995</v>
      </c>
      <c r="F4539" t="inlineStr"/>
      <c r="G4539" t="inlineStr"/>
      <c r="H4539" t="inlineStr"/>
    </row>
    <row r="4540">
      <c r="A4540" t="inlineStr">
        <is>
          <t>8300371a-1f6b-4b3b-80b8-389295d6bb4e.jpg</t>
        </is>
      </c>
      <c r="B4540">
        <f>HYPERLINK("Объекты недвижимости, не соответствующие градостроительным нормам_00-022_Август/8300371a-1f6b-4b3b-80b8-389295d6bb4e.jpg","open")</f>
        <v/>
      </c>
      <c r="C4540" t="inlineStr">
        <is>
          <t>cbf95b01-f708-45a3-9ec0-3603469b538e</t>
        </is>
      </c>
      <c r="D4540" t="n">
        <v>55.77016</v>
      </c>
      <c r="E4540" t="n">
        <v>37.64315</v>
      </c>
      <c r="F4540" t="inlineStr"/>
      <c r="G4540" t="inlineStr"/>
      <c r="H4540" t="inlineStr"/>
    </row>
    <row r="4541">
      <c r="A4541" t="inlineStr">
        <is>
          <t>0430b703-964e-4bef-8406-ac61bf120984.jpg</t>
        </is>
      </c>
      <c r="B4541">
        <f>HYPERLINK("Объекты недвижимости, не соответствующие градостроительным нормам_00-022_Август/0430b703-964e-4bef-8406-ac61bf120984.jpg","open")</f>
        <v/>
      </c>
      <c r="C4541" t="inlineStr">
        <is>
          <t>6e2567a0-1fb9-40d5-a0e7-0adb480d2965</t>
        </is>
      </c>
      <c r="D4541" t="n">
        <v>55.80243</v>
      </c>
      <c r="E4541" t="n">
        <v>37.78671</v>
      </c>
      <c r="F4541" t="inlineStr"/>
      <c r="G4541" t="inlineStr"/>
      <c r="H4541" t="inlineStr"/>
    </row>
    <row r="4542">
      <c r="A4542" t="inlineStr">
        <is>
          <t>27ac5958-91a2-4d88-8b64-3abbd1e77fed.jpg</t>
        </is>
      </c>
      <c r="B4542">
        <f>HYPERLINK("Объекты недвижимости, не соответствующие градостроительным нормам_00-022_Август/27ac5958-91a2-4d88-8b64-3abbd1e77fed.jpg","open")</f>
        <v/>
      </c>
      <c r="C4542" t="inlineStr">
        <is>
          <t>cbf95b01-f708-45a3-9ec0-3603469b538e</t>
        </is>
      </c>
      <c r="D4542" t="n">
        <v>55.77016</v>
      </c>
      <c r="E4542" t="n">
        <v>37.64315</v>
      </c>
      <c r="F4542" t="inlineStr"/>
      <c r="G4542" t="inlineStr"/>
      <c r="H4542" t="inlineStr"/>
    </row>
    <row r="4543">
      <c r="A4543" t="inlineStr">
        <is>
          <t>b77ef505-e173-40ad-8e60-ba73b78f8575.jpg</t>
        </is>
      </c>
      <c r="B4543">
        <f>HYPERLINK("Объекты недвижимости, не соответствующие градостроительным нормам_00-022_Август/b77ef505-e173-40ad-8e60-ba73b78f8575.jpg","open")</f>
        <v/>
      </c>
      <c r="C4543" t="inlineStr">
        <is>
          <t>cbf95b01-f708-45a3-9ec0-3603469b538e</t>
        </is>
      </c>
      <c r="D4543" t="n">
        <v>55.77016</v>
      </c>
      <c r="E4543" t="n">
        <v>37.64315</v>
      </c>
      <c r="F4543" t="inlineStr"/>
      <c r="G4543" t="inlineStr"/>
      <c r="H4543" t="inlineStr"/>
    </row>
    <row r="4544">
      <c r="A4544" t="inlineStr">
        <is>
          <t>19d95297-e1c9-46eb-ad83-99205cb39aeb.jpg</t>
        </is>
      </c>
      <c r="B4544">
        <f>HYPERLINK("Объекты недвижимости, не соответствующие градостроительным нормам_00-022_Август/19d95297-e1c9-46eb-ad83-99205cb39aeb.jpg","open")</f>
        <v/>
      </c>
      <c r="C4544" t="inlineStr">
        <is>
          <t>cbf95b01-f708-45a3-9ec0-3603469b538e</t>
        </is>
      </c>
      <c r="D4544" t="n">
        <v>55.77016</v>
      </c>
      <c r="E4544" t="n">
        <v>37.64315</v>
      </c>
      <c r="F4544" t="inlineStr"/>
      <c r="G4544" t="inlineStr"/>
      <c r="H4544" t="inlineStr"/>
    </row>
    <row r="4545">
      <c r="A4545" t="inlineStr">
        <is>
          <t>dec2f042-39eb-4b3c-bcab-1efa7af657c2.jpg</t>
        </is>
      </c>
      <c r="B4545">
        <f>HYPERLINK("Объекты недвижимости, не соответствующие градостроительным нормам_00-022_Август/dec2f042-39eb-4b3c-bcab-1efa7af657c2.jpg","open")</f>
        <v/>
      </c>
      <c r="C4545" t="inlineStr">
        <is>
          <t>cbf95b01-f708-45a3-9ec0-3603469b538e</t>
        </is>
      </c>
      <c r="D4545" t="n">
        <v>55.77016</v>
      </c>
      <c r="E4545" t="n">
        <v>37.64315</v>
      </c>
      <c r="F4545" t="inlineStr"/>
      <c r="G4545" t="inlineStr"/>
      <c r="H4545" t="inlineStr"/>
    </row>
    <row r="4546">
      <c r="A4546" t="inlineStr">
        <is>
          <t>1e289e56-7647-4c12-ae1b-06e382ded1f2.jpg</t>
        </is>
      </c>
      <c r="B4546">
        <f>HYPERLINK("Объекты недвижимости, не соответствующие градостроительным нормам_00-022_Август/1e289e56-7647-4c12-ae1b-06e382ded1f2.jpg","open")</f>
        <v/>
      </c>
      <c r="C4546" t="inlineStr">
        <is>
          <t>1a55986c-2c3f-40c0-b3d1-014dce77832e</t>
        </is>
      </c>
      <c r="D4546" t="n">
        <v>55.71144</v>
      </c>
      <c r="E4546" t="n">
        <v>37.60991</v>
      </c>
      <c r="F4546" t="inlineStr"/>
      <c r="G4546" t="inlineStr"/>
      <c r="H4546" t="inlineStr"/>
    </row>
    <row r="4547">
      <c r="A4547" t="inlineStr">
        <is>
          <t>5c9470fe-5afe-4260-ac81-562567967a13.jpg</t>
        </is>
      </c>
      <c r="B4547">
        <f>HYPERLINK("Объекты недвижимости, не соответствующие градостроительным нормам_00-022_Август/5c9470fe-5afe-4260-ac81-562567967a13.jpg","open")</f>
        <v/>
      </c>
      <c r="C4547" t="inlineStr">
        <is>
          <t>cbf95b01-f708-45a3-9ec0-3603469b538e</t>
        </is>
      </c>
      <c r="D4547" t="n">
        <v>55.77016</v>
      </c>
      <c r="E4547" t="n">
        <v>37.64315</v>
      </c>
      <c r="F4547" t="inlineStr"/>
      <c r="G4547" t="inlineStr"/>
      <c r="H4547" t="inlineStr"/>
    </row>
    <row r="4548">
      <c r="A4548" t="inlineStr">
        <is>
          <t>9ba86641-cdf4-4f83-a46a-5972f5e3c58e.jpg</t>
        </is>
      </c>
      <c r="B4548">
        <f>HYPERLINK("Объекты недвижимости, не соответствующие градостроительным нормам_00-022_Август/9ba86641-cdf4-4f83-a46a-5972f5e3c58e.jpg","open")</f>
        <v/>
      </c>
      <c r="C4548" t="inlineStr">
        <is>
          <t>cbf95b01-f708-45a3-9ec0-3603469b538e</t>
        </is>
      </c>
      <c r="D4548" t="n">
        <v>55.77016</v>
      </c>
      <c r="E4548" t="n">
        <v>37.64315</v>
      </c>
      <c r="F4548" t="inlineStr"/>
      <c r="G4548" t="inlineStr"/>
      <c r="H4548" t="inlineStr"/>
    </row>
    <row r="4549">
      <c r="A4549" t="inlineStr">
        <is>
          <t>a44bc448-968d-4e52-a72e-58d90609f01c.jpg</t>
        </is>
      </c>
      <c r="B4549">
        <f>HYPERLINK("Объекты недвижимости, не соответствующие градостроительным нормам_00-022_Август/a44bc448-968d-4e52-a72e-58d90609f01c.jpg","open")</f>
        <v/>
      </c>
      <c r="C4549" t="inlineStr">
        <is>
          <t>cbf95b01-f708-45a3-9ec0-3603469b538e</t>
        </is>
      </c>
      <c r="D4549" t="n">
        <v>55.77016</v>
      </c>
      <c r="E4549" t="n">
        <v>37.64315</v>
      </c>
      <c r="F4549" t="inlineStr"/>
      <c r="G4549" t="inlineStr"/>
      <c r="H4549" t="inlineStr"/>
    </row>
    <row r="4550">
      <c r="A4550" t="inlineStr">
        <is>
          <t>63839db3-a6f9-43a0-a4bd-d861e38e8671.jpg</t>
        </is>
      </c>
      <c r="B4550">
        <f>HYPERLINK("Объекты недвижимости, не соответствующие градостроительным нормам_00-022_Август/63839db3-a6f9-43a0-a4bd-d861e38e8671.jpg","open")</f>
        <v/>
      </c>
      <c r="C4550" t="inlineStr">
        <is>
          <t>1a55986c-2c3f-40c0-b3d1-014dce77832e</t>
        </is>
      </c>
      <c r="D4550" t="n">
        <v>55.70867</v>
      </c>
      <c r="E4550" t="n">
        <v>37.60698</v>
      </c>
      <c r="F4550" t="inlineStr"/>
      <c r="G4550" t="inlineStr"/>
      <c r="H4550" t="inlineStr"/>
    </row>
    <row r="4551">
      <c r="A4551" t="inlineStr">
        <is>
          <t>5acf20b2-c268-474e-b7ea-29bb2fd30842.jpg</t>
        </is>
      </c>
      <c r="B4551">
        <f>HYPERLINK("Объекты недвижимости, не соответствующие градостроительным нормам_00-022_Август/5acf20b2-c268-474e-b7ea-29bb2fd30842.jpg","open")</f>
        <v/>
      </c>
      <c r="C4551" t="inlineStr">
        <is>
          <t>ed2bf0f1-3a66-4913-896e-4420a9796c0b</t>
        </is>
      </c>
      <c r="D4551" t="n">
        <v>55.70879</v>
      </c>
      <c r="E4551" t="n">
        <v>37.6069</v>
      </c>
      <c r="F4551" t="inlineStr"/>
      <c r="G4551" t="inlineStr"/>
      <c r="H4551" t="inlineStr"/>
    </row>
    <row r="4552">
      <c r="A4552" t="inlineStr">
        <is>
          <t>78102e2a-c4f6-4f6e-a49b-f584788d24fd.jpg</t>
        </is>
      </c>
      <c r="B4552">
        <f>HYPERLINK("Объекты недвижимости, не соответствующие градостроительным нормам_00-022_Август/78102e2a-c4f6-4f6e-a49b-f584788d24fd.jpg","open")</f>
        <v/>
      </c>
      <c r="C4552" t="inlineStr">
        <is>
          <t>cbf95b01-f708-45a3-9ec0-3603469b538e</t>
        </is>
      </c>
      <c r="D4552" t="n">
        <v>55.77016</v>
      </c>
      <c r="E4552" t="n">
        <v>37.64315</v>
      </c>
      <c r="F4552" t="inlineStr"/>
      <c r="G4552" t="inlineStr"/>
      <c r="H4552" t="inlineStr"/>
    </row>
    <row r="4553">
      <c r="A4553" t="inlineStr">
        <is>
          <t>16f44e77-e0ea-4327-9f22-3b80ea286c4a.jpg</t>
        </is>
      </c>
      <c r="B4553">
        <f>HYPERLINK("Объекты недвижимости, не соответствующие градостроительным нормам_00-022_Август/16f44e77-e0ea-4327-9f22-3b80ea286c4a.jpg","open")</f>
        <v/>
      </c>
      <c r="C4553" t="inlineStr">
        <is>
          <t>685d9054-b74f-49ab-857b-109fd2cec80d</t>
        </is>
      </c>
      <c r="D4553" t="n">
        <v>55.68031</v>
      </c>
      <c r="E4553" t="n">
        <v>37.60207</v>
      </c>
      <c r="F4553" t="inlineStr"/>
      <c r="G4553" t="inlineStr"/>
      <c r="H4553" t="inlineStr"/>
    </row>
    <row r="4554">
      <c r="A4554" t="inlineStr">
        <is>
          <t>96804c47-dd53-4d0b-9821-9a342df869ab.jpg</t>
        </is>
      </c>
      <c r="B4554">
        <f>HYPERLINK("Объекты недвижимости, не соответствующие градостроительным нормам_00-022_Август/96804c47-dd53-4d0b-9821-9a342df869ab.jpg","open")</f>
        <v/>
      </c>
      <c r="C4554" t="inlineStr">
        <is>
          <t>1231bbc5-e64c-4dc7-9acc-77710f47607a</t>
        </is>
      </c>
      <c r="D4554" t="n">
        <v>55.68039</v>
      </c>
      <c r="E4554" t="n">
        <v>37.60222</v>
      </c>
      <c r="F4554" t="inlineStr"/>
      <c r="G4554" t="inlineStr"/>
      <c r="H4554" t="inlineStr"/>
    </row>
    <row r="4555">
      <c r="A4555" t="inlineStr">
        <is>
          <t>646e1071-4be2-409c-8cf0-d11ddb7de2ff.jpg</t>
        </is>
      </c>
      <c r="B4555">
        <f>HYPERLINK("Объекты недвижимости, не соответствующие градостроительным нормам_00-022_Август/646e1071-4be2-409c-8cf0-d11ddb7de2ff.jpg","open")</f>
        <v/>
      </c>
      <c r="C4555" t="inlineStr">
        <is>
          <t>1231bbc5-e64c-4dc7-9acc-77710f47607a</t>
        </is>
      </c>
      <c r="D4555" t="n">
        <v>55.68003</v>
      </c>
      <c r="E4555" t="n">
        <v>37.60181</v>
      </c>
      <c r="F4555" t="inlineStr"/>
      <c r="G4555" t="inlineStr"/>
      <c r="H4555" t="inlineStr"/>
    </row>
    <row r="4556">
      <c r="A4556" t="inlineStr">
        <is>
          <t>b3c50ca3-2443-4423-921c-15ae11064144.jpg</t>
        </is>
      </c>
      <c r="B4556">
        <f>HYPERLINK("Объекты недвижимости, не соответствующие градостроительным нормам_00-022_Август/b3c50ca3-2443-4423-921c-15ae11064144.jpg","open")</f>
        <v/>
      </c>
      <c r="C4556" t="inlineStr">
        <is>
          <t>cbf95b01-f708-45a3-9ec0-3603469b538e</t>
        </is>
      </c>
      <c r="D4556" t="n">
        <v>55.77016</v>
      </c>
      <c r="E4556" t="n">
        <v>37.64315</v>
      </c>
      <c r="F4556" t="inlineStr"/>
      <c r="G4556" t="inlineStr"/>
      <c r="H4556" t="inlineStr"/>
    </row>
    <row r="4557">
      <c r="A4557" t="inlineStr">
        <is>
          <t>ab70f3bf-daa6-404c-a25c-f95a582f88d1.jpg</t>
        </is>
      </c>
      <c r="B4557">
        <f>HYPERLINK("Объекты недвижимости, не соответствующие градостроительным нормам_00-022_Август/ab70f3bf-daa6-404c-a25c-f95a582f88d1.jpg","open")</f>
        <v/>
      </c>
      <c r="C4557" t="inlineStr">
        <is>
          <t>1a55986c-2c3f-40c0-b3d1-014dce77832e</t>
        </is>
      </c>
      <c r="D4557" t="n">
        <v>55.71146</v>
      </c>
      <c r="E4557" t="n">
        <v>37.60879</v>
      </c>
      <c r="F4557" t="inlineStr"/>
      <c r="G4557" t="inlineStr"/>
      <c r="H4557" t="inlineStr"/>
    </row>
    <row r="4558">
      <c r="A4558" t="inlineStr">
        <is>
          <t>503fb1bb-ab7b-4664-a2bf-941acb35a017.jpg</t>
        </is>
      </c>
      <c r="B4558">
        <f>HYPERLINK("Объекты недвижимости, не соответствующие градостроительным нормам_00-022_Август/503fb1bb-ab7b-4664-a2bf-941acb35a017.jpg","open")</f>
        <v/>
      </c>
      <c r="C4558" t="inlineStr">
        <is>
          <t>1231bbc5-e64c-4dc7-9acc-77710f47607a</t>
        </is>
      </c>
      <c r="D4558" t="n">
        <v>55.67961</v>
      </c>
      <c r="E4558" t="n">
        <v>37.6024</v>
      </c>
      <c r="F4558" t="inlineStr"/>
      <c r="G4558" t="inlineStr"/>
      <c r="H4558" t="inlineStr"/>
    </row>
    <row r="4559">
      <c r="A4559" t="inlineStr">
        <is>
          <t>b5a1c46d-5c14-441e-8b30-315749d311f5.jpg</t>
        </is>
      </c>
      <c r="B4559">
        <f>HYPERLINK("Объекты недвижимости, не соответствующие градостроительным нормам_00-022_Август/b5a1c46d-5c14-441e-8b30-315749d311f5.jpg","open")</f>
        <v/>
      </c>
      <c r="C4559" t="inlineStr">
        <is>
          <t>685d9054-b74f-49ab-857b-109fd2cec80d</t>
        </is>
      </c>
      <c r="D4559" t="n">
        <v>55.67956</v>
      </c>
      <c r="E4559" t="n">
        <v>37.60246</v>
      </c>
      <c r="F4559" t="inlineStr"/>
      <c r="G4559" t="inlineStr"/>
      <c r="H4559" t="inlineStr"/>
    </row>
    <row r="4560">
      <c r="A4560" t="inlineStr">
        <is>
          <t>a1fa0238-9768-45cc-b903-5872acdee38a.jpg</t>
        </is>
      </c>
      <c r="B4560">
        <f>HYPERLINK("Объекты недвижимости, не соответствующие градостроительным нормам_00-022_Август/a1fa0238-9768-45cc-b903-5872acdee38a.jpg","open")</f>
        <v/>
      </c>
      <c r="C4560" t="inlineStr">
        <is>
          <t>685d9054-b74f-49ab-857b-109fd2cec80d</t>
        </is>
      </c>
      <c r="D4560" t="n">
        <v>55.67931</v>
      </c>
      <c r="E4560" t="n">
        <v>37.60269</v>
      </c>
      <c r="F4560" t="inlineStr"/>
      <c r="G4560" t="inlineStr"/>
      <c r="H4560" t="inlineStr"/>
    </row>
    <row r="4561">
      <c r="A4561" t="inlineStr">
        <is>
          <t>f099486e-7d6c-4e27-ad2c-63c99db97236.jpg</t>
        </is>
      </c>
      <c r="B4561">
        <f>HYPERLINK("Объекты недвижимости, не соответствующие градостроительным нормам_00-022_Август/f099486e-7d6c-4e27-ad2c-63c99db97236.jpg","open")</f>
        <v/>
      </c>
      <c r="C4561" t="inlineStr">
        <is>
          <t>036c664f-5408-4fd0-b479-342c00468eeb</t>
        </is>
      </c>
      <c r="D4561" t="n">
        <v>55.72038</v>
      </c>
      <c r="E4561" t="n">
        <v>37.42974</v>
      </c>
      <c r="F4561" t="inlineStr"/>
      <c r="G4561" t="inlineStr"/>
      <c r="H4561" t="inlineStr"/>
    </row>
    <row r="4562">
      <c r="A4562" t="inlineStr">
        <is>
          <t>155ba646-82b6-4ccf-8ef2-3cc565f805ae.jpg</t>
        </is>
      </c>
      <c r="B4562">
        <f>HYPERLINK("Объекты недвижимости, не соответствующие градостроительным нормам_00-022_Август/155ba646-82b6-4ccf-8ef2-3cc565f805ae.jpg","open")</f>
        <v/>
      </c>
      <c r="C4562" t="inlineStr">
        <is>
          <t>036c664f-5408-4fd0-b479-342c00468eeb</t>
        </is>
      </c>
      <c r="D4562" t="n">
        <v>55.7204</v>
      </c>
      <c r="E4562" t="n">
        <v>37.43002</v>
      </c>
      <c r="F4562" t="inlineStr"/>
      <c r="G4562" t="inlineStr"/>
      <c r="H4562" t="inlineStr"/>
    </row>
    <row r="4563">
      <c r="A4563" t="inlineStr">
        <is>
          <t>f6ad5084-fcde-408c-9761-8f017035b6c9.jpg</t>
        </is>
      </c>
      <c r="B4563">
        <f>HYPERLINK("Объекты недвижимости, не соответствующие градостроительным нормам_00-022_Август/f6ad5084-fcde-408c-9761-8f017035b6c9.jpg","open")</f>
        <v/>
      </c>
      <c r="C4563" t="inlineStr">
        <is>
          <t>1a55986c-2c3f-40c0-b3d1-014dce77832e</t>
        </is>
      </c>
      <c r="D4563" t="n">
        <v>55.70844</v>
      </c>
      <c r="E4563" t="n">
        <v>37.61063</v>
      </c>
      <c r="F4563" t="inlineStr"/>
      <c r="G4563" t="inlineStr"/>
      <c r="H4563" t="inlineStr"/>
    </row>
    <row r="4564">
      <c r="A4564" t="inlineStr">
        <is>
          <t>189c5187-3586-4658-add9-2cd16ea38f54.jpg</t>
        </is>
      </c>
      <c r="B4564">
        <f>HYPERLINK("Объекты недвижимости, не соответствующие градостроительным нормам_00-022_Август/189c5187-3586-4658-add9-2cd16ea38f54.jpg","open")</f>
        <v/>
      </c>
      <c r="C4564" t="inlineStr">
        <is>
          <t>ed2bf0f1-3a66-4913-896e-4420a9796c0b</t>
        </is>
      </c>
      <c r="D4564" t="n">
        <v>55.70836</v>
      </c>
      <c r="E4564" t="n">
        <v>37.61057</v>
      </c>
      <c r="F4564" t="inlineStr"/>
      <c r="G4564" t="inlineStr"/>
      <c r="H4564" t="inlineStr"/>
    </row>
    <row r="4565">
      <c r="A4565" t="inlineStr">
        <is>
          <t>60bed717-1e38-4a1a-9de9-c7cbf4c25cd0.jpg</t>
        </is>
      </c>
      <c r="B4565">
        <f>HYPERLINK("Объекты недвижимости, не соответствующие градостроительным нормам_00-022_Август/60bed717-1e38-4a1a-9de9-c7cbf4c25cd0.jpg","open")</f>
        <v/>
      </c>
      <c r="C4565" t="inlineStr">
        <is>
          <t>a1a9db89-3f74-42ef-8fad-ad69705102cd</t>
        </is>
      </c>
      <c r="D4565" t="n">
        <v>55.77016</v>
      </c>
      <c r="E4565" t="n">
        <v>37.64315</v>
      </c>
      <c r="F4565" t="inlineStr"/>
      <c r="G4565" t="inlineStr"/>
      <c r="H4565" t="inlineStr"/>
    </row>
    <row r="4566">
      <c r="A4566" t="inlineStr">
        <is>
          <t>ec182c26-9539-4c43-8451-b2860c606b58.jpg</t>
        </is>
      </c>
      <c r="B4566">
        <f>HYPERLINK("Объекты недвижимости, не соответствующие градостроительным нормам_00-022_Август/ec182c26-9539-4c43-8451-b2860c606b58.jpg","open")</f>
        <v/>
      </c>
      <c r="C4566" t="inlineStr">
        <is>
          <t>cbf95b01-f708-45a3-9ec0-3603469b538e</t>
        </is>
      </c>
      <c r="D4566" t="n">
        <v>55.77016</v>
      </c>
      <c r="E4566" t="n">
        <v>37.64315</v>
      </c>
      <c r="F4566" t="inlineStr"/>
      <c r="G4566" t="inlineStr"/>
      <c r="H4566" t="inlineStr"/>
    </row>
    <row r="4567">
      <c r="A4567" t="inlineStr">
        <is>
          <t>4160ae78-94ba-452d-98dc-439828a66451.jpg</t>
        </is>
      </c>
      <c r="B4567">
        <f>HYPERLINK("Объекты недвижимости, не соответствующие градостроительным нормам_00-022_Август/4160ae78-94ba-452d-98dc-439828a66451.jpg","open")</f>
        <v/>
      </c>
      <c r="C4567" t="inlineStr">
        <is>
          <t>cbf95b01-f708-45a3-9ec0-3603469b538e</t>
        </is>
      </c>
      <c r="D4567" t="n">
        <v>55.77016</v>
      </c>
      <c r="E4567" t="n">
        <v>37.64315</v>
      </c>
      <c r="F4567" t="inlineStr"/>
      <c r="G4567" t="inlineStr"/>
      <c r="H4567" t="inlineStr"/>
    </row>
    <row r="4568">
      <c r="A4568" t="inlineStr">
        <is>
          <t>8fc73b22-aec0-4759-b19b-a694c59e17aa.jpg</t>
        </is>
      </c>
      <c r="B4568">
        <f>HYPERLINK("Объекты недвижимости, не соответствующие градостроительным нормам_00-022_Август/8fc73b22-aec0-4759-b19b-a694c59e17aa.jpg","open")</f>
        <v/>
      </c>
      <c r="C4568" t="inlineStr">
        <is>
          <t>a1a9db89-3f74-42ef-8fad-ad69705102cd</t>
        </is>
      </c>
      <c r="D4568" t="n">
        <v>55.77016</v>
      </c>
      <c r="E4568" t="n">
        <v>37.64315</v>
      </c>
      <c r="F4568" t="inlineStr"/>
      <c r="G4568" t="inlineStr"/>
      <c r="H4568" t="inlineStr"/>
    </row>
    <row r="4569">
      <c r="A4569" t="inlineStr">
        <is>
          <t>2e0dcdf5-0ce3-4995-9b94-af9ea972f5ac.jpg</t>
        </is>
      </c>
      <c r="B4569">
        <f>HYPERLINK("Объекты недвижимости, не соответствующие градостроительным нормам_00-022_Август/2e0dcdf5-0ce3-4995-9b94-af9ea972f5ac.jpg","open")</f>
        <v/>
      </c>
      <c r="C4569" t="inlineStr">
        <is>
          <t>cbf95b01-f708-45a3-9ec0-3603469b538e</t>
        </is>
      </c>
      <c r="D4569" t="n">
        <v>55.77016</v>
      </c>
      <c r="E4569" t="n">
        <v>37.64315</v>
      </c>
      <c r="F4569" t="inlineStr"/>
      <c r="G4569" t="inlineStr"/>
      <c r="H4569" t="inlineStr"/>
    </row>
    <row r="4570">
      <c r="A4570" t="inlineStr">
        <is>
          <t>6fb5c5d4-4d82-4c78-a8e1-353961a51770.jpg</t>
        </is>
      </c>
      <c r="B4570">
        <f>HYPERLINK("Объекты недвижимости, не соответствующие градостроительным нормам_00-022_Август/6fb5c5d4-4d82-4c78-a8e1-353961a51770.jpg","open")</f>
        <v/>
      </c>
      <c r="C4570" t="inlineStr">
        <is>
          <t>a1a9db89-3f74-42ef-8fad-ad69705102cd</t>
        </is>
      </c>
      <c r="D4570" t="n">
        <v>55.77016</v>
      </c>
      <c r="E4570" t="n">
        <v>37.64315</v>
      </c>
      <c r="F4570" t="inlineStr"/>
      <c r="G4570" t="inlineStr"/>
      <c r="H4570" t="inlineStr"/>
    </row>
    <row r="4571">
      <c r="A4571" t="inlineStr">
        <is>
          <t>210ff310-91cc-4853-92b2-8f6b7ba84e8f.jpg</t>
        </is>
      </c>
      <c r="B4571">
        <f>HYPERLINK("Объекты недвижимости, не соответствующие градостроительным нормам_00-022_Август/210ff310-91cc-4853-92b2-8f6b7ba84e8f.jpg","open")</f>
        <v/>
      </c>
      <c r="C4571" t="inlineStr">
        <is>
          <t>cbf95b01-f708-45a3-9ec0-3603469b538e</t>
        </is>
      </c>
      <c r="D4571" t="n">
        <v>55.77016</v>
      </c>
      <c r="E4571" t="n">
        <v>37.64315</v>
      </c>
      <c r="F4571" t="inlineStr"/>
      <c r="G4571" t="inlineStr"/>
      <c r="H4571" t="inlineStr"/>
    </row>
    <row r="4572">
      <c r="A4572" t="inlineStr">
        <is>
          <t>7961543b-dcbb-476a-85d0-ba947b982e58.jpg</t>
        </is>
      </c>
      <c r="B4572">
        <f>HYPERLINK("Объекты недвижимости, не соответствующие градостроительным нормам_00-022_Август/7961543b-dcbb-476a-85d0-ba947b982e58.jpg","open")</f>
        <v/>
      </c>
      <c r="C4572" t="inlineStr">
        <is>
          <t>ed2bf0f1-3a66-4913-896e-4420a9796c0b</t>
        </is>
      </c>
      <c r="D4572" t="n">
        <v>55.70805</v>
      </c>
      <c r="E4572" t="n">
        <v>37.61633</v>
      </c>
      <c r="F4572" t="inlineStr"/>
      <c r="G4572" t="inlineStr"/>
      <c r="H4572" t="inlineStr"/>
    </row>
    <row r="4573">
      <c r="A4573" t="inlineStr">
        <is>
          <t>89ec4f94-fb96-402d-b8bc-8291164939bc.jpg</t>
        </is>
      </c>
      <c r="B4573">
        <f>HYPERLINK("Объекты недвижимости, не соответствующие градостроительным нормам_00-022_Август/89ec4f94-fb96-402d-b8bc-8291164939bc.jpg","open")</f>
        <v/>
      </c>
      <c r="C4573" t="inlineStr">
        <is>
          <t>1a55986c-2c3f-40c0-b3d1-014dce77832e</t>
        </is>
      </c>
      <c r="D4573" t="n">
        <v>55.70799</v>
      </c>
      <c r="E4573" t="n">
        <v>37.61804</v>
      </c>
      <c r="F4573" t="inlineStr"/>
      <c r="G4573" t="inlineStr"/>
      <c r="H4573" t="inlineStr"/>
    </row>
    <row r="4574">
      <c r="A4574" t="inlineStr">
        <is>
          <t>5adecb1a-4241-4df2-b08b-aa57fea09a7d.jpg</t>
        </is>
      </c>
      <c r="B4574">
        <f>HYPERLINK("Объекты недвижимости, не соответствующие градостроительным нормам_00-022_Август/5adecb1a-4241-4df2-b08b-aa57fea09a7d.jpg","open")</f>
        <v/>
      </c>
      <c r="C4574" t="inlineStr">
        <is>
          <t>1231bbc5-e64c-4dc7-9acc-77710f47607a</t>
        </is>
      </c>
      <c r="D4574" t="n">
        <v>55.67952</v>
      </c>
      <c r="E4574" t="n">
        <v>37.60204</v>
      </c>
      <c r="F4574" t="inlineStr"/>
      <c r="G4574" t="inlineStr"/>
      <c r="H4574" t="inlineStr"/>
    </row>
    <row r="4575">
      <c r="A4575" t="inlineStr">
        <is>
          <t>47626996-1689-4163-8bd7-656c46f3e672.jpg</t>
        </is>
      </c>
      <c r="B4575">
        <f>HYPERLINK("Объекты недвижимости, не соответствующие градостроительным нормам_00-022_Август/47626996-1689-4163-8bd7-656c46f3e672.jpg","open")</f>
        <v/>
      </c>
      <c r="C4575" t="inlineStr">
        <is>
          <t>685d9054-b74f-49ab-857b-109fd2cec80d</t>
        </is>
      </c>
      <c r="D4575" t="n">
        <v>55.67957</v>
      </c>
      <c r="E4575" t="n">
        <v>37.60199</v>
      </c>
      <c r="F4575" t="inlineStr"/>
      <c r="G4575" t="inlineStr"/>
      <c r="H4575" t="inlineStr"/>
    </row>
    <row r="4576">
      <c r="A4576" t="inlineStr">
        <is>
          <t>6967dbf7-b70f-4387-bfd1-9958b8a68545.jpg</t>
        </is>
      </c>
      <c r="B4576">
        <f>HYPERLINK("Объекты недвижимости, не соответствующие градостроительным нормам_00-022_Август/6967dbf7-b70f-4387-bfd1-9958b8a68545.jpg","open")</f>
        <v/>
      </c>
      <c r="C4576" t="inlineStr">
        <is>
          <t>1231bbc5-e64c-4dc7-9acc-77710f47607a</t>
        </is>
      </c>
      <c r="D4576" t="n">
        <v>55.68035</v>
      </c>
      <c r="E4576" t="n">
        <v>37.6022</v>
      </c>
      <c r="F4576" t="inlineStr"/>
      <c r="G4576" t="inlineStr"/>
      <c r="H4576" t="inlineStr"/>
    </row>
    <row r="4577">
      <c r="A4577" t="inlineStr">
        <is>
          <t>2a0773aa-bd34-44fb-9604-995404dd4640.jpg</t>
        </is>
      </c>
      <c r="B4577">
        <f>HYPERLINK("Объекты недвижимости, не соответствующие градостроительным нормам_00-022_Август/2a0773aa-bd34-44fb-9604-995404dd4640.jpg","open")</f>
        <v/>
      </c>
      <c r="C4577" t="inlineStr">
        <is>
          <t>1231bbc5-e64c-4dc7-9acc-77710f47607a</t>
        </is>
      </c>
      <c r="D4577" t="n">
        <v>55.67909</v>
      </c>
      <c r="E4577" t="n">
        <v>37.60418</v>
      </c>
      <c r="F4577" t="inlineStr"/>
      <c r="G4577" t="inlineStr"/>
      <c r="H4577" t="inlineStr"/>
    </row>
    <row r="4578">
      <c r="A4578" t="inlineStr">
        <is>
          <t>3b8a4bc8-e492-4300-bad3-ba49de31847c.jpg</t>
        </is>
      </c>
      <c r="B4578">
        <f>HYPERLINK("Объекты недвижимости, не соответствующие градостроительным нормам_00-022_Август/3b8a4bc8-e492-4300-bad3-ba49de31847c.jpg","open")</f>
        <v/>
      </c>
      <c r="C4578" t="inlineStr">
        <is>
          <t>1a55986c-2c3f-40c0-b3d1-014dce77832e</t>
        </is>
      </c>
      <c r="D4578" t="n">
        <v>55.70834</v>
      </c>
      <c r="E4578" t="n">
        <v>37.61063</v>
      </c>
      <c r="F4578" t="inlineStr"/>
      <c r="G4578" t="inlineStr"/>
      <c r="H4578" t="inlineStr"/>
    </row>
    <row r="4579">
      <c r="A4579" t="inlineStr">
        <is>
          <t>8651c4ca-fe84-43fb-be18-dd827eed8981.jpg</t>
        </is>
      </c>
      <c r="B4579">
        <f>HYPERLINK("Объекты недвижимости, не соответствующие градостроительным нормам_00-022_Август/8651c4ca-fe84-43fb-be18-dd827eed8981.jpg","open")</f>
        <v/>
      </c>
      <c r="C4579" t="inlineStr">
        <is>
          <t>ed2bf0f1-3a66-4913-896e-4420a9796c0b</t>
        </is>
      </c>
      <c r="D4579" t="n">
        <v>55.70701</v>
      </c>
      <c r="E4579" t="n">
        <v>37.6105</v>
      </c>
      <c r="F4579" t="inlineStr"/>
      <c r="G4579" t="inlineStr"/>
      <c r="H4579" t="inlineStr"/>
    </row>
    <row r="4580">
      <c r="A4580" t="inlineStr">
        <is>
          <t>cdf6502c-72a4-4445-9110-fccb6ed6506f.jpg</t>
        </is>
      </c>
      <c r="B4580">
        <f>HYPERLINK("Объекты недвижимости, не соответствующие градостроительным нормам_00-022_Август/cdf6502c-72a4-4445-9110-fccb6ed6506f.jpg","open")</f>
        <v/>
      </c>
      <c r="C4580" t="inlineStr">
        <is>
          <t>cbf95b01-f708-45a3-9ec0-3603469b538e</t>
        </is>
      </c>
      <c r="D4580" t="n">
        <v>55.77016</v>
      </c>
      <c r="E4580" t="n">
        <v>37.64315</v>
      </c>
      <c r="F4580" t="inlineStr"/>
      <c r="G4580" t="inlineStr"/>
      <c r="H4580" t="inlineStr"/>
    </row>
    <row r="4581">
      <c r="A4581" t="inlineStr">
        <is>
          <t>607eb0bd-562e-4fdd-9321-cdf8c050f5c8.jpg</t>
        </is>
      </c>
      <c r="B4581">
        <f>HYPERLINK("Объекты недвижимости, не соответствующие градостроительным нормам_00-022_Август/607eb0bd-562e-4fdd-9321-cdf8c050f5c8.jpg","open")</f>
        <v/>
      </c>
      <c r="C4581" t="inlineStr">
        <is>
          <t>1a55986c-2c3f-40c0-b3d1-014dce77832e</t>
        </is>
      </c>
      <c r="D4581" t="n">
        <v>55.70601</v>
      </c>
      <c r="E4581" t="n">
        <v>37.61072</v>
      </c>
      <c r="F4581" t="inlineStr"/>
      <c r="G4581" t="inlineStr"/>
      <c r="H4581" t="inlineStr"/>
    </row>
    <row r="4582">
      <c r="A4582" t="inlineStr">
        <is>
          <t>cc73ba42-6634-4a93-b678-0126ccd2c3d3.jpg</t>
        </is>
      </c>
      <c r="B4582">
        <f>HYPERLINK("Объекты недвижимости, не соответствующие градостроительным нормам_00-022_Август/cc73ba42-6634-4a93-b678-0126ccd2c3d3.jpg","open")</f>
        <v/>
      </c>
      <c r="C4582" t="inlineStr">
        <is>
          <t>99f3abba-c55b-49f0-9de5-9f88e9597cc0</t>
        </is>
      </c>
      <c r="D4582" t="n">
        <v>55.67601</v>
      </c>
      <c r="E4582" t="n">
        <v>37.62727</v>
      </c>
      <c r="F4582" t="inlineStr"/>
      <c r="G4582" t="inlineStr"/>
      <c r="H4582" t="inlineStr"/>
    </row>
    <row r="4583">
      <c r="A4583" t="inlineStr">
        <is>
          <t>05f1136c-7dc3-47e5-b2e8-78c41fa21071.jpg</t>
        </is>
      </c>
      <c r="B4583">
        <f>HYPERLINK("Объекты недвижимости, не соответствующие градостроительным нормам_00-022_Август/05f1136c-7dc3-47e5-b2e8-78c41fa21071.jpg","open")</f>
        <v/>
      </c>
      <c r="C4583" t="inlineStr">
        <is>
          <t>cbf95b01-f708-45a3-9ec0-3603469b538e</t>
        </is>
      </c>
      <c r="D4583" t="n">
        <v>55.77016</v>
      </c>
      <c r="E4583" t="n">
        <v>37.64315</v>
      </c>
      <c r="F4583" t="inlineStr"/>
      <c r="G4583" t="inlineStr"/>
      <c r="H4583" t="inlineStr"/>
    </row>
    <row r="4584">
      <c r="A4584" t="inlineStr">
        <is>
          <t>ce433671-863d-4cb8-8acf-cba9be4e0ecb.jpg</t>
        </is>
      </c>
      <c r="B4584">
        <f>HYPERLINK("Объекты недвижимости, не соответствующие градостроительным нормам_00-022_Август/ce433671-863d-4cb8-8acf-cba9be4e0ecb.jpg","open")</f>
        <v/>
      </c>
      <c r="C4584" t="inlineStr">
        <is>
          <t>1a55986c-2c3f-40c0-b3d1-014dce77832e</t>
        </is>
      </c>
      <c r="D4584" t="n">
        <v>55.70344</v>
      </c>
      <c r="E4584" t="n">
        <v>37.61312</v>
      </c>
      <c r="F4584" t="inlineStr"/>
      <c r="G4584" t="inlineStr"/>
      <c r="H4584" t="inlineStr"/>
    </row>
    <row r="4585">
      <c r="A4585" t="inlineStr">
        <is>
          <t>e4b0cc49-3048-45ad-8594-a81b424156dd.jpg</t>
        </is>
      </c>
      <c r="B4585">
        <f>HYPERLINK("Объекты недвижимости, не соответствующие градостроительным нормам_00-022_Август/e4b0cc49-3048-45ad-8594-a81b424156dd.jpg","open")</f>
        <v/>
      </c>
      <c r="C4585" t="inlineStr">
        <is>
          <t>57aae8a4-582b-4309-8045-c8127a9f86ae</t>
        </is>
      </c>
      <c r="D4585" t="n">
        <v>55.7896</v>
      </c>
      <c r="E4585" t="n">
        <v>37.79406</v>
      </c>
      <c r="F4585" t="inlineStr"/>
      <c r="G4585" t="inlineStr"/>
      <c r="H4585" t="inlineStr"/>
    </row>
    <row r="4586">
      <c r="A4586" t="inlineStr">
        <is>
          <t>8dfc7030-105a-47e9-9fbe-30468f15464d.jpg</t>
        </is>
      </c>
      <c r="B4586">
        <f>HYPERLINK("Объекты недвижимости, не соответствующие градостроительным нормам_00-022_Август/8dfc7030-105a-47e9-9fbe-30468f15464d.jpg","open")</f>
        <v/>
      </c>
      <c r="C4586" t="inlineStr">
        <is>
          <t>b0429a31-0c70-4b9f-8ea5-73929d82f89e</t>
        </is>
      </c>
      <c r="D4586" t="n">
        <v>55.6772</v>
      </c>
      <c r="E4586" t="n">
        <v>37.6307</v>
      </c>
      <c r="F4586" t="inlineStr"/>
      <c r="G4586" t="inlineStr"/>
      <c r="H4586" t="inlineStr"/>
    </row>
    <row r="4587">
      <c r="A4587" t="inlineStr">
        <is>
          <t>629266bc-24de-4701-bd81-251499dbbce0.jpg</t>
        </is>
      </c>
      <c r="B4587">
        <f>HYPERLINK("Объекты недвижимости, не соответствующие градостроительным нормам_00-022_Август/629266bc-24de-4701-bd81-251499dbbce0.jpg","open")</f>
        <v/>
      </c>
      <c r="C4587" t="inlineStr">
        <is>
          <t>57812597-37e6-414c-8b11-8c661dbfeb70</t>
        </is>
      </c>
      <c r="D4587" t="n">
        <v>55.80431</v>
      </c>
      <c r="E4587" t="n">
        <v>37.23232</v>
      </c>
      <c r="F4587" t="inlineStr"/>
      <c r="G4587" t="inlineStr"/>
      <c r="H4587" t="inlineStr"/>
    </row>
    <row r="4588">
      <c r="A4588" t="inlineStr">
        <is>
          <t>bf2306ef-7a3f-4330-ab72-9c94a45c5808.jpg</t>
        </is>
      </c>
      <c r="B4588">
        <f>HYPERLINK("Объекты недвижимости, не соответствующие градостроительным нормам_00-022_Август/bf2306ef-7a3f-4330-ab72-9c94a45c5808.jpg","open")</f>
        <v/>
      </c>
      <c r="C4588" t="inlineStr">
        <is>
          <t>f20fbc2b-b369-4734-bb66-92af02fbb0d1</t>
        </is>
      </c>
      <c r="D4588" t="n">
        <v>55.6779</v>
      </c>
      <c r="E4588" t="n">
        <v>37.75864</v>
      </c>
      <c r="F4588" t="inlineStr"/>
      <c r="G4588" t="inlineStr"/>
      <c r="H4588" t="inlineStr"/>
    </row>
    <row r="4589">
      <c r="A4589" t="inlineStr">
        <is>
          <t>2e9bc23a-9b64-4251-81ea-2cd2a81fb14b.jpg</t>
        </is>
      </c>
      <c r="B4589">
        <f>HYPERLINK("Объекты недвижимости, не соответствующие градостроительным нормам_00-022_Август/2e9bc23a-9b64-4251-81ea-2cd2a81fb14b.jpg","open")</f>
        <v/>
      </c>
      <c r="C4589" t="inlineStr">
        <is>
          <t>99f3abba-c55b-49f0-9de5-9f88e9597cc0</t>
        </is>
      </c>
      <c r="D4589" t="n">
        <v>55.67763</v>
      </c>
      <c r="E4589" t="n">
        <v>37.63</v>
      </c>
      <c r="F4589" t="inlineStr"/>
      <c r="G4589" t="inlineStr"/>
      <c r="H4589" t="inlineStr"/>
    </row>
    <row r="4590">
      <c r="A4590" t="inlineStr">
        <is>
          <t>aa048c24-dcb5-40d3-8992-103ec2c0d954.jpg</t>
        </is>
      </c>
      <c r="B4590">
        <f>HYPERLINK("Объекты недвижимости, не соответствующие градостроительным нормам_00-022_Август/aa048c24-dcb5-40d3-8992-103ec2c0d954.jpg","open")</f>
        <v/>
      </c>
      <c r="C4590" t="inlineStr">
        <is>
          <t>789f6c51-64ee-4078-b7bd-443af8b8b68a</t>
        </is>
      </c>
      <c r="D4590" t="n">
        <v>55.87643</v>
      </c>
      <c r="E4590" t="n">
        <v>37.72474</v>
      </c>
      <c r="F4590" t="inlineStr"/>
      <c r="G4590" t="inlineStr"/>
      <c r="H4590" t="inlineStr"/>
    </row>
    <row r="4591">
      <c r="A4591" t="inlineStr">
        <is>
          <t>51299c8d-cc92-41e8-a63a-7677e7f62abc.jpg</t>
        </is>
      </c>
      <c r="B4591">
        <f>HYPERLINK("Объекты недвижимости, не соответствующие градостроительным нормам_00-022_Август/51299c8d-cc92-41e8-a63a-7677e7f62abc.jpg","open")</f>
        <v/>
      </c>
      <c r="C4591" t="inlineStr">
        <is>
          <t>29ad9edb-d533-4272-a986-be24eb004851</t>
        </is>
      </c>
      <c r="D4591" t="n">
        <v>55.74994</v>
      </c>
      <c r="E4591" t="n">
        <v>37.65895</v>
      </c>
      <c r="F4591" t="inlineStr"/>
      <c r="G4591" t="inlineStr"/>
      <c r="H4591" t="inlineStr"/>
    </row>
    <row r="4592">
      <c r="A4592" t="inlineStr">
        <is>
          <t>b5dca90a-d564-419e-8bd9-2009065b0f9e.jpg</t>
        </is>
      </c>
      <c r="B4592">
        <f>HYPERLINK("Объекты недвижимости, не соответствующие градостроительным нормам_00-022_Август/b5dca90a-d564-419e-8bd9-2009065b0f9e.jpg","open")</f>
        <v/>
      </c>
      <c r="C4592" t="inlineStr">
        <is>
          <t>cbf95b01-f708-45a3-9ec0-3603469b538e</t>
        </is>
      </c>
      <c r="D4592" t="n">
        <v>55.77016</v>
      </c>
      <c r="E4592" t="n">
        <v>37.64315</v>
      </c>
      <c r="F4592" t="inlineStr"/>
      <c r="G4592" t="inlineStr"/>
      <c r="H4592" t="inlineStr"/>
    </row>
    <row r="4593">
      <c r="A4593" t="inlineStr">
        <is>
          <t>7b7e3f4a-a784-4eba-9d27-365d78fa5246.jpg</t>
        </is>
      </c>
      <c r="B4593">
        <f>HYPERLINK("Объекты недвижимости, не соответствующие градостроительным нормам_00-022_Август/7b7e3f4a-a784-4eba-9d27-365d78fa5246.jpg","open")</f>
        <v/>
      </c>
      <c r="C4593" t="inlineStr">
        <is>
          <t>cbf95b01-f708-45a3-9ec0-3603469b538e</t>
        </is>
      </c>
      <c r="D4593" t="n">
        <v>55.77016</v>
      </c>
      <c r="E4593" t="n">
        <v>37.64315</v>
      </c>
      <c r="F4593" t="inlineStr"/>
      <c r="G4593" t="inlineStr"/>
      <c r="H4593" t="inlineStr"/>
    </row>
    <row r="4594">
      <c r="A4594" t="inlineStr">
        <is>
          <t>e758ab1a-54ef-4ade-be91-1be290adf12b.jpg</t>
        </is>
      </c>
      <c r="B4594">
        <f>HYPERLINK("Объекты недвижимости, не соответствующие градостроительным нормам_00-022_Август/e758ab1a-54ef-4ade-be91-1be290adf12b.jpg","open")</f>
        <v/>
      </c>
      <c r="C4594" t="inlineStr">
        <is>
          <t>cbf95b01-f708-45a3-9ec0-3603469b538e</t>
        </is>
      </c>
      <c r="D4594" t="n">
        <v>55.77016</v>
      </c>
      <c r="E4594" t="n">
        <v>37.64315</v>
      </c>
      <c r="F4594" t="inlineStr"/>
      <c r="G4594" t="inlineStr"/>
      <c r="H4594" t="inlineStr"/>
    </row>
    <row r="4595">
      <c r="A4595" t="inlineStr">
        <is>
          <t>f88b4bfc-ee05-4fc5-b61e-2b7ac8d7fcc9.jpg</t>
        </is>
      </c>
      <c r="B4595">
        <f>HYPERLINK("Объекты недвижимости, не соответствующие градостроительным нормам_00-022_Август/f88b4bfc-ee05-4fc5-b61e-2b7ac8d7fcc9.jpg","open")</f>
        <v/>
      </c>
      <c r="C4595" t="inlineStr">
        <is>
          <t>a1a9db89-3f74-42ef-8fad-ad69705102cd</t>
        </is>
      </c>
      <c r="D4595" t="n">
        <v>55.77016</v>
      </c>
      <c r="E4595" t="n">
        <v>37.64315</v>
      </c>
      <c r="F4595" t="inlineStr"/>
      <c r="G4595" t="inlineStr"/>
      <c r="H4595" t="inlineStr"/>
    </row>
    <row r="4596">
      <c r="A4596" t="inlineStr">
        <is>
          <t>43a88058-971b-45bb-9d25-fd5a68d6020b.jpg</t>
        </is>
      </c>
      <c r="B4596">
        <f>HYPERLINK("Объекты недвижимости, не соответствующие градостроительным нормам_00-022_Август/43a88058-971b-45bb-9d25-fd5a68d6020b.jpg","open")</f>
        <v/>
      </c>
      <c r="C4596" t="inlineStr">
        <is>
          <t>cbf95b01-f708-45a3-9ec0-3603469b538e</t>
        </is>
      </c>
      <c r="D4596" t="n">
        <v>55.77016</v>
      </c>
      <c r="E4596" t="n">
        <v>37.64315</v>
      </c>
      <c r="F4596" t="inlineStr"/>
      <c r="G4596" t="inlineStr"/>
      <c r="H4596" t="inlineStr"/>
    </row>
    <row r="4597">
      <c r="A4597" t="inlineStr">
        <is>
          <t>df76e9f1-3c40-4af8-a3cb-0f7a7d812e73.jpg</t>
        </is>
      </c>
      <c r="B4597">
        <f>HYPERLINK("Объекты недвижимости, не соответствующие градостроительным нормам_00-022_Август/df76e9f1-3c40-4af8-a3cb-0f7a7d812e73.jpg","open")</f>
        <v/>
      </c>
      <c r="C4597" t="inlineStr">
        <is>
          <t>29ad9edb-d533-4272-a986-be24eb004851</t>
        </is>
      </c>
      <c r="D4597" t="n">
        <v>55.74994</v>
      </c>
      <c r="E4597" t="n">
        <v>37.65895</v>
      </c>
      <c r="F4597" t="inlineStr"/>
      <c r="G4597" t="inlineStr"/>
      <c r="H4597" t="inlineStr"/>
    </row>
    <row r="4598">
      <c r="A4598" t="inlineStr">
        <is>
          <t>0ee3a90d-acc1-4e80-a24b-5f7b9af180ab.jpg</t>
        </is>
      </c>
      <c r="B4598">
        <f>HYPERLINK("Объекты недвижимости, не соответствующие градостроительным нормам_00-022_Август/0ee3a90d-acc1-4e80-a24b-5f7b9af180ab.jpg","open")</f>
        <v/>
      </c>
      <c r="C4598" t="inlineStr">
        <is>
          <t>cbf95b01-f708-45a3-9ec0-3603469b538e</t>
        </is>
      </c>
      <c r="D4598" t="n">
        <v>55.77016</v>
      </c>
      <c r="E4598" t="n">
        <v>37.64315</v>
      </c>
      <c r="F4598" t="inlineStr"/>
      <c r="G4598" t="inlineStr"/>
      <c r="H4598" t="inlineStr"/>
    </row>
    <row r="4599">
      <c r="A4599" t="inlineStr">
        <is>
          <t>84a455ab-417c-4631-afbd-d33235c78593.jpg</t>
        </is>
      </c>
      <c r="B4599">
        <f>HYPERLINK("Объекты недвижимости, не соответствующие градостроительным нормам_00-022_Август/84a455ab-417c-4631-afbd-d33235c78593.jpg","open")</f>
        <v/>
      </c>
      <c r="C4599" t="inlineStr">
        <is>
          <t>a28f597e-d1cd-4d3b-b572-c86d033412e9</t>
        </is>
      </c>
      <c r="D4599" t="n">
        <v>55.7198</v>
      </c>
      <c r="E4599" t="n">
        <v>37.43785</v>
      </c>
      <c r="F4599" t="inlineStr"/>
      <c r="G4599" t="inlineStr"/>
      <c r="H4599" t="inlineStr"/>
    </row>
    <row r="4600">
      <c r="A4600" t="inlineStr">
        <is>
          <t>e263b971-3a92-46e1-a0fb-ea0560f8f9d8.jpg</t>
        </is>
      </c>
      <c r="B4600">
        <f>HYPERLINK("Объекты недвижимости, не соответствующие градостроительным нормам_00-022_Август/e263b971-3a92-46e1-a0fb-ea0560f8f9d8.jpg","open")</f>
        <v/>
      </c>
      <c r="C4600" t="inlineStr">
        <is>
          <t>4cd87d14-7440-44b7-a5b2-a738e10006f7</t>
        </is>
      </c>
      <c r="D4600" t="n">
        <v>55.89775</v>
      </c>
      <c r="E4600" t="n">
        <v>37.55497</v>
      </c>
      <c r="F4600" t="inlineStr"/>
      <c r="G4600" t="inlineStr"/>
      <c r="H4600" t="inlineStr"/>
    </row>
    <row r="4601">
      <c r="A4601" t="inlineStr">
        <is>
          <t>f841c659-88df-4341-b724-9b2d5f93e85c.jpg</t>
        </is>
      </c>
      <c r="B4601">
        <f>HYPERLINK("Объекты недвижимости, не соответствующие градостроительным нормам_00-022_Август/f841c659-88df-4341-b724-9b2d5f93e85c.jpg","open")</f>
        <v/>
      </c>
      <c r="C4601" t="inlineStr">
        <is>
          <t>4cd87d14-7440-44b7-a5b2-a738e10006f7</t>
        </is>
      </c>
      <c r="D4601" t="n">
        <v>55.89789</v>
      </c>
      <c r="E4601" t="n">
        <v>37.554</v>
      </c>
      <c r="F4601" t="inlineStr"/>
      <c r="G4601" t="inlineStr"/>
      <c r="H4601" t="inlineStr"/>
    </row>
    <row r="4602">
      <c r="A4602" t="inlineStr">
        <is>
          <t>2fee5eda-aaa5-4d8c-b835-1030e39c72c1.jpg</t>
        </is>
      </c>
      <c r="B4602">
        <f>HYPERLINK("Объекты недвижимости, не соответствующие градостроительным нормам_00-022_Август/2fee5eda-aaa5-4d8c-b835-1030e39c72c1.jpg","open")</f>
        <v/>
      </c>
      <c r="C4602" t="inlineStr">
        <is>
          <t>8996eb30-6497-4318-8a0e-b95314b8172e</t>
        </is>
      </c>
      <c r="D4602" t="n">
        <v>55.87474</v>
      </c>
      <c r="E4602" t="n">
        <v>37.66801</v>
      </c>
      <c r="F4602" t="inlineStr"/>
      <c r="G4602" t="inlineStr"/>
      <c r="H4602" t="inlineStr"/>
    </row>
    <row r="4603">
      <c r="A4603" t="inlineStr">
        <is>
          <t>c53ee555-c0b4-46fa-b1f0-4b3e24248e93.jpg</t>
        </is>
      </c>
      <c r="B4603">
        <f>HYPERLINK("Объекты недвижимости, не соответствующие градостроительным нормам_00-022_Август/c53ee555-c0b4-46fa-b1f0-4b3e24248e93.jpg","open")</f>
        <v/>
      </c>
      <c r="C4603" t="inlineStr">
        <is>
          <t>1231bbc5-e64c-4dc7-9acc-77710f47607a</t>
        </is>
      </c>
      <c r="D4603" t="n">
        <v>55.67736</v>
      </c>
      <c r="E4603" t="n">
        <v>37.60141</v>
      </c>
      <c r="F4603" t="inlineStr"/>
      <c r="G4603" t="inlineStr"/>
      <c r="H4603" t="inlineStr"/>
    </row>
    <row r="4604">
      <c r="A4604" t="inlineStr">
        <is>
          <t>0452394e-ed18-484c-881d-897ff0c8d66d.jpg</t>
        </is>
      </c>
      <c r="B4604">
        <f>HYPERLINK("Объекты недвижимости, не соответствующие градостроительным нормам_00-022_Август/0452394e-ed18-484c-881d-897ff0c8d66d.jpg","open")</f>
        <v/>
      </c>
      <c r="C4604" t="inlineStr">
        <is>
          <t>1231bbc5-e64c-4dc7-9acc-77710f47607a</t>
        </is>
      </c>
      <c r="D4604" t="n">
        <v>55.67764</v>
      </c>
      <c r="E4604" t="n">
        <v>37.60197</v>
      </c>
      <c r="F4604" t="inlineStr"/>
      <c r="G4604" t="inlineStr"/>
      <c r="H4604" t="inlineStr"/>
    </row>
    <row r="4605">
      <c r="A4605" t="inlineStr">
        <is>
          <t>ff3a5411-17d3-4371-bd2a-a73a299e6bf0.jpg</t>
        </is>
      </c>
      <c r="B4605">
        <f>HYPERLINK("Объекты недвижимости, не соответствующие градостроительным нормам_00-022_Август/ff3a5411-17d3-4371-bd2a-a73a299e6bf0.jpg","open")</f>
        <v/>
      </c>
      <c r="C4605" t="inlineStr">
        <is>
          <t>750bf7e4-0f0f-4f1a-96af-607dc8c1f1c9</t>
        </is>
      </c>
      <c r="D4605" t="n">
        <v>55.71655</v>
      </c>
      <c r="E4605" t="n">
        <v>37.73218</v>
      </c>
      <c r="F4605" t="inlineStr"/>
      <c r="G4605" t="inlineStr"/>
      <c r="H4605" t="inlineStr"/>
    </row>
    <row r="4606">
      <c r="A4606" t="inlineStr">
        <is>
          <t>1db68de0-3855-48d8-825a-694749f08bc5.jpg</t>
        </is>
      </c>
      <c r="B4606">
        <f>HYPERLINK("Объекты недвижимости, не соответствующие градостроительным нормам_00-022_Август/1db68de0-3855-48d8-825a-694749f08bc5.jpg","open")</f>
        <v/>
      </c>
      <c r="C4606" t="inlineStr">
        <is>
          <t>48b533d5-d106-4175-ac9b-d5ce8d90cccf</t>
        </is>
      </c>
      <c r="D4606" t="n">
        <v>55.87552</v>
      </c>
      <c r="E4606" t="n">
        <v>37.6644</v>
      </c>
      <c r="F4606" t="inlineStr"/>
      <c r="G4606" t="inlineStr"/>
      <c r="H4606" t="inlineStr"/>
    </row>
    <row r="4607">
      <c r="A4607" t="inlineStr">
        <is>
          <t>6c2ee700-1436-4a1e-80b1-167995a0f284.jpg</t>
        </is>
      </c>
      <c r="B4607">
        <f>HYPERLINK("Объекты недвижимости, не соответствующие градостроительным нормам_00-022_Август/6c2ee700-1436-4a1e-80b1-167995a0f284.jpg","open")</f>
        <v/>
      </c>
      <c r="C4607" t="inlineStr">
        <is>
          <t>1231bbc5-e64c-4dc7-9acc-77710f47607a</t>
        </is>
      </c>
      <c r="D4607" t="n">
        <v>55.67796</v>
      </c>
      <c r="E4607" t="n">
        <v>37.60538</v>
      </c>
      <c r="F4607" t="inlineStr"/>
      <c r="G4607" t="inlineStr"/>
      <c r="H4607" t="inlineStr"/>
    </row>
    <row r="4608">
      <c r="A4608" t="inlineStr">
        <is>
          <t>aafd967d-045b-4a54-8e24-a6aaa6e4bb52.jpg</t>
        </is>
      </c>
      <c r="B4608">
        <f>HYPERLINK("Объекты недвижимости, не соответствующие градостроительным нормам_00-022_Август/aafd967d-045b-4a54-8e24-a6aaa6e4bb52.jpg","open")</f>
        <v/>
      </c>
      <c r="C4608" t="inlineStr">
        <is>
          <t>685d9054-b74f-49ab-857b-109fd2cec80d</t>
        </is>
      </c>
      <c r="D4608" t="n">
        <v>55.67852</v>
      </c>
      <c r="E4608" t="n">
        <v>37.60457</v>
      </c>
      <c r="F4608" t="inlineStr"/>
      <c r="G4608" t="inlineStr"/>
      <c r="H4608" t="inlineStr"/>
    </row>
    <row r="4609">
      <c r="A4609" t="inlineStr">
        <is>
          <t>3ea464d4-ba22-4b46-bcb4-2c8c27444a38.jpg</t>
        </is>
      </c>
      <c r="B4609">
        <f>HYPERLINK("Объекты недвижимости, не соответствующие градостроительным нормам_00-022_Август/3ea464d4-ba22-4b46-bcb4-2c8c27444a38.jpg","open")</f>
        <v/>
      </c>
      <c r="C4609" t="inlineStr">
        <is>
          <t>b0429a31-0c70-4b9f-8ea5-73929d82f89e</t>
        </is>
      </c>
      <c r="D4609" t="n">
        <v>55.67808</v>
      </c>
      <c r="E4609" t="n">
        <v>37.62684</v>
      </c>
      <c r="F4609" t="inlineStr"/>
      <c r="G4609" t="inlineStr"/>
      <c r="H4609" t="inlineStr"/>
    </row>
    <row r="4610">
      <c r="A4610" t="inlineStr">
        <is>
          <t>cb2ef14f-aae5-48ac-843e-2c336b634f57.jpg</t>
        </is>
      </c>
      <c r="B4610">
        <f>HYPERLINK("Объекты недвижимости, не соответствующие градостроительным нормам_00-022_Август/cb2ef14f-aae5-48ac-843e-2c336b634f57.jpg","open")</f>
        <v/>
      </c>
      <c r="C4610" t="inlineStr">
        <is>
          <t>99f3abba-c55b-49f0-9de5-9f88e9597cc0</t>
        </is>
      </c>
      <c r="D4610" t="n">
        <v>55.67808</v>
      </c>
      <c r="E4610" t="n">
        <v>37.62674</v>
      </c>
      <c r="F4610" t="inlineStr"/>
      <c r="G4610" t="inlineStr"/>
      <c r="H4610" t="inlineStr"/>
    </row>
    <row r="4611">
      <c r="A4611" t="inlineStr">
        <is>
          <t>5bea7485-d449-44ca-84a9-48d718ff9709.jpg</t>
        </is>
      </c>
      <c r="B4611">
        <f>HYPERLINK("Объекты недвижимости, не соответствующие градостроительным нормам_00-022_Август/5bea7485-d449-44ca-84a9-48d718ff9709.jpg","open")</f>
        <v/>
      </c>
      <c r="C4611" t="inlineStr">
        <is>
          <t>b0429a31-0c70-4b9f-8ea5-73929d82f89e</t>
        </is>
      </c>
      <c r="D4611" t="n">
        <v>55.67817</v>
      </c>
      <c r="E4611" t="n">
        <v>37.62666</v>
      </c>
      <c r="F4611" t="inlineStr"/>
      <c r="G4611" t="inlineStr"/>
      <c r="H4611" t="inlineStr"/>
    </row>
    <row r="4612">
      <c r="A4612" t="inlineStr">
        <is>
          <t>bce81428-9f32-40c5-84e7-ba0c9e0d04d6.jpg</t>
        </is>
      </c>
      <c r="B4612">
        <f>HYPERLINK("Объекты недвижимости, не соответствующие градостроительным нормам_00-022_Август/bce81428-9f32-40c5-84e7-ba0c9e0d04d6.jpg","open")</f>
        <v/>
      </c>
      <c r="C4612" t="inlineStr">
        <is>
          <t>99f3abba-c55b-49f0-9de5-9f88e9597cc0</t>
        </is>
      </c>
      <c r="D4612" t="n">
        <v>55.67817</v>
      </c>
      <c r="E4612" t="n">
        <v>37.62666</v>
      </c>
      <c r="F4612" t="inlineStr"/>
      <c r="G4612" t="inlineStr"/>
      <c r="H4612" t="inlineStr"/>
    </row>
    <row r="4613">
      <c r="A4613" t="inlineStr">
        <is>
          <t>e3d61ea0-7564-4914-bfce-f97a50c2323f.jpg</t>
        </is>
      </c>
      <c r="B4613">
        <f>HYPERLINK("Объекты недвижимости, не соответствующие градостроительным нормам_00-022_Август/e3d61ea0-7564-4914-bfce-f97a50c2323f.jpg","open")</f>
        <v/>
      </c>
      <c r="C4613" t="inlineStr">
        <is>
          <t>e26f5fc2-1353-4f29-85f3-87c56419161c</t>
        </is>
      </c>
      <c r="D4613" t="n">
        <v>55.8991</v>
      </c>
      <c r="E4613" t="n">
        <v>37.53088</v>
      </c>
      <c r="F4613" t="inlineStr"/>
      <c r="G4613" t="inlineStr"/>
      <c r="H4613" t="inlineStr"/>
    </row>
    <row r="4614">
      <c r="A4614" t="inlineStr">
        <is>
          <t>bc58e0f5-bf8f-4b91-af32-f31536ad1bb5.jpg</t>
        </is>
      </c>
      <c r="B4614">
        <f>HYPERLINK("Объекты недвижимости, не соответствующие градостроительным нормам_00-022_Август/bc58e0f5-bf8f-4b91-af32-f31536ad1bb5.jpg","open")</f>
        <v/>
      </c>
      <c r="C4614" t="inlineStr">
        <is>
          <t>f20fbc2b-b369-4734-bb66-92af02fbb0d1</t>
        </is>
      </c>
      <c r="D4614" t="n">
        <v>55.68073</v>
      </c>
      <c r="E4614" t="n">
        <v>37.76289</v>
      </c>
      <c r="F4614" t="inlineStr"/>
      <c r="G4614" t="inlineStr"/>
      <c r="H4614" t="inlineStr"/>
    </row>
    <row r="4615">
      <c r="A4615" t="inlineStr">
        <is>
          <t>ba8628d3-bd5c-41ad-a64f-2c3282bc4f14.jpg</t>
        </is>
      </c>
      <c r="B4615">
        <f>HYPERLINK("Объекты недвижимости, не соответствующие градостроительным нормам_00-022_Август/ba8628d3-bd5c-41ad-a64f-2c3282bc4f14.jpg","open")</f>
        <v/>
      </c>
      <c r="C4615" t="inlineStr">
        <is>
          <t>93848fc8-17e7-4748-9ebc-c7e379e11d2f</t>
        </is>
      </c>
      <c r="D4615" t="n">
        <v>55.75821</v>
      </c>
      <c r="E4615" t="n">
        <v>37.74577</v>
      </c>
      <c r="F4615" t="inlineStr"/>
      <c r="G4615" t="inlineStr"/>
      <c r="H4615" t="inlineStr"/>
    </row>
    <row r="4616">
      <c r="A4616" t="inlineStr">
        <is>
          <t>feb14146-2a43-451e-8fdf-a54cf7e6d7b2.jpg</t>
        </is>
      </c>
      <c r="B4616">
        <f>HYPERLINK("Объекты недвижимости, не соответствующие градостроительным нормам_00-022_Август/feb14146-2a43-451e-8fdf-a54cf7e6d7b2.jpg","open")</f>
        <v/>
      </c>
      <c r="C4616" t="inlineStr">
        <is>
          <t>cbf95b01-f708-45a3-9ec0-3603469b538e</t>
        </is>
      </c>
      <c r="D4616" t="n">
        <v>55.77016</v>
      </c>
      <c r="E4616" t="n">
        <v>37.64315</v>
      </c>
      <c r="F4616" t="inlineStr"/>
      <c r="G4616" t="inlineStr"/>
      <c r="H4616" t="inlineStr"/>
    </row>
    <row r="4617">
      <c r="A4617" t="inlineStr">
        <is>
          <t>e7d627ac-6934-4c0f-9e00-91d66cb69051.jpg</t>
        </is>
      </c>
      <c r="B4617">
        <f>HYPERLINK("Объекты недвижимости, не соответствующие градостроительным нормам_00-022_Август/e7d627ac-6934-4c0f-9e00-91d66cb69051.jpg","open")</f>
        <v/>
      </c>
      <c r="C4617" t="inlineStr">
        <is>
          <t>1231bbc5-e64c-4dc7-9acc-77710f47607a</t>
        </is>
      </c>
      <c r="D4617" t="n">
        <v>55.67796</v>
      </c>
      <c r="E4617" t="n">
        <v>37.6056</v>
      </c>
      <c r="F4617" t="inlineStr"/>
      <c r="G4617" t="inlineStr"/>
      <c r="H4617" t="inlineStr"/>
    </row>
    <row r="4618">
      <c r="A4618" t="inlineStr">
        <is>
          <t>8c830707-3ba0-49f1-a270-058f47945d12.jpg</t>
        </is>
      </c>
      <c r="B4618">
        <f>HYPERLINK("Объекты недвижимости, не соответствующие градостроительным нормам_00-022_Август/8c830707-3ba0-49f1-a270-058f47945d12.jpg","open")</f>
        <v/>
      </c>
      <c r="C4618" t="inlineStr">
        <is>
          <t>cbf95b01-f708-45a3-9ec0-3603469b538e</t>
        </is>
      </c>
      <c r="D4618" t="n">
        <v>55.77016</v>
      </c>
      <c r="E4618" t="n">
        <v>37.64315</v>
      </c>
      <c r="F4618" t="inlineStr"/>
      <c r="G4618" t="inlineStr"/>
      <c r="H4618" t="inlineStr"/>
    </row>
    <row r="4619">
      <c r="A4619" t="inlineStr">
        <is>
          <t>51bdc9f3-4bc1-4e7b-805a-2acd680c8b36.jpg</t>
        </is>
      </c>
      <c r="B4619">
        <f>HYPERLINK("Объекты недвижимости, не соответствующие градостроительным нормам_00-022_Август/51bdc9f3-4bc1-4e7b-805a-2acd680c8b36.jpg","open")</f>
        <v/>
      </c>
      <c r="C4619" t="inlineStr">
        <is>
          <t>b0429a31-0c70-4b9f-8ea5-73929d82f89e</t>
        </is>
      </c>
      <c r="D4619" t="n">
        <v>55.6767</v>
      </c>
      <c r="E4619" t="n">
        <v>37.62823</v>
      </c>
      <c r="F4619" t="inlineStr"/>
      <c r="G4619" t="inlineStr"/>
      <c r="H4619" t="inlineStr"/>
    </row>
    <row r="4620">
      <c r="A4620" t="inlineStr">
        <is>
          <t>c58d21ef-5f69-4411-88fe-bd40a8dd5233.jpg</t>
        </is>
      </c>
      <c r="B4620">
        <f>HYPERLINK("Объекты недвижимости, не соответствующие градостроительным нормам_00-022_Август/c58d21ef-5f69-4411-88fe-bd40a8dd5233.jpg","open")</f>
        <v/>
      </c>
      <c r="C4620" t="inlineStr">
        <is>
          <t>a28f597e-d1cd-4d3b-b572-c86d033412e9</t>
        </is>
      </c>
      <c r="D4620" t="n">
        <v>55.71821</v>
      </c>
      <c r="E4620" t="n">
        <v>37.44464</v>
      </c>
      <c r="F4620" t="inlineStr"/>
      <c r="G4620" t="inlineStr"/>
      <c r="H4620" t="inlineStr"/>
    </row>
    <row r="4621">
      <c r="A4621" t="inlineStr">
        <is>
          <t>02851cec-4614-48c8-9caa-ccf931c85650.jpg</t>
        </is>
      </c>
      <c r="B4621">
        <f>HYPERLINK("Объекты недвижимости, не соответствующие градостроительным нормам_00-022_Август/02851cec-4614-48c8-9caa-ccf931c85650.jpg","open")</f>
        <v/>
      </c>
      <c r="C4621" t="inlineStr">
        <is>
          <t>750bf7e4-0f0f-4f1a-96af-607dc8c1f1c9</t>
        </is>
      </c>
      <c r="D4621" t="n">
        <v>55.72323</v>
      </c>
      <c r="E4621" t="n">
        <v>37.73415</v>
      </c>
      <c r="F4621" t="inlineStr"/>
      <c r="G4621" t="inlineStr"/>
      <c r="H4621" t="inlineStr"/>
    </row>
    <row r="4622">
      <c r="A4622" t="inlineStr">
        <is>
          <t>3a4f6159-a287-4fa9-b5c3-32ed0798a001.jpg</t>
        </is>
      </c>
      <c r="B4622">
        <f>HYPERLINK("Объекты недвижимости, не соответствующие градостроительным нормам_00-022_Август/3a4f6159-a287-4fa9-b5c3-32ed0798a001.jpg","open")</f>
        <v/>
      </c>
      <c r="C4622" t="inlineStr">
        <is>
          <t>31a713a9-b910-424b-b847-e0eaa2f70c70</t>
        </is>
      </c>
      <c r="D4622" t="n">
        <v>55.72323</v>
      </c>
      <c r="E4622" t="n">
        <v>37.73415</v>
      </c>
      <c r="F4622" t="inlineStr"/>
      <c r="G4622" t="inlineStr"/>
      <c r="H4622" t="inlineStr"/>
    </row>
    <row r="4623">
      <c r="A4623" t="inlineStr">
        <is>
          <t>e0c3f86f-5fd1-4a8e-bd2a-17a4f6937142.jpg</t>
        </is>
      </c>
      <c r="B4623">
        <f>HYPERLINK("Объекты недвижимости, не соответствующие градостроительным нормам_00-022_Август/e0c3f86f-5fd1-4a8e-bd2a-17a4f6937142.jpg","open")</f>
        <v/>
      </c>
      <c r="C4623" t="inlineStr">
        <is>
          <t>cbf95b01-f708-45a3-9ec0-3603469b538e</t>
        </is>
      </c>
      <c r="D4623" t="n">
        <v>55.73174</v>
      </c>
      <c r="E4623" t="n">
        <v>37.57076</v>
      </c>
      <c r="F4623" t="inlineStr"/>
      <c r="G4623" t="inlineStr"/>
      <c r="H4623" t="inlineStr"/>
    </row>
    <row r="4624">
      <c r="A4624" t="inlineStr">
        <is>
          <t>d3c59884-9cde-46a6-957b-f16996dde504.jpg</t>
        </is>
      </c>
      <c r="B4624">
        <f>HYPERLINK("Объекты недвижимости, не соответствующие градостроительным нормам_00-022_Август/d3c59884-9cde-46a6-957b-f16996dde504.jpg","open")</f>
        <v/>
      </c>
      <c r="C4624" t="inlineStr">
        <is>
          <t>cbf95b01-f708-45a3-9ec0-3603469b538e</t>
        </is>
      </c>
      <c r="D4624" t="n">
        <v>55.73365</v>
      </c>
      <c r="E4624" t="n">
        <v>37.57523</v>
      </c>
      <c r="F4624" t="inlineStr"/>
      <c r="G4624" t="inlineStr"/>
      <c r="H4624" t="inlineStr"/>
    </row>
    <row r="4625">
      <c r="A4625" t="inlineStr">
        <is>
          <t>42a6f357-9d92-43df-9778-0cafb5dbaec8.jpg</t>
        </is>
      </c>
      <c r="B4625">
        <f>HYPERLINK("Объекты недвижимости, не соответствующие градостроительным нормам_00-022_Август/42a6f357-9d92-43df-9778-0cafb5dbaec8.jpg","open")</f>
        <v/>
      </c>
      <c r="C4625" t="inlineStr">
        <is>
          <t>a1a9db89-3f74-42ef-8fad-ad69705102cd</t>
        </is>
      </c>
      <c r="D4625" t="n">
        <v>55.73353</v>
      </c>
      <c r="E4625" t="n">
        <v>37.57496</v>
      </c>
      <c r="F4625" t="inlineStr"/>
      <c r="G4625" t="inlineStr"/>
      <c r="H4625" t="inlineStr"/>
    </row>
    <row r="4626">
      <c r="A4626" t="inlineStr">
        <is>
          <t>0399c807-f151-43d6-a721-37660613d5ca.jpg</t>
        </is>
      </c>
      <c r="B4626">
        <f>HYPERLINK("Объекты недвижимости, не соответствующие градостроительным нормам_00-022_Август/0399c807-f151-43d6-a721-37660613d5ca.jpg","open")</f>
        <v/>
      </c>
      <c r="C4626" t="inlineStr">
        <is>
          <t>cbf95b01-f708-45a3-9ec0-3603469b538e</t>
        </is>
      </c>
      <c r="D4626" t="n">
        <v>55.7338</v>
      </c>
      <c r="E4626" t="n">
        <v>37.57558</v>
      </c>
      <c r="F4626" t="inlineStr"/>
      <c r="G4626" t="inlineStr"/>
      <c r="H4626" t="inlineStr"/>
    </row>
    <row r="4627">
      <c r="A4627" t="inlineStr">
        <is>
          <t>dd9b5274-3c0b-4a40-96fa-24a6a0a46cda.jpg</t>
        </is>
      </c>
      <c r="B4627">
        <f>HYPERLINK("Объекты недвижимости, не соответствующие градостроительным нормам_00-022_Август/dd9b5274-3c0b-4a40-96fa-24a6a0a46cda.jpg","open")</f>
        <v/>
      </c>
      <c r="C4627" t="inlineStr">
        <is>
          <t>cbf95b01-f708-45a3-9ec0-3603469b538e</t>
        </is>
      </c>
      <c r="D4627" t="n">
        <v>55.73458</v>
      </c>
      <c r="E4627" t="n">
        <v>37.5773</v>
      </c>
      <c r="F4627" t="inlineStr"/>
      <c r="G4627" t="inlineStr"/>
      <c r="H4627" t="inlineStr"/>
    </row>
    <row r="4628">
      <c r="A4628" t="inlineStr">
        <is>
          <t>3742474f-a1f0-4799-a724-d9cdcf730843.jpg</t>
        </is>
      </c>
      <c r="B4628">
        <f>HYPERLINK("Объекты недвижимости, не соответствующие градостроительным нормам_00-022_Август/3742474f-a1f0-4799-a724-d9cdcf730843.jpg","open")</f>
        <v/>
      </c>
      <c r="C4628" t="inlineStr">
        <is>
          <t>cbf95b01-f708-45a3-9ec0-3603469b538e</t>
        </is>
      </c>
      <c r="D4628" t="n">
        <v>55.73461</v>
      </c>
      <c r="E4628" t="n">
        <v>37.57738</v>
      </c>
      <c r="F4628" t="inlineStr"/>
      <c r="G4628" t="inlineStr"/>
      <c r="H4628" t="inlineStr"/>
    </row>
    <row r="4629">
      <c r="A4629" t="inlineStr">
        <is>
          <t>59188eba-c79b-4a1d-a3c1-fcd6e8bec37c.jpg</t>
        </is>
      </c>
      <c r="B4629">
        <f>HYPERLINK("Объекты недвижимости, не соответствующие градостроительным нормам_00-022_Август/59188eba-c79b-4a1d-a3c1-fcd6e8bec37c.jpg","open")</f>
        <v/>
      </c>
      <c r="C4629" t="inlineStr">
        <is>
          <t>8996eb30-6497-4318-8a0e-b95314b8172e</t>
        </is>
      </c>
      <c r="D4629" t="n">
        <v>55.8884</v>
      </c>
      <c r="E4629" t="n">
        <v>37.64203</v>
      </c>
      <c r="F4629" t="inlineStr"/>
      <c r="G4629" t="inlineStr"/>
      <c r="H4629" t="inlineStr"/>
    </row>
    <row r="4630">
      <c r="A4630" t="inlineStr">
        <is>
          <t>5f30ca32-8d3f-452a-a986-0a683ad536d2.jpg</t>
        </is>
      </c>
      <c r="B4630">
        <f>HYPERLINK("Объекты недвижимости, не соответствующие градостроительным нормам_00-022_Август/5f30ca32-8d3f-452a-a986-0a683ad536d2.jpg","open")</f>
        <v/>
      </c>
      <c r="C4630" t="inlineStr">
        <is>
          <t>cbf95b01-f708-45a3-9ec0-3603469b538e</t>
        </is>
      </c>
      <c r="D4630" t="n">
        <v>55.73451</v>
      </c>
      <c r="E4630" t="n">
        <v>37.57714</v>
      </c>
      <c r="F4630" t="inlineStr"/>
      <c r="G4630" t="inlineStr"/>
      <c r="H4630" t="inlineStr"/>
    </row>
    <row r="4631">
      <c r="A4631" t="inlineStr">
        <is>
          <t>40f87d5c-316f-4738-8ee6-73e729e59e9e.jpg</t>
        </is>
      </c>
      <c r="B4631">
        <f>HYPERLINK("Объекты недвижимости, не соответствующие градостроительным нормам_00-022_Август/40f87d5c-316f-4738-8ee6-73e729e59e9e.jpg","open")</f>
        <v/>
      </c>
      <c r="C4631" t="inlineStr">
        <is>
          <t>93848fc8-17e7-4748-9ebc-c7e379e11d2f</t>
        </is>
      </c>
      <c r="D4631" t="n">
        <v>55.7678</v>
      </c>
      <c r="E4631" t="n">
        <v>37.73009</v>
      </c>
      <c r="F4631" t="inlineStr"/>
      <c r="G4631" t="inlineStr"/>
      <c r="H4631" t="inlineStr"/>
    </row>
    <row r="4632">
      <c r="A4632" t="inlineStr">
        <is>
          <t>dfaafc6d-ea3c-46be-94b0-99f80ba49269.jpg</t>
        </is>
      </c>
      <c r="B4632">
        <f>HYPERLINK("Объекты недвижимости, не соответствующие градостроительным нормам_00-022_Август/dfaafc6d-ea3c-46be-94b0-99f80ba49269.jpg","open")</f>
        <v/>
      </c>
      <c r="C4632" t="inlineStr">
        <is>
          <t>cbf95b01-f708-45a3-9ec0-3603469b538e</t>
        </is>
      </c>
      <c r="D4632" t="n">
        <v>55.73463</v>
      </c>
      <c r="E4632" t="n">
        <v>37.57747</v>
      </c>
      <c r="F4632" t="inlineStr"/>
      <c r="G4632" t="inlineStr"/>
      <c r="H4632" t="inlineStr"/>
    </row>
    <row r="4633">
      <c r="A4633" t="inlineStr">
        <is>
          <t>400f84b2-1909-4058-8d02-f90db8dfad27.jpg</t>
        </is>
      </c>
      <c r="B4633">
        <f>HYPERLINK("Объекты недвижимости, не соответствующие градостроительным нормам_00-022_Август/400f84b2-1909-4058-8d02-f90db8dfad27.jpg","open")</f>
        <v/>
      </c>
      <c r="C4633" t="inlineStr">
        <is>
          <t>cbf95b01-f708-45a3-9ec0-3603469b538e</t>
        </is>
      </c>
      <c r="D4633" t="n">
        <v>55.73785</v>
      </c>
      <c r="E4633" t="n">
        <v>37.58481</v>
      </c>
      <c r="F4633" t="inlineStr"/>
      <c r="G4633" t="inlineStr"/>
      <c r="H4633" t="inlineStr"/>
    </row>
    <row r="4634">
      <c r="A4634" t="inlineStr">
        <is>
          <t>24314461-f48b-4063-8a39-d3027dc47673.jpg</t>
        </is>
      </c>
      <c r="B4634">
        <f>HYPERLINK("Объекты недвижимости, не соответствующие градостроительным нормам_00-022_Август/24314461-f48b-4063-8a39-d3027dc47673.jpg","open")</f>
        <v/>
      </c>
      <c r="C4634" t="inlineStr">
        <is>
          <t>cbf95b01-f708-45a3-9ec0-3603469b538e</t>
        </is>
      </c>
      <c r="D4634" t="n">
        <v>55.73811</v>
      </c>
      <c r="E4634" t="n">
        <v>37.58674</v>
      </c>
      <c r="F4634" t="inlineStr"/>
      <c r="G4634" t="inlineStr"/>
      <c r="H4634" t="inlineStr"/>
    </row>
    <row r="4635">
      <c r="A4635" t="inlineStr">
        <is>
          <t>66dbf41b-b71b-4857-a261-531c5d9209f3.jpg</t>
        </is>
      </c>
      <c r="B4635">
        <f>HYPERLINK("Объекты недвижимости, не соответствующие градостроительным нормам_00-022_Август/66dbf41b-b71b-4857-a261-531c5d9209f3.jpg","open")</f>
        <v/>
      </c>
      <c r="C4635" t="inlineStr">
        <is>
          <t>61936922-4d4b-458e-80ea-6d4c450aa1d5</t>
        </is>
      </c>
      <c r="D4635" t="n">
        <v>55.73534</v>
      </c>
      <c r="E4635" t="n">
        <v>37.4843</v>
      </c>
      <c r="F4635" t="inlineStr"/>
      <c r="G4635" t="inlineStr"/>
      <c r="H4635" t="inlineStr"/>
    </row>
    <row r="4636">
      <c r="A4636" t="inlineStr">
        <is>
          <t>fa734247-97f1-4780-8850-f1971eb64f77.jpg</t>
        </is>
      </c>
      <c r="B4636">
        <f>HYPERLINK("Объекты недвижимости, не соответствующие градостроительным нормам_00-022_Август/fa734247-97f1-4780-8850-f1971eb64f77.jpg","open")</f>
        <v/>
      </c>
      <c r="C4636" t="inlineStr">
        <is>
          <t>9fb3d110-951f-48da-9d90-cfd7e1b5800d</t>
        </is>
      </c>
      <c r="D4636" t="n">
        <v>55.73534</v>
      </c>
      <c r="E4636" t="n">
        <v>37.48431</v>
      </c>
      <c r="F4636" t="inlineStr"/>
      <c r="G4636" t="inlineStr"/>
      <c r="H4636" t="inlineStr"/>
    </row>
    <row r="4637">
      <c r="A4637" t="inlineStr">
        <is>
          <t>50b5437c-c1dc-4e18-bffc-6621e7966863.jpg</t>
        </is>
      </c>
      <c r="B4637">
        <f>HYPERLINK("Объекты недвижимости, не соответствующие градостроительным нормам_00-022_Август/50b5437c-c1dc-4e18-bffc-6621e7966863.jpg","open")</f>
        <v/>
      </c>
      <c r="C4637" t="inlineStr">
        <is>
          <t>b0429a31-0c70-4b9f-8ea5-73929d82f89e</t>
        </is>
      </c>
      <c r="D4637" t="n">
        <v>55.67145</v>
      </c>
      <c r="E4637" t="n">
        <v>37.62972</v>
      </c>
      <c r="F4637" t="inlineStr"/>
      <c r="G4637" t="inlineStr"/>
      <c r="H4637" t="inlineStr"/>
    </row>
    <row r="4638">
      <c r="A4638" t="inlineStr">
        <is>
          <t>7b22a813-4f22-4266-b08f-9340b23d4252.jpg</t>
        </is>
      </c>
      <c r="B4638">
        <f>HYPERLINK("Объекты недвижимости, не соответствующие градостроительным нормам_00-022_Август/7b22a813-4f22-4266-b08f-9340b23d4252.jpg","open")</f>
        <v/>
      </c>
      <c r="C4638" t="inlineStr">
        <is>
          <t>1a55986c-2c3f-40c0-b3d1-014dce77832e</t>
        </is>
      </c>
      <c r="D4638" t="n">
        <v>55.70006</v>
      </c>
      <c r="E4638" t="n">
        <v>37.64138</v>
      </c>
      <c r="F4638" t="inlineStr"/>
      <c r="G4638" t="inlineStr"/>
      <c r="H4638" t="inlineStr"/>
    </row>
    <row r="4639">
      <c r="A4639" t="inlineStr">
        <is>
          <t>8bbde3d4-9e51-4637-902c-0ef53291b034.jpg</t>
        </is>
      </c>
      <c r="B4639">
        <f>HYPERLINK("Объекты недвижимости, не соответствующие градостроительным нормам_00-022_Август/8bbde3d4-9e51-4637-902c-0ef53291b034.jpg","open")</f>
        <v/>
      </c>
      <c r="C4639" t="inlineStr">
        <is>
          <t>b0429a31-0c70-4b9f-8ea5-73929d82f89e</t>
        </is>
      </c>
      <c r="D4639" t="n">
        <v>55.67151</v>
      </c>
      <c r="E4639" t="n">
        <v>37.62794</v>
      </c>
      <c r="F4639" t="inlineStr"/>
      <c r="G4639" t="inlineStr"/>
      <c r="H4639" t="inlineStr"/>
    </row>
    <row r="4640">
      <c r="A4640" t="inlineStr">
        <is>
          <t>f409e865-6f25-409f-ad3e-6b393d198d6f.jpg</t>
        </is>
      </c>
      <c r="B4640">
        <f>HYPERLINK("Объекты недвижимости, не соответствующие градостроительным нормам_00-022_Август/f409e865-6f25-409f-ad3e-6b393d198d6f.jpg","open")</f>
        <v/>
      </c>
      <c r="C4640" t="inlineStr">
        <is>
          <t>b0429a31-0c70-4b9f-8ea5-73929d82f89e</t>
        </is>
      </c>
      <c r="D4640" t="n">
        <v>55.6662</v>
      </c>
      <c r="E4640" t="n">
        <v>37.62971</v>
      </c>
      <c r="F4640" t="inlineStr"/>
      <c r="G4640" t="inlineStr"/>
      <c r="H4640" t="inlineStr"/>
    </row>
    <row r="4641">
      <c r="A4641" t="inlineStr">
        <is>
          <t>c230ac60-8183-457d-be2e-d96d43778b93.jpg</t>
        </is>
      </c>
      <c r="B4641">
        <f>HYPERLINK("Объекты недвижимости, не соответствующие градостроительным нормам_00-022_Август/c230ac60-8183-457d-be2e-d96d43778b93.jpg","open")</f>
        <v/>
      </c>
      <c r="C4641" t="inlineStr">
        <is>
          <t>99f3abba-c55b-49f0-9de5-9f88e9597cc0</t>
        </is>
      </c>
      <c r="D4641" t="n">
        <v>55.66874</v>
      </c>
      <c r="E4641" t="n">
        <v>37.63195</v>
      </c>
      <c r="F4641" t="inlineStr"/>
      <c r="G4641" t="inlineStr"/>
      <c r="H4641" t="inlineStr"/>
    </row>
    <row r="4642">
      <c r="A4642" t="inlineStr">
        <is>
          <t>6b8f75a4-1c40-4839-8c0a-9f6e94b56b3e.jpg</t>
        </is>
      </c>
      <c r="B4642">
        <f>HYPERLINK("Объекты недвижимости, не соответствующие градостроительным нормам_00-022_Август/6b8f75a4-1c40-4839-8c0a-9f6e94b56b3e.jpg","open")</f>
        <v/>
      </c>
      <c r="C4642" t="inlineStr">
        <is>
          <t>ad64e6b9-1ed5-44d7-a101-4945a1f9dec6</t>
        </is>
      </c>
      <c r="D4642" t="n">
        <v>55.65648</v>
      </c>
      <c r="E4642" t="n">
        <v>37.59561</v>
      </c>
      <c r="F4642" t="inlineStr"/>
      <c r="G4642" t="inlineStr"/>
      <c r="H4642" t="inlineStr"/>
    </row>
    <row r="4643">
      <c r="A4643" t="inlineStr">
        <is>
          <t>5d47cdb9-1d6a-483e-a07a-e1d946ab0f11.jpg</t>
        </is>
      </c>
      <c r="B4643">
        <f>HYPERLINK("Объекты недвижимости, не соответствующие градостроительным нормам_00-022_Август/5d47cdb9-1d6a-483e-a07a-e1d946ab0f11.jpg","open")</f>
        <v/>
      </c>
      <c r="C4643" t="inlineStr">
        <is>
          <t>ed2bf0f1-3a66-4913-896e-4420a9796c0b</t>
        </is>
      </c>
      <c r="D4643" t="n">
        <v>55.70504</v>
      </c>
      <c r="E4643" t="n">
        <v>37.63363</v>
      </c>
      <c r="F4643" t="inlineStr"/>
      <c r="G4643" t="inlineStr"/>
      <c r="H4643" t="inlineStr"/>
    </row>
    <row r="4644">
      <c r="A4644" t="inlineStr">
        <is>
          <t>bc03777a-b602-4841-8382-f960ef61d367.jpg</t>
        </is>
      </c>
      <c r="B4644">
        <f>HYPERLINK("Объекты недвижимости, не соответствующие градостроительным нормам_00-022_Август/bc03777a-b602-4841-8382-f960ef61d367.jpg","open")</f>
        <v/>
      </c>
      <c r="C4644" t="inlineStr">
        <is>
          <t>b0429a31-0c70-4b9f-8ea5-73929d82f89e</t>
        </is>
      </c>
      <c r="D4644" t="n">
        <v>55.66841</v>
      </c>
      <c r="E4644" t="n">
        <v>37.63228</v>
      </c>
      <c r="F4644" t="inlineStr"/>
      <c r="G4644" t="inlineStr"/>
      <c r="H4644" t="inlineStr"/>
    </row>
    <row r="4645">
      <c r="A4645" t="inlineStr">
        <is>
          <t>6a26c7cf-994a-4fb8-ab18-e7d20fa5a6cd.jpg</t>
        </is>
      </c>
      <c r="B4645">
        <f>HYPERLINK("Объекты недвижимости, не соответствующие градостроительным нормам_00-022_Август/6a26c7cf-994a-4fb8-ab18-e7d20fa5a6cd.jpg","open")</f>
        <v/>
      </c>
      <c r="C4645" t="inlineStr">
        <is>
          <t>a1a9db89-3f74-42ef-8fad-ad69705102cd</t>
        </is>
      </c>
      <c r="D4645" t="n">
        <v>55.75624</v>
      </c>
      <c r="E4645" t="n">
        <v>37.62917</v>
      </c>
      <c r="F4645" t="inlineStr"/>
      <c r="G4645" t="inlineStr"/>
      <c r="H4645" t="inlineStr"/>
    </row>
    <row r="4646">
      <c r="A4646" t="inlineStr">
        <is>
          <t>d9210f00-b101-40bb-b2b8-6e30b7fdab09.jpg</t>
        </is>
      </c>
      <c r="B4646">
        <f>HYPERLINK("Объекты недвижимости, не соответствующие градостроительным нормам_00-022_Август/d9210f00-b101-40bb-b2b8-6e30b7fdab09.jpg","open")</f>
        <v/>
      </c>
      <c r="C4646" t="inlineStr">
        <is>
          <t>cbf95b01-f708-45a3-9ec0-3603469b538e</t>
        </is>
      </c>
      <c r="D4646" t="n">
        <v>55.75624</v>
      </c>
      <c r="E4646" t="n">
        <v>37.62917</v>
      </c>
      <c r="F4646" t="inlineStr"/>
      <c r="G4646" t="inlineStr"/>
      <c r="H4646" t="inlineStr"/>
    </row>
    <row r="4647">
      <c r="A4647" t="inlineStr">
        <is>
          <t>3717e346-5815-4e2e-8e60-ee84c4824d6f.jpg</t>
        </is>
      </c>
      <c r="B4647">
        <f>HYPERLINK("Объекты недвижимости, не соответствующие градостроительным нормам_00-022_Август/3717e346-5815-4e2e-8e60-ee84c4824d6f.jpg","open")</f>
        <v/>
      </c>
      <c r="C4647" t="inlineStr">
        <is>
          <t>ad64e6b9-1ed5-44d7-a101-4945a1f9dec6</t>
        </is>
      </c>
      <c r="D4647" t="n">
        <v>55.65635</v>
      </c>
      <c r="E4647" t="n">
        <v>37.59621</v>
      </c>
      <c r="F4647" t="inlineStr"/>
      <c r="G4647" t="inlineStr"/>
      <c r="H4647" t="inlineStr"/>
    </row>
    <row r="4648">
      <c r="A4648" t="inlineStr">
        <is>
          <t>d4303c7f-21d3-445c-9d63-d85ec7441329.jpg</t>
        </is>
      </c>
      <c r="B4648">
        <f>HYPERLINK("Объекты недвижимости, не соответствующие градостроительным нормам_00-022_Август/d4303c7f-21d3-445c-9d63-d85ec7441329.jpg","open")</f>
        <v/>
      </c>
      <c r="C4648" t="inlineStr">
        <is>
          <t>12e795ad-2aa7-49de-b2da-2c6aa35a4559</t>
        </is>
      </c>
      <c r="D4648" t="n">
        <v>55.65637</v>
      </c>
      <c r="E4648" t="n">
        <v>37.59621</v>
      </c>
      <c r="F4648" t="inlineStr"/>
      <c r="G4648" t="inlineStr"/>
      <c r="H4648" t="inlineStr"/>
    </row>
    <row r="4649">
      <c r="A4649" t="inlineStr">
        <is>
          <t>146312d3-6f03-4c97-8ba7-b714918f093e.jpg</t>
        </is>
      </c>
      <c r="B4649">
        <f>HYPERLINK("Объекты недвижимости, не соответствующие градостроительным нормам_00-022_Август/146312d3-6f03-4c97-8ba7-b714918f093e.jpg","open")</f>
        <v/>
      </c>
      <c r="C4649" t="inlineStr">
        <is>
          <t>1a55986c-2c3f-40c0-b3d1-014dce77832e</t>
        </is>
      </c>
      <c r="D4649" t="n">
        <v>55.69926</v>
      </c>
      <c r="E4649" t="n">
        <v>37.65408</v>
      </c>
      <c r="F4649" t="inlineStr"/>
      <c r="G4649" t="inlineStr"/>
      <c r="H4649" t="inlineStr"/>
    </row>
    <row r="4650">
      <c r="A4650" t="inlineStr">
        <is>
          <t>98ca955d-0acb-4392-bff5-1b6b6c463e67.jpg</t>
        </is>
      </c>
      <c r="B4650">
        <f>HYPERLINK("Объекты недвижимости, не соответствующие градостроительным нормам_00-022_Август/98ca955d-0acb-4392-bff5-1b6b6c463e67.jpg","open")</f>
        <v/>
      </c>
      <c r="C4650" t="inlineStr">
        <is>
          <t>1a55986c-2c3f-40c0-b3d1-014dce77832e</t>
        </is>
      </c>
      <c r="D4650" t="n">
        <v>55.69717</v>
      </c>
      <c r="E4650" t="n">
        <v>37.65022</v>
      </c>
      <c r="F4650" t="inlineStr"/>
      <c r="G4650" t="inlineStr"/>
      <c r="H4650" t="inlineStr"/>
    </row>
    <row r="4651">
      <c r="A4651" t="inlineStr">
        <is>
          <t>05f85e14-6736-4e56-8949-29fe769fbdc6.jpg</t>
        </is>
      </c>
      <c r="B4651">
        <f>HYPERLINK("Объекты недвижимости, не соответствующие градостроительным нормам_00-022_Август/05f85e14-6736-4e56-8949-29fe769fbdc6.jpg","open")</f>
        <v/>
      </c>
      <c r="C4651" t="inlineStr">
        <is>
          <t>1a55986c-2c3f-40c0-b3d1-014dce77832e</t>
        </is>
      </c>
      <c r="D4651" t="n">
        <v>55.69851</v>
      </c>
      <c r="E4651" t="n">
        <v>37.65179</v>
      </c>
      <c r="F4651" t="inlineStr"/>
      <c r="G4651" t="inlineStr"/>
      <c r="H4651" t="inlineStr"/>
    </row>
    <row r="4652">
      <c r="A4652" t="inlineStr">
        <is>
          <t>dee6b020-8039-44b6-ac7d-acdf36af6f63.jpg</t>
        </is>
      </c>
      <c r="B4652">
        <f>HYPERLINK("Объекты недвижимости, не соответствующие градостроительным нормам_00-022_Август/dee6b020-8039-44b6-ac7d-acdf36af6f63.jpg","open")</f>
        <v/>
      </c>
      <c r="C4652" t="inlineStr">
        <is>
          <t>ed2bf0f1-3a66-4913-896e-4420a9796c0b</t>
        </is>
      </c>
      <c r="D4652" t="n">
        <v>55.69855</v>
      </c>
      <c r="E4652" t="n">
        <v>37.65185</v>
      </c>
      <c r="F4652" t="inlineStr"/>
      <c r="G4652" t="inlineStr"/>
      <c r="H4652" t="inlineStr"/>
    </row>
    <row r="4653">
      <c r="A4653" t="inlineStr">
        <is>
          <t>26914661-ff3b-4994-88bc-d64d151fc23c.jpg</t>
        </is>
      </c>
      <c r="B4653">
        <f>HYPERLINK("Объекты недвижимости, не соответствующие градостроительным нормам_00-022_Август/26914661-ff3b-4994-88bc-d64d151fc23c.jpg","open")</f>
        <v/>
      </c>
      <c r="C4653" t="inlineStr">
        <is>
          <t>ed2bf0f1-3a66-4913-896e-4420a9796c0b</t>
        </is>
      </c>
      <c r="D4653" t="n">
        <v>55.6972</v>
      </c>
      <c r="E4653" t="n">
        <v>37.65022</v>
      </c>
      <c r="F4653" t="inlineStr"/>
      <c r="G4653" t="inlineStr"/>
      <c r="H4653" t="inlineStr"/>
    </row>
    <row r="4654">
      <c r="A4654" t="inlineStr">
        <is>
          <t>b87f2ad8-f9d2-4722-878c-f428647055b6.jpg</t>
        </is>
      </c>
      <c r="B4654">
        <f>HYPERLINK("Объекты недвижимости, не соответствующие градостроительным нормам_00-022_Август/b87f2ad8-f9d2-4722-878c-f428647055b6.jpg","open")</f>
        <v/>
      </c>
      <c r="C4654" t="inlineStr">
        <is>
          <t>6e2567a0-1fb9-40d5-a0e7-0adb480d2965</t>
        </is>
      </c>
      <c r="D4654" t="n">
        <v>55.783</v>
      </c>
      <c r="E4654" t="n">
        <v>37.67239</v>
      </c>
      <c r="F4654" t="inlineStr"/>
      <c r="G4654" t="inlineStr"/>
      <c r="H4654" t="inlineStr"/>
    </row>
    <row r="4655">
      <c r="A4655" t="inlineStr">
        <is>
          <t>ec928271-5a20-4152-9ea7-0ec5293db2b3.jpg</t>
        </is>
      </c>
      <c r="B4655">
        <f>HYPERLINK("Объекты недвижимости, не соответствующие градостроительным нормам_00-022_Август/ec928271-5a20-4152-9ea7-0ec5293db2b3.jpg","open")</f>
        <v/>
      </c>
      <c r="C4655" t="inlineStr">
        <is>
          <t>99f3abba-c55b-49f0-9de5-9f88e9597cc0</t>
        </is>
      </c>
      <c r="D4655" t="n">
        <v>55.6676</v>
      </c>
      <c r="E4655" t="n">
        <v>37.6307</v>
      </c>
      <c r="F4655" t="inlineStr"/>
      <c r="G4655" t="inlineStr"/>
      <c r="H4655" t="inlineStr"/>
    </row>
    <row r="4656">
      <c r="A4656" t="inlineStr">
        <is>
          <t>64daf0bb-780e-4336-b02b-95aaf0837dd6.jpg</t>
        </is>
      </c>
      <c r="B4656">
        <f>HYPERLINK("Объекты недвижимости, не соответствующие градостроительным нормам_00-022_Август/64daf0bb-780e-4336-b02b-95aaf0837dd6.jpg","open")</f>
        <v/>
      </c>
      <c r="C4656" t="inlineStr">
        <is>
          <t>ed2bf0f1-3a66-4913-896e-4420a9796c0b</t>
        </is>
      </c>
      <c r="D4656" t="n">
        <v>55.70246</v>
      </c>
      <c r="E4656" t="n">
        <v>37.65779</v>
      </c>
      <c r="F4656" t="inlineStr"/>
      <c r="G4656" t="inlineStr"/>
      <c r="H4656" t="inlineStr"/>
    </row>
    <row r="4657">
      <c r="A4657" t="inlineStr">
        <is>
          <t>ae8fe4ff-b2f7-4b16-8e46-5e89ba1011b1.jpg</t>
        </is>
      </c>
      <c r="B4657">
        <f>HYPERLINK("Объекты недвижимости, не соответствующие градостроительным нормам_00-022_Август/ae8fe4ff-b2f7-4b16-8e46-5e89ba1011b1.jpg","open")</f>
        <v/>
      </c>
      <c r="C4657" t="inlineStr">
        <is>
          <t>b0429a31-0c70-4b9f-8ea5-73929d82f89e</t>
        </is>
      </c>
      <c r="D4657" t="n">
        <v>55.66765</v>
      </c>
      <c r="E4657" t="n">
        <v>37.63125</v>
      </c>
      <c r="F4657" t="inlineStr"/>
      <c r="G4657" t="inlineStr"/>
      <c r="H4657" t="inlineStr"/>
    </row>
    <row r="4658">
      <c r="A4658" t="inlineStr">
        <is>
          <t>42ca158a-d041-448a-91e8-a5da178765ce.jpg</t>
        </is>
      </c>
      <c r="B4658">
        <f>HYPERLINK("Объекты недвижимости, не соответствующие градостроительным нормам_00-022_Август/42ca158a-d041-448a-91e8-a5da178765ce.jpg","open")</f>
        <v/>
      </c>
      <c r="C4658" t="inlineStr">
        <is>
          <t>db8b536c-32f2-4d9a-ae08-679d227e61f1</t>
        </is>
      </c>
      <c r="D4658" t="n">
        <v>55.69168</v>
      </c>
      <c r="E4658" t="n">
        <v>37.60204</v>
      </c>
      <c r="F4658" t="inlineStr"/>
      <c r="G4658" t="inlineStr"/>
      <c r="H4658" t="inlineStr"/>
    </row>
    <row r="4659">
      <c r="A4659" t="inlineStr">
        <is>
          <t>6ed97469-a0fa-484b-9283-436e5a2b6e28.jpg</t>
        </is>
      </c>
      <c r="B4659">
        <f>HYPERLINK("Объекты недвижимости, не соответствующие градостроительным нормам_00-022_Август/6ed97469-a0fa-484b-9283-436e5a2b6e28.jpg","open")</f>
        <v/>
      </c>
      <c r="C4659" t="inlineStr">
        <is>
          <t>a1a9db89-3f74-42ef-8fad-ad69705102cd</t>
        </is>
      </c>
      <c r="D4659" t="n">
        <v>55.75624</v>
      </c>
      <c r="E4659" t="n">
        <v>37.62917</v>
      </c>
      <c r="F4659" t="inlineStr"/>
      <c r="G4659" t="inlineStr"/>
      <c r="H4659" t="inlineStr"/>
    </row>
    <row r="4660">
      <c r="A4660" t="inlineStr">
        <is>
          <t>b054dd0f-e43e-45e0-86b8-3796c69c49fa.jpg</t>
        </is>
      </c>
      <c r="B4660">
        <f>HYPERLINK("Объекты недвижимости, не соответствующие градостроительным нормам_00-022_Август/b054dd0f-e43e-45e0-86b8-3796c69c49fa.jpg","open")</f>
        <v/>
      </c>
      <c r="C4660" t="inlineStr">
        <is>
          <t>a1a9db89-3f74-42ef-8fad-ad69705102cd</t>
        </is>
      </c>
      <c r="D4660" t="n">
        <v>55.75624</v>
      </c>
      <c r="E4660" t="n">
        <v>37.62917</v>
      </c>
      <c r="F4660" t="inlineStr"/>
      <c r="G4660" t="inlineStr"/>
      <c r="H4660" t="inlineStr"/>
    </row>
    <row r="4661">
      <c r="A4661" t="inlineStr">
        <is>
          <t>806f0470-fbe7-412c-b7b4-46fd1e5602f0.jpg</t>
        </is>
      </c>
      <c r="B4661">
        <f>HYPERLINK("Объекты недвижимости, не соответствующие градостроительным нормам_00-022_Август/806f0470-fbe7-412c-b7b4-46fd1e5602f0.jpg","open")</f>
        <v/>
      </c>
      <c r="C4661" t="inlineStr">
        <is>
          <t>cbf95b01-f708-45a3-9ec0-3603469b538e</t>
        </is>
      </c>
      <c r="D4661" t="n">
        <v>55.75624</v>
      </c>
      <c r="E4661" t="n">
        <v>37.62917</v>
      </c>
      <c r="F4661" t="inlineStr"/>
      <c r="G4661" t="inlineStr"/>
      <c r="H4661" t="inlineStr"/>
    </row>
    <row r="4662">
      <c r="A4662" t="inlineStr">
        <is>
          <t>616f63ae-4820-472e-b475-e3cb022cbbce.jpg</t>
        </is>
      </c>
      <c r="B4662">
        <f>HYPERLINK("Объекты недвижимости, не соответствующие градостроительным нормам_00-022_Август/616f63ae-4820-472e-b475-e3cb022cbbce.jpg","open")</f>
        <v/>
      </c>
      <c r="C4662" t="inlineStr">
        <is>
          <t>ffd931da-542f-43e9-979f-5552b17fe3dc</t>
        </is>
      </c>
      <c r="D4662" t="n">
        <v>55.81676</v>
      </c>
      <c r="E4662" t="n">
        <v>37.79069</v>
      </c>
      <c r="F4662" t="inlineStr"/>
      <c r="G4662" t="inlineStr"/>
      <c r="H4662" t="inlineStr"/>
    </row>
    <row r="4663">
      <c r="A4663" t="inlineStr">
        <is>
          <t>0d1d4c7b-6049-4600-a532-9c73c0c210d6.jpg</t>
        </is>
      </c>
      <c r="B4663">
        <f>HYPERLINK("Объекты недвижимости, не соответствующие градостроительным нормам_00-022_Август/0d1d4c7b-6049-4600-a532-9c73c0c210d6.jpg","open")</f>
        <v/>
      </c>
      <c r="C4663" t="inlineStr">
        <is>
          <t>936502dd-24a4-4256-9fdf-0d8fb72af3ed</t>
        </is>
      </c>
      <c r="D4663" t="n">
        <v>55.63881</v>
      </c>
      <c r="E4663" t="n">
        <v>37.69237</v>
      </c>
      <c r="F4663" t="inlineStr"/>
      <c r="G4663" t="inlineStr"/>
      <c r="H4663" t="inlineStr"/>
    </row>
    <row r="4664">
      <c r="A4664" t="inlineStr">
        <is>
          <t>4192d024-b0e4-4d0e-8632-fe79ef54e21b.jpg</t>
        </is>
      </c>
      <c r="B4664">
        <f>HYPERLINK("Объекты недвижимости, не соответствующие градостроительным нормам_00-022_Август/4192d024-b0e4-4d0e-8632-fe79ef54e21b.jpg","open")</f>
        <v/>
      </c>
      <c r="C4664" t="inlineStr">
        <is>
          <t>cbf95b01-f708-45a3-9ec0-3603469b538e</t>
        </is>
      </c>
      <c r="D4664" t="n">
        <v>55.75624</v>
      </c>
      <c r="E4664" t="n">
        <v>37.62917</v>
      </c>
      <c r="F4664" t="inlineStr"/>
      <c r="G4664" t="inlineStr"/>
      <c r="H4664" t="inlineStr"/>
    </row>
    <row r="4665">
      <c r="A4665" t="inlineStr">
        <is>
          <t>a1243f75-56df-4fd8-af83-bdd1d9ca7672.jpg</t>
        </is>
      </c>
      <c r="B4665">
        <f>HYPERLINK("Объекты недвижимости, не соответствующие градостроительным нормам_00-022_Август/a1243f75-56df-4fd8-af83-bdd1d9ca7672.jpg","open")</f>
        <v/>
      </c>
      <c r="C4665" t="inlineStr">
        <is>
          <t>db8b536c-32f2-4d9a-ae08-679d227e61f1</t>
        </is>
      </c>
      <c r="D4665" t="n">
        <v>55.68729</v>
      </c>
      <c r="E4665" t="n">
        <v>37.58509</v>
      </c>
      <c r="F4665" t="inlineStr"/>
      <c r="G4665" t="inlineStr"/>
      <c r="H4665" t="inlineStr"/>
    </row>
    <row r="4666">
      <c r="A4666" t="inlineStr">
        <is>
          <t>ca5727e6-2621-407e-bac3-41dbed8cad46.jpg</t>
        </is>
      </c>
      <c r="B4666">
        <f>HYPERLINK("Объекты недвижимости, не соответствующие градостроительным нормам_00-022_Август/ca5727e6-2621-407e-bac3-41dbed8cad46.jpg","open")</f>
        <v/>
      </c>
      <c r="C4666" t="inlineStr">
        <is>
          <t>cbf95b01-f708-45a3-9ec0-3603469b538e</t>
        </is>
      </c>
      <c r="D4666" t="n">
        <v>55.75624</v>
      </c>
      <c r="E4666" t="n">
        <v>37.62917</v>
      </c>
      <c r="F4666" t="inlineStr"/>
      <c r="G4666" t="inlineStr"/>
      <c r="H4666" t="inlineStr"/>
    </row>
    <row r="4667">
      <c r="A4667" t="inlineStr">
        <is>
          <t>c996c482-b2c4-49cd-965e-3350cf0f3f4b.jpg</t>
        </is>
      </c>
      <c r="B4667">
        <f>HYPERLINK("Объекты недвижимости, не соответствующие градостроительным нормам_00-022_Август/c996c482-b2c4-49cd-965e-3350cf0f3f4b.jpg","open")</f>
        <v/>
      </c>
      <c r="C4667" t="inlineStr">
        <is>
          <t>a1a9db89-3f74-42ef-8fad-ad69705102cd</t>
        </is>
      </c>
      <c r="D4667" t="n">
        <v>55.75624</v>
      </c>
      <c r="E4667" t="n">
        <v>37.62917</v>
      </c>
      <c r="F4667" t="inlineStr"/>
      <c r="G4667" t="inlineStr"/>
      <c r="H4667" t="inlineStr"/>
    </row>
    <row r="4668">
      <c r="A4668" t="inlineStr">
        <is>
          <t>44d4faf9-c990-4b3f-b781-e2e30170e3fa.jpg</t>
        </is>
      </c>
      <c r="B4668">
        <f>HYPERLINK("Объекты недвижимости, не соответствующие градостроительным нормам_00-022_Август/44d4faf9-c990-4b3f-b781-e2e30170e3fa.jpg","open")</f>
        <v/>
      </c>
      <c r="C4668" t="inlineStr">
        <is>
          <t>cbf95b01-f708-45a3-9ec0-3603469b538e</t>
        </is>
      </c>
      <c r="D4668" t="n">
        <v>55.75624</v>
      </c>
      <c r="E4668" t="n">
        <v>37.62917</v>
      </c>
      <c r="F4668" t="inlineStr"/>
      <c r="G4668" t="inlineStr"/>
      <c r="H4668" t="inlineStr"/>
    </row>
    <row r="4669">
      <c r="A4669" t="inlineStr">
        <is>
          <t>682c7096-d218-4edc-8d0a-27cafad28815.jpg</t>
        </is>
      </c>
      <c r="B4669">
        <f>HYPERLINK("Объекты недвижимости, не соответствующие градостроительным нормам_00-022_Август/682c7096-d218-4edc-8d0a-27cafad28815.jpg","open")</f>
        <v/>
      </c>
      <c r="C4669" t="inlineStr">
        <is>
          <t>685d9054-b74f-49ab-857b-109fd2cec80d</t>
        </is>
      </c>
      <c r="D4669" t="n">
        <v>55.67619</v>
      </c>
      <c r="E4669" t="n">
        <v>37.60264</v>
      </c>
      <c r="F4669" t="inlineStr"/>
      <c r="G4669" t="inlineStr"/>
      <c r="H4669" t="inlineStr"/>
    </row>
    <row r="4670">
      <c r="A4670" t="inlineStr">
        <is>
          <t>2737e790-f5f2-44c6-863e-3d69be244b1f.jpg</t>
        </is>
      </c>
      <c r="B4670">
        <f>HYPERLINK("Объекты недвижимости, не соответствующие градостроительным нормам_00-022_Август/2737e790-f5f2-44c6-863e-3d69be244b1f.jpg","open")</f>
        <v/>
      </c>
      <c r="C4670" t="inlineStr">
        <is>
          <t>1231bbc5-e64c-4dc7-9acc-77710f47607a</t>
        </is>
      </c>
      <c r="D4670" t="n">
        <v>55.6762</v>
      </c>
      <c r="E4670" t="n">
        <v>37.60263</v>
      </c>
      <c r="F4670" t="inlineStr"/>
      <c r="G4670" t="inlineStr"/>
      <c r="H4670" t="inlineStr"/>
    </row>
    <row r="4671">
      <c r="A4671" t="inlineStr">
        <is>
          <t>310fb3bb-79ee-4435-a6fe-5aae7c24b382.jpg</t>
        </is>
      </c>
      <c r="B4671">
        <f>HYPERLINK("Объекты недвижимости, не соответствующие градостроительным нормам_00-022_Август/310fb3bb-79ee-4435-a6fe-5aae7c24b382.jpg","open")</f>
        <v/>
      </c>
      <c r="C4671" t="inlineStr">
        <is>
          <t>31a713a9-b910-424b-b847-e0eaa2f70c70</t>
        </is>
      </c>
      <c r="D4671" t="n">
        <v>55.82985</v>
      </c>
      <c r="E4671" t="n">
        <v>37.07984</v>
      </c>
      <c r="F4671" t="inlineStr"/>
      <c r="G4671" t="inlineStr"/>
      <c r="H4671" t="inlineStr"/>
    </row>
    <row r="4672">
      <c r="A4672" t="inlineStr">
        <is>
          <t>49358b29-d819-4d4f-81c9-ae9abc713fc2.jpg</t>
        </is>
      </c>
      <c r="B4672">
        <f>HYPERLINK("Объекты недвижимости, не соответствующие градостроительным нормам_00-022_Август/49358b29-d819-4d4f-81c9-ae9abc713fc2.jpg","open")</f>
        <v/>
      </c>
      <c r="C4672" t="inlineStr">
        <is>
          <t>1231bbc5-e64c-4dc7-9acc-77710f47607a</t>
        </is>
      </c>
      <c r="D4672" t="n">
        <v>55.67722</v>
      </c>
      <c r="E4672" t="n">
        <v>37.59979</v>
      </c>
      <c r="F4672" t="inlineStr"/>
      <c r="G4672" t="inlineStr"/>
      <c r="H4672" t="inlineStr"/>
    </row>
    <row r="4673">
      <c r="A4673" t="inlineStr">
        <is>
          <t>01269be6-2560-4f26-99a2-0222ceec3933.jpg</t>
        </is>
      </c>
      <c r="B4673">
        <f>HYPERLINK("Объекты недвижимости, не соответствующие градостроительным нормам_00-022_Август/01269be6-2560-4f26-99a2-0222ceec3933.jpg","open")</f>
        <v/>
      </c>
      <c r="C4673" t="inlineStr">
        <is>
          <t>685d9054-b74f-49ab-857b-109fd2cec80d</t>
        </is>
      </c>
      <c r="D4673" t="n">
        <v>55.67723</v>
      </c>
      <c r="E4673" t="n">
        <v>37.59666</v>
      </c>
      <c r="F4673" t="inlineStr"/>
      <c r="G4673" t="inlineStr"/>
      <c r="H4673" t="inlineStr"/>
    </row>
    <row r="4674">
      <c r="A4674" t="inlineStr">
        <is>
          <t>e92b2343-f259-4271-b9d9-264506b4b354.jpg</t>
        </is>
      </c>
      <c r="B4674">
        <f>HYPERLINK("Объекты недвижимости, не соответствующие градостроительным нормам_00-022_Август/e92b2343-f259-4271-b9d9-264506b4b354.jpg","open")</f>
        <v/>
      </c>
      <c r="C4674" t="inlineStr">
        <is>
          <t>685d9054-b74f-49ab-857b-109fd2cec80d</t>
        </is>
      </c>
      <c r="D4674" t="n">
        <v>55.67701</v>
      </c>
      <c r="E4674" t="n">
        <v>37.59709</v>
      </c>
      <c r="F4674" t="inlineStr"/>
      <c r="G4674" t="inlineStr"/>
      <c r="H4674" t="inlineStr"/>
    </row>
    <row r="4675">
      <c r="A4675" t="inlineStr">
        <is>
          <t>2d236f00-dae5-4c1f-8745-222828b2a884.jpg</t>
        </is>
      </c>
      <c r="B4675">
        <f>HYPERLINK("Объекты недвижимости, не соответствующие градостроительным нормам_00-022_Август/2d236f00-dae5-4c1f-8745-222828b2a884.jpg","open")</f>
        <v/>
      </c>
      <c r="C4675" t="inlineStr">
        <is>
          <t>1231bbc5-e64c-4dc7-9acc-77710f47607a</t>
        </is>
      </c>
      <c r="D4675" t="n">
        <v>55.67652</v>
      </c>
      <c r="E4675" t="n">
        <v>37.59992</v>
      </c>
      <c r="F4675" t="inlineStr"/>
      <c r="G4675" t="inlineStr"/>
      <c r="H4675" t="inlineStr"/>
    </row>
    <row r="4676">
      <c r="A4676" t="inlineStr">
        <is>
          <t>714f6259-7e26-424a-8680-d6cbc7376862.jpg</t>
        </is>
      </c>
      <c r="B4676">
        <f>HYPERLINK("Объекты недвижимости, не соответствующие градостроительным нормам_00-022_Август/714f6259-7e26-424a-8680-d6cbc7376862.jpg","open")</f>
        <v/>
      </c>
      <c r="C4676" t="inlineStr">
        <is>
          <t>57812597-37e6-414c-8b11-8c661dbfeb70</t>
        </is>
      </c>
      <c r="D4676" t="n">
        <v>55.73612</v>
      </c>
      <c r="E4676" t="n">
        <v>37.59215</v>
      </c>
      <c r="F4676" t="inlineStr"/>
      <c r="G4676" t="inlineStr"/>
      <c r="H4676" t="inlineStr"/>
    </row>
    <row r="4677">
      <c r="A4677" t="inlineStr">
        <is>
          <t>2faa158f-f115-46cb-93f8-d78d7f7ace0e.jpg</t>
        </is>
      </c>
      <c r="B4677">
        <f>HYPERLINK("Объекты недвижимости, не соответствующие градостроительным нормам_00-022_Август/2faa158f-f115-46cb-93f8-d78d7f7ace0e.jpg","open")</f>
        <v/>
      </c>
      <c r="C4677" t="inlineStr">
        <is>
          <t>685d9054-b74f-49ab-857b-109fd2cec80d</t>
        </is>
      </c>
      <c r="D4677" t="n">
        <v>55.67539</v>
      </c>
      <c r="E4677" t="n">
        <v>37.60629</v>
      </c>
      <c r="F4677" t="inlineStr"/>
      <c r="G4677" t="inlineStr"/>
      <c r="H4677" t="inlineStr"/>
    </row>
    <row r="4678">
      <c r="A4678" t="inlineStr">
        <is>
          <t>a4e4dd8d-5a98-41ca-9494-8a6711191b9b.jpg</t>
        </is>
      </c>
      <c r="B4678">
        <f>HYPERLINK("Объекты недвижимости, не соответствующие градостроительным нормам_00-022_Август/a4e4dd8d-5a98-41ca-9494-8a6711191b9b.jpg","open")</f>
        <v/>
      </c>
      <c r="C4678" t="inlineStr">
        <is>
          <t>ffd931da-542f-43e9-979f-5552b17fe3dc</t>
        </is>
      </c>
      <c r="D4678" t="n">
        <v>55.81884</v>
      </c>
      <c r="E4678" t="n">
        <v>37.79482</v>
      </c>
      <c r="F4678" t="inlineStr"/>
      <c r="G4678" t="inlineStr"/>
      <c r="H4678" t="inlineStr"/>
    </row>
    <row r="4679">
      <c r="A4679" t="inlineStr">
        <is>
          <t>fe1c3444-b8ba-4648-83e2-5fcb05e9c019.jpg</t>
        </is>
      </c>
      <c r="B4679">
        <f>HYPERLINK("Объекты недвижимости, не соответствующие градостроительным нормам_00-022_Август/fe1c3444-b8ba-4648-83e2-5fcb05e9c019.jpg","open")</f>
        <v/>
      </c>
      <c r="C4679" t="inlineStr">
        <is>
          <t>797901ad-53b1-41b8-99d1-d59d59c863d5</t>
        </is>
      </c>
      <c r="D4679" t="n">
        <v>55.75369</v>
      </c>
      <c r="E4679" t="n">
        <v>37.73475</v>
      </c>
      <c r="F4679" t="inlineStr"/>
      <c r="G4679" t="inlineStr"/>
      <c r="H4679" t="inlineStr"/>
    </row>
    <row r="4680">
      <c r="A4680" t="inlineStr">
        <is>
          <t>50c7cf6a-93d7-4d32-ac4f-72abe437fcf0.jpg</t>
        </is>
      </c>
      <c r="B4680">
        <f>HYPERLINK("Объекты недвижимости, не соответствующие градостроительным нормам_00-022_Август/50c7cf6a-93d7-4d32-ac4f-72abe437fcf0.jpg","open")</f>
        <v/>
      </c>
      <c r="C4680" t="inlineStr">
        <is>
          <t>2acfb2da-e3f6-464c-bd17-4b713522c142</t>
        </is>
      </c>
      <c r="D4680" t="n">
        <v>55.88033</v>
      </c>
      <c r="E4680" t="n">
        <v>37.71448</v>
      </c>
      <c r="F4680" t="inlineStr"/>
      <c r="G4680" t="inlineStr"/>
      <c r="H4680" t="inlineStr"/>
    </row>
    <row r="4681">
      <c r="A4681" t="inlineStr">
        <is>
          <t>cecc23de-391b-4dc0-bc5b-235f6b7bedc0.jpg</t>
        </is>
      </c>
      <c r="B4681">
        <f>HYPERLINK("Объекты недвижимости, не соответствующие градостроительным нормам_00-022_Август/cecc23de-391b-4dc0-bc5b-235f6b7bedc0.jpg","open")</f>
        <v/>
      </c>
      <c r="C4681" t="inlineStr">
        <is>
          <t>a28f597e-d1cd-4d3b-b572-c86d033412e9</t>
        </is>
      </c>
      <c r="D4681" t="n">
        <v>55.67674</v>
      </c>
      <c r="E4681" t="n">
        <v>37.48909</v>
      </c>
      <c r="F4681" t="inlineStr"/>
      <c r="G4681" t="inlineStr"/>
      <c r="H4681" t="inlineStr"/>
    </row>
    <row r="4682">
      <c r="A4682" t="inlineStr">
        <is>
          <t>254acd69-32f5-491b-b6b2-077c125a20d9.jpg</t>
        </is>
      </c>
      <c r="B4682">
        <f>HYPERLINK("Объекты недвижимости, не соответствующие градостроительным нормам_00-022_Август/254acd69-32f5-491b-b6b2-077c125a20d9.jpg","open")</f>
        <v/>
      </c>
      <c r="C4682" t="inlineStr">
        <is>
          <t>789f6c51-64ee-4078-b7bd-443af8b8b68a</t>
        </is>
      </c>
      <c r="D4682" t="n">
        <v>55.87997</v>
      </c>
      <c r="E4682" t="n">
        <v>37.71534</v>
      </c>
      <c r="F4682" t="inlineStr"/>
      <c r="G4682" t="inlineStr"/>
      <c r="H4682" t="inlineStr"/>
    </row>
    <row r="4683">
      <c r="A4683" t="inlineStr">
        <is>
          <t>fe340010-c401-4919-b5a4-4722332db538.jpg</t>
        </is>
      </c>
      <c r="B4683">
        <f>HYPERLINK("Объекты недвижимости, не соответствующие градостроительным нормам_00-022_Август/fe340010-c401-4919-b5a4-4722332db538.jpg","open")</f>
        <v/>
      </c>
      <c r="C4683" t="inlineStr">
        <is>
          <t>2acfb2da-e3f6-464c-bd17-4b713522c142</t>
        </is>
      </c>
      <c r="D4683" t="n">
        <v>55.87904</v>
      </c>
      <c r="E4683" t="n">
        <v>37.7141</v>
      </c>
      <c r="F4683" t="inlineStr"/>
      <c r="G4683" t="inlineStr"/>
      <c r="H4683" t="inlineStr"/>
    </row>
    <row r="4684">
      <c r="A4684" t="inlineStr">
        <is>
          <t>c47af8a7-a8fc-420d-b66c-fe82b498ad08.jpg</t>
        </is>
      </c>
      <c r="B4684">
        <f>HYPERLINK("Объекты недвижимости, не соответствующие градостроительным нормам_00-022_Август/c47af8a7-a8fc-420d-b66c-fe82b498ad08.jpg","open")</f>
        <v/>
      </c>
      <c r="C4684" t="inlineStr">
        <is>
          <t>ffd931da-542f-43e9-979f-5552b17fe3dc</t>
        </is>
      </c>
      <c r="D4684" t="n">
        <v>55.81534</v>
      </c>
      <c r="E4684" t="n">
        <v>37.79523</v>
      </c>
      <c r="F4684" t="inlineStr"/>
      <c r="G4684" t="inlineStr"/>
      <c r="H4684" t="inlineStr"/>
    </row>
    <row r="4685">
      <c r="A4685" t="inlineStr">
        <is>
          <t>4542f389-e0e1-4170-a02a-4b54e52ad6e9.jpg</t>
        </is>
      </c>
      <c r="B4685">
        <f>HYPERLINK("Объекты недвижимости, не соответствующие градостроительным нормам_00-022_Август/4542f389-e0e1-4170-a02a-4b54e52ad6e9.jpg","open")</f>
        <v/>
      </c>
      <c r="C4685" t="inlineStr">
        <is>
          <t>f389b777-2837-46f0-983f-56af24850601</t>
        </is>
      </c>
      <c r="D4685" t="n">
        <v>55.80589</v>
      </c>
      <c r="E4685" t="n">
        <v>37.39574</v>
      </c>
      <c r="F4685" t="inlineStr"/>
      <c r="G4685" t="inlineStr"/>
      <c r="H4685" t="inlineStr"/>
    </row>
    <row r="4686">
      <c r="A4686" t="inlineStr">
        <is>
          <t>ac007fd7-d5c5-4b7c-bb1d-7712410e9559.jpg</t>
        </is>
      </c>
      <c r="B4686">
        <f>HYPERLINK("Объекты недвижимости, не соответствующие градостроительным нормам_00-022_Август/ac007fd7-d5c5-4b7c-bb1d-7712410e9559.jpg","open")</f>
        <v/>
      </c>
      <c r="C4686" t="inlineStr">
        <is>
          <t>acedacc2-0d8b-4fc1-9622-25621a89d071</t>
        </is>
      </c>
      <c r="D4686" t="n">
        <v>55.79447</v>
      </c>
      <c r="E4686" t="n">
        <v>37.78642</v>
      </c>
      <c r="F4686" t="inlineStr"/>
      <c r="G4686" t="inlineStr"/>
      <c r="H4686" t="inlineStr"/>
    </row>
    <row r="4687">
      <c r="A4687" t="inlineStr">
        <is>
          <t>1c4bd9f0-bad5-46cc-8d08-fd2266904718.jpg</t>
        </is>
      </c>
      <c r="B4687">
        <f>HYPERLINK("Объекты недвижимости, не соответствующие градостроительным нормам_00-022_Август/1c4bd9f0-bad5-46cc-8d08-fd2266904718.jpg","open")</f>
        <v/>
      </c>
      <c r="C4687" t="inlineStr">
        <is>
          <t>685d9054-b74f-49ab-857b-109fd2cec80d</t>
        </is>
      </c>
      <c r="D4687" t="n">
        <v>55.67894</v>
      </c>
      <c r="E4687" t="n">
        <v>37.60998</v>
      </c>
      <c r="F4687" t="inlineStr"/>
      <c r="G4687" t="inlineStr"/>
      <c r="H4687" t="inlineStr"/>
    </row>
    <row r="4688">
      <c r="A4688" t="inlineStr">
        <is>
          <t>27fd3fc9-e00d-44dd-b216-25ffae54ea07.jpg</t>
        </is>
      </c>
      <c r="B4688">
        <f>HYPERLINK("Объекты недвижимости, не соответствующие градостроительным нормам_00-022_Август/27fd3fc9-e00d-44dd-b216-25ffae54ea07.jpg","open")</f>
        <v/>
      </c>
      <c r="C4688" t="inlineStr">
        <is>
          <t>ad64e6b9-1ed5-44d7-a101-4945a1f9dec6</t>
        </is>
      </c>
      <c r="D4688" t="n">
        <v>55.65772</v>
      </c>
      <c r="E4688" t="n">
        <v>37.60349</v>
      </c>
      <c r="F4688" t="inlineStr"/>
      <c r="G4688" t="inlineStr"/>
      <c r="H4688" t="inlineStr"/>
    </row>
    <row r="4689">
      <c r="A4689" t="inlineStr">
        <is>
          <t>13648b3e-55f4-47fc-bbe6-92938bef9000.jpg</t>
        </is>
      </c>
      <c r="B4689">
        <f>HYPERLINK("Объекты недвижимости, не соответствующие градостроительным нормам_00-022_Август/13648b3e-55f4-47fc-bbe6-92938bef9000.jpg","open")</f>
        <v/>
      </c>
      <c r="C4689" t="inlineStr">
        <is>
          <t>12e795ad-2aa7-49de-b2da-2c6aa35a4559</t>
        </is>
      </c>
      <c r="D4689" t="n">
        <v>55.65779</v>
      </c>
      <c r="E4689" t="n">
        <v>37.60337</v>
      </c>
      <c r="F4689" t="inlineStr"/>
      <c r="G4689" t="inlineStr"/>
      <c r="H4689" t="inlineStr"/>
    </row>
    <row r="4690">
      <c r="A4690" t="inlineStr">
        <is>
          <t>587d6634-8e18-4664-bcc3-70dd2e8c7a7a.jpg</t>
        </is>
      </c>
      <c r="B4690">
        <f>HYPERLINK("Объекты недвижимости, не соответствующие градостроительным нормам_00-022_Август/587d6634-8e18-4664-bcc3-70dd2e8c7a7a.jpg","open")</f>
        <v/>
      </c>
      <c r="C4690" t="inlineStr">
        <is>
          <t>685d9054-b74f-49ab-857b-109fd2cec80d</t>
        </is>
      </c>
      <c r="D4690" t="n">
        <v>55.6796</v>
      </c>
      <c r="E4690" t="n">
        <v>37.60868</v>
      </c>
      <c r="F4690" t="inlineStr"/>
      <c r="G4690" t="inlineStr"/>
      <c r="H4690" t="inlineStr"/>
    </row>
    <row r="4691">
      <c r="A4691" t="inlineStr">
        <is>
          <t>00490343-34ba-4271-a7da-911930f774ef.jpg</t>
        </is>
      </c>
      <c r="B4691">
        <f>HYPERLINK("Объекты недвижимости, не соответствующие градостроительным нормам_00-022_Август/00490343-34ba-4271-a7da-911930f774ef.jpg","open")</f>
        <v/>
      </c>
      <c r="C4691" t="inlineStr">
        <is>
          <t>57aae8a4-582b-4309-8045-c8127a9f86ae</t>
        </is>
      </c>
      <c r="D4691" t="n">
        <v>55.793</v>
      </c>
      <c r="E4691" t="n">
        <v>37.78297</v>
      </c>
      <c r="F4691" t="inlineStr"/>
      <c r="G4691" t="inlineStr"/>
      <c r="H4691" t="inlineStr"/>
    </row>
    <row r="4692">
      <c r="A4692" t="inlineStr">
        <is>
          <t>361c7e75-0f73-4356-bf7d-f3bfa690bc99.jpg</t>
        </is>
      </c>
      <c r="B4692">
        <f>HYPERLINK("Объекты недвижимости, не соответствующие градостроительным нормам_00-022_Август/361c7e75-0f73-4356-bf7d-f3bfa690bc99.jpg","open")</f>
        <v/>
      </c>
      <c r="C4692" t="inlineStr">
        <is>
          <t>1231bbc5-e64c-4dc7-9acc-77710f47607a</t>
        </is>
      </c>
      <c r="D4692" t="n">
        <v>55.67989</v>
      </c>
      <c r="E4692" t="n">
        <v>37.61177</v>
      </c>
      <c r="F4692" t="inlineStr"/>
      <c r="G4692" t="inlineStr"/>
      <c r="H4692" t="inlineStr"/>
    </row>
    <row r="4693">
      <c r="A4693" t="inlineStr">
        <is>
          <t>b9440b00-07dd-42df-8bf4-5961041d58c7.jpg</t>
        </is>
      </c>
      <c r="B4693">
        <f>HYPERLINK("Объекты недвижимости, не соответствующие градостроительным нормам_00-022_Август/b9440b00-07dd-42df-8bf4-5961041d58c7.jpg","open")</f>
        <v/>
      </c>
      <c r="C4693" t="inlineStr">
        <is>
          <t>685d9054-b74f-49ab-857b-109fd2cec80d</t>
        </is>
      </c>
      <c r="D4693" t="n">
        <v>55.67991</v>
      </c>
      <c r="E4693" t="n">
        <v>37.61168</v>
      </c>
      <c r="F4693" t="inlineStr"/>
      <c r="G4693" t="inlineStr"/>
      <c r="H4693" t="inlineStr"/>
    </row>
    <row r="4694">
      <c r="A4694" t="inlineStr">
        <is>
          <t>09fa839a-11e8-4f71-a055-cf3cbe038923.jpg</t>
        </is>
      </c>
      <c r="B4694">
        <f>HYPERLINK("Объекты недвижимости, не соответствующие градостроительным нормам_00-022_Август/09fa839a-11e8-4f71-a055-cf3cbe038923.jpg","open")</f>
        <v/>
      </c>
      <c r="C4694" t="inlineStr">
        <is>
          <t>18a5c468-d9e6-4814-8477-1caf4a2e1fe9</t>
        </is>
      </c>
      <c r="D4694" t="n">
        <v>55.69364</v>
      </c>
      <c r="E4694" t="n">
        <v>37.66632</v>
      </c>
      <c r="F4694" t="inlineStr"/>
      <c r="G4694" t="inlineStr"/>
      <c r="H4694" t="inlineStr"/>
    </row>
    <row r="4695">
      <c r="A4695" t="inlineStr">
        <is>
          <t>4f05c606-ef45-4dd6-ac1c-f6d55d562baa.jpg</t>
        </is>
      </c>
      <c r="B4695">
        <f>HYPERLINK("Объекты недвижимости, не соответствующие градостроительным нормам_00-022_Август/4f05c606-ef45-4dd6-ac1c-f6d55d562baa.jpg","open")</f>
        <v/>
      </c>
      <c r="C4695" t="inlineStr">
        <is>
          <t>685d9054-b74f-49ab-857b-109fd2cec80d</t>
        </is>
      </c>
      <c r="D4695" t="n">
        <v>55.68071</v>
      </c>
      <c r="E4695" t="n">
        <v>37.6105</v>
      </c>
      <c r="F4695" t="inlineStr"/>
      <c r="G4695" t="inlineStr"/>
      <c r="H4695" t="inlineStr"/>
    </row>
    <row r="4696">
      <c r="A4696" t="inlineStr">
        <is>
          <t>78792464-d20b-4d89-9c70-9ce32278177e.jpg</t>
        </is>
      </c>
      <c r="B4696">
        <f>HYPERLINK("Объекты недвижимости, не соответствующие градостроительным нормам_00-022_Август/78792464-d20b-4d89-9c70-9ce32278177e.jpg","open")</f>
        <v/>
      </c>
      <c r="C4696" t="inlineStr">
        <is>
          <t>1231bbc5-e64c-4dc7-9acc-77710f47607a</t>
        </is>
      </c>
      <c r="D4696" t="n">
        <v>55.68069</v>
      </c>
      <c r="E4696" t="n">
        <v>37.61045</v>
      </c>
      <c r="F4696" t="inlineStr"/>
      <c r="G4696" t="inlineStr"/>
      <c r="H4696" t="inlineStr"/>
    </row>
    <row r="4697">
      <c r="A4697" t="inlineStr">
        <is>
          <t>400db39d-bf01-4c63-8bd8-d73023a465bd.jpg</t>
        </is>
      </c>
      <c r="B4697">
        <f>HYPERLINK("Объекты недвижимости, не соответствующие градостроительным нормам_00-022_Август/400db39d-bf01-4c63-8bd8-d73023a465bd.jpg","open")</f>
        <v/>
      </c>
      <c r="C4697" t="inlineStr">
        <is>
          <t>685d9054-b74f-49ab-857b-109fd2cec80d</t>
        </is>
      </c>
      <c r="D4697" t="n">
        <v>55.68068</v>
      </c>
      <c r="E4697" t="n">
        <v>37.61044</v>
      </c>
      <c r="F4697" t="inlineStr"/>
      <c r="G4697" t="inlineStr"/>
      <c r="H4697" t="inlineStr"/>
    </row>
    <row r="4698">
      <c r="A4698" t="inlineStr">
        <is>
          <t>c5cec715-004c-4097-9603-5060582435ea.jpg</t>
        </is>
      </c>
      <c r="B4698">
        <f>HYPERLINK("Объекты недвижимости, не соответствующие градостроительным нормам_00-022_Август/c5cec715-004c-4097-9603-5060582435ea.jpg","open")</f>
        <v/>
      </c>
      <c r="C4698" t="inlineStr">
        <is>
          <t>ed2bf0f1-3a66-4913-896e-4420a9796c0b</t>
        </is>
      </c>
      <c r="D4698" t="n">
        <v>55.6971</v>
      </c>
      <c r="E4698" t="n">
        <v>37.66275</v>
      </c>
      <c r="F4698" t="inlineStr"/>
      <c r="G4698" t="inlineStr"/>
      <c r="H4698" t="inlineStr"/>
    </row>
    <row r="4699">
      <c r="A4699" t="inlineStr">
        <is>
          <t>e5a316fe-f22c-4dcf-bda2-8346ba889e42.jpg</t>
        </is>
      </c>
      <c r="B4699">
        <f>HYPERLINK("Объекты недвижимости, не соответствующие градостроительным нормам_00-022_Август/e5a316fe-f22c-4dcf-bda2-8346ba889e42.jpg","open")</f>
        <v/>
      </c>
      <c r="C4699" t="inlineStr">
        <is>
          <t>ad64e6b9-1ed5-44d7-a101-4945a1f9dec6</t>
        </is>
      </c>
      <c r="D4699" t="n">
        <v>55.66063</v>
      </c>
      <c r="E4699" t="n">
        <v>37.60379</v>
      </c>
      <c r="F4699" t="inlineStr"/>
      <c r="G4699" t="inlineStr"/>
      <c r="H4699" t="inlineStr"/>
    </row>
    <row r="4700">
      <c r="A4700" t="inlineStr">
        <is>
          <t>348d7241-c64e-4c82-a04e-05333a8f373a.jpg</t>
        </is>
      </c>
      <c r="B4700">
        <f>HYPERLINK("Объекты недвижимости, не соответствующие градостроительным нормам_00-022_Август/348d7241-c64e-4c82-a04e-05333a8f373a.jpg","open")</f>
        <v/>
      </c>
      <c r="C4700" t="inlineStr">
        <is>
          <t>ed2bf0f1-3a66-4913-896e-4420a9796c0b</t>
        </is>
      </c>
      <c r="D4700" t="n">
        <v>55.6998</v>
      </c>
      <c r="E4700" t="n">
        <v>37.65656</v>
      </c>
      <c r="F4700" t="inlineStr"/>
      <c r="G4700" t="inlineStr"/>
      <c r="H4700" t="inlineStr"/>
    </row>
    <row r="4701">
      <c r="A4701" t="inlineStr">
        <is>
          <t>593697be-2849-4540-a436-49032837886e.jpg</t>
        </is>
      </c>
      <c r="B4701">
        <f>HYPERLINK("Объекты недвижимости, не соответствующие градостроительным нормам_00-022_Август/593697be-2849-4540-a436-49032837886e.jpg","open")</f>
        <v/>
      </c>
      <c r="C4701" t="inlineStr">
        <is>
          <t>1a55986c-2c3f-40c0-b3d1-014dce77832e</t>
        </is>
      </c>
      <c r="D4701" t="n">
        <v>55.69979</v>
      </c>
      <c r="E4701" t="n">
        <v>37.65659</v>
      </c>
      <c r="F4701" t="inlineStr"/>
      <c r="G4701" t="inlineStr"/>
      <c r="H4701" t="inlineStr"/>
    </row>
    <row r="4702">
      <c r="A4702" t="inlineStr">
        <is>
          <t>62de6b58-9540-4b11-8aaa-b3c2049ebaef.jpg</t>
        </is>
      </c>
      <c r="B4702">
        <f>HYPERLINK("Объекты недвижимости, не соответствующие градостроительным нормам_00-022_Август/62de6b58-9540-4b11-8aaa-b3c2049ebaef.jpg","open")</f>
        <v/>
      </c>
      <c r="C4702" t="inlineStr">
        <is>
          <t>ad64e6b9-1ed5-44d7-a101-4945a1f9dec6</t>
        </is>
      </c>
      <c r="D4702" t="n">
        <v>55.66066</v>
      </c>
      <c r="E4702" t="n">
        <v>37.60375</v>
      </c>
      <c r="F4702" t="inlineStr"/>
      <c r="G4702" t="inlineStr"/>
      <c r="H4702" t="inlineStr"/>
    </row>
    <row r="4703">
      <c r="A4703" t="inlineStr">
        <is>
          <t>a803c031-c716-4674-a1c7-85759cfbd030.jpg</t>
        </is>
      </c>
      <c r="B4703">
        <f>HYPERLINK("Объекты недвижимости, не соответствующие градостроительным нормам_00-022_Август/a803c031-c716-4674-a1c7-85759cfbd030.jpg","open")</f>
        <v/>
      </c>
      <c r="C4703" t="inlineStr">
        <is>
          <t>ad64e6b9-1ed5-44d7-a101-4945a1f9dec6</t>
        </is>
      </c>
      <c r="D4703" t="n">
        <v>55.66067</v>
      </c>
      <c r="E4703" t="n">
        <v>37.60373</v>
      </c>
      <c r="F4703" t="inlineStr"/>
      <c r="G4703" t="inlineStr"/>
      <c r="H4703" t="inlineStr"/>
    </row>
    <row r="4704">
      <c r="A4704" t="inlineStr">
        <is>
          <t>89aea9f8-8171-4b3b-b208-cc20abba0dbd.jpg</t>
        </is>
      </c>
      <c r="B4704">
        <f>HYPERLINK("Объекты недвижимости, не соответствующие градостроительным нормам_00-022_Август/89aea9f8-8171-4b3b-b208-cc20abba0dbd.jpg","open")</f>
        <v/>
      </c>
      <c r="C4704" t="inlineStr">
        <is>
          <t>ad64e6b9-1ed5-44d7-a101-4945a1f9dec6</t>
        </is>
      </c>
      <c r="D4704" t="n">
        <v>55.66066</v>
      </c>
      <c r="E4704" t="n">
        <v>37.60372</v>
      </c>
      <c r="F4704" t="inlineStr"/>
      <c r="G4704" t="inlineStr"/>
      <c r="H4704" t="inlineStr"/>
    </row>
    <row r="4705">
      <c r="A4705" t="inlineStr">
        <is>
          <t>a2218c2c-f873-49c2-b3a0-90b6a92f0423.jpg</t>
        </is>
      </c>
      <c r="B4705">
        <f>HYPERLINK("Объекты недвижимости, не соответствующие градостроительным нормам_00-022_Август/a2218c2c-f873-49c2-b3a0-90b6a92f0423.jpg","open")</f>
        <v/>
      </c>
      <c r="C4705" t="inlineStr">
        <is>
          <t>b0429a31-0c70-4b9f-8ea5-73929d82f89e</t>
        </is>
      </c>
      <c r="D4705" t="n">
        <v>55.66046</v>
      </c>
      <c r="E4705" t="n">
        <v>37.62745</v>
      </c>
      <c r="F4705" t="inlineStr"/>
      <c r="G4705" t="inlineStr"/>
      <c r="H4705" t="inlineStr"/>
    </row>
    <row r="4706">
      <c r="A4706" t="inlineStr">
        <is>
          <t>edfbd690-4b20-4847-ab47-7d3b498448db.jpg</t>
        </is>
      </c>
      <c r="B4706">
        <f>HYPERLINK("Объекты недвижимости, не соответствующие градостроительным нормам_00-022_Август/edfbd690-4b20-4847-ab47-7d3b498448db.jpg","open")</f>
        <v/>
      </c>
      <c r="C4706" t="inlineStr">
        <is>
          <t>685d9054-b74f-49ab-857b-109fd2cec80d</t>
        </is>
      </c>
      <c r="D4706" t="n">
        <v>55.68117</v>
      </c>
      <c r="E4706" t="n">
        <v>37.61192</v>
      </c>
      <c r="F4706" t="inlineStr"/>
      <c r="G4706" t="inlineStr"/>
      <c r="H4706" t="inlineStr"/>
    </row>
    <row r="4707">
      <c r="A4707" t="inlineStr">
        <is>
          <t>4ed7049e-5ebc-483d-ae93-bfb511f79485.jpg</t>
        </is>
      </c>
      <c r="B4707">
        <f>HYPERLINK("Объекты недвижимости, не соответствующие градостроительным нормам_00-022_Август/4ed7049e-5ebc-483d-ae93-bfb511f79485.jpg","open")</f>
        <v/>
      </c>
      <c r="C4707" t="inlineStr">
        <is>
          <t>b0429a31-0c70-4b9f-8ea5-73929d82f89e</t>
        </is>
      </c>
      <c r="D4707" t="n">
        <v>55.66027</v>
      </c>
      <c r="E4707" t="n">
        <v>37.62738</v>
      </c>
      <c r="F4707" t="inlineStr"/>
      <c r="G4707" t="inlineStr"/>
      <c r="H4707" t="inlineStr"/>
    </row>
    <row r="4708">
      <c r="A4708" t="inlineStr">
        <is>
          <t>8fac496a-dd00-433c-8d57-711a26b5eaff.jpg</t>
        </is>
      </c>
      <c r="B4708">
        <f>HYPERLINK("Объекты недвижимости, не соответствующие градостроительным нормам_00-022_Август/8fac496a-dd00-433c-8d57-711a26b5eaff.jpg","open")</f>
        <v/>
      </c>
      <c r="C4708" t="inlineStr">
        <is>
          <t>57aae8a4-582b-4309-8045-c8127a9f86ae</t>
        </is>
      </c>
      <c r="D4708" t="n">
        <v>55.79525</v>
      </c>
      <c r="E4708" t="n">
        <v>37.78932</v>
      </c>
      <c r="F4708" t="inlineStr"/>
      <c r="G4708" t="inlineStr"/>
      <c r="H4708" t="inlineStr"/>
    </row>
    <row r="4709">
      <c r="A4709" t="inlineStr">
        <is>
          <t>d4bbcd7f-c176-4a8b-a6bf-34abbab5f3e1.jpg</t>
        </is>
      </c>
      <c r="B4709">
        <f>HYPERLINK("Объекты недвижимости, не соответствующие градостроительным нормам_00-022_Август/d4bbcd7f-c176-4a8b-a6bf-34abbab5f3e1.jpg","open")</f>
        <v/>
      </c>
      <c r="C4709" t="inlineStr">
        <is>
          <t>0dd30d74-4dbc-46a8-b638-91e1431bb398</t>
        </is>
      </c>
      <c r="D4709" t="n">
        <v>55.7613</v>
      </c>
      <c r="E4709" t="n">
        <v>37.73637</v>
      </c>
      <c r="F4709" t="inlineStr"/>
      <c r="G4709" t="inlineStr"/>
      <c r="H4709" t="inlineStr"/>
    </row>
    <row r="4710">
      <c r="A4710" t="inlineStr">
        <is>
          <t>cb27d934-3cb2-4b2e-9947-3b559586c4a3.jpg</t>
        </is>
      </c>
      <c r="B4710">
        <f>HYPERLINK("Объекты недвижимости, не соответствующие градостроительным нормам_00-022_Август/cb27d934-3cb2-4b2e-9947-3b559586c4a3.jpg","open")</f>
        <v/>
      </c>
      <c r="C4710" t="inlineStr">
        <is>
          <t>685d9054-b74f-49ab-857b-109fd2cec80d</t>
        </is>
      </c>
      <c r="D4710" t="n">
        <v>55.68133</v>
      </c>
      <c r="E4710" t="n">
        <v>37.61378</v>
      </c>
      <c r="F4710" t="inlineStr"/>
      <c r="G4710" t="inlineStr"/>
      <c r="H4710" t="inlineStr"/>
    </row>
    <row r="4711">
      <c r="A4711" t="inlineStr">
        <is>
          <t>832c813d-b587-42a5-abbf-12955a31553c.jpg</t>
        </is>
      </c>
      <c r="B4711">
        <f>HYPERLINK("Объекты недвижимости, не соответствующие градостроительным нормам_00-022_Август/832c813d-b587-42a5-abbf-12955a31553c.jpg","open")</f>
        <v/>
      </c>
      <c r="C4711" t="inlineStr">
        <is>
          <t>ffd931da-542f-43e9-979f-5552b17fe3dc</t>
        </is>
      </c>
      <c r="D4711" t="n">
        <v>55.81379</v>
      </c>
      <c r="E4711" t="n">
        <v>37.8009</v>
      </c>
      <c r="F4711" t="inlineStr"/>
      <c r="G4711" t="inlineStr"/>
      <c r="H4711" t="inlineStr"/>
    </row>
    <row r="4712">
      <c r="A4712" t="inlineStr">
        <is>
          <t>0711ec39-96ee-4734-a882-99ab85087e90.jpg</t>
        </is>
      </c>
      <c r="B4712">
        <f>HYPERLINK("Объекты недвижимости, не соответствующие градостроительным нормам_00-022_Август/0711ec39-96ee-4734-a882-99ab85087e90.jpg","open")</f>
        <v/>
      </c>
      <c r="C4712" t="inlineStr">
        <is>
          <t>685d9054-b74f-49ab-857b-109fd2cec80d</t>
        </is>
      </c>
      <c r="D4712" t="n">
        <v>55.68158</v>
      </c>
      <c r="E4712" t="n">
        <v>37.61227</v>
      </c>
      <c r="F4712" t="inlineStr"/>
      <c r="G4712" t="inlineStr"/>
      <c r="H4712" t="inlineStr"/>
    </row>
    <row r="4713">
      <c r="A4713" t="inlineStr">
        <is>
          <t>81266714-a03c-42ae-9431-ec09fdc51fb6.jpg</t>
        </is>
      </c>
      <c r="B4713">
        <f>HYPERLINK("Объекты недвижимости, не соответствующие градостроительным нормам_00-022_Август/81266714-a03c-42ae-9431-ec09fdc51fb6.jpg","open")</f>
        <v/>
      </c>
      <c r="C4713" t="inlineStr">
        <is>
          <t>b0429a31-0c70-4b9f-8ea5-73929d82f89e</t>
        </is>
      </c>
      <c r="D4713" t="n">
        <v>55.6608</v>
      </c>
      <c r="E4713" t="n">
        <v>37.62514</v>
      </c>
      <c r="F4713" t="inlineStr"/>
      <c r="G4713" t="inlineStr"/>
      <c r="H4713" t="inlineStr"/>
    </row>
    <row r="4714">
      <c r="A4714" t="inlineStr">
        <is>
          <t>04f7e00f-3e71-4177-9b5c-e73021f9d5b6.jpg</t>
        </is>
      </c>
      <c r="B4714">
        <f>HYPERLINK("Объекты недвижимости, не соответствующие градостроительным нормам_00-022_Август/04f7e00f-3e71-4177-9b5c-e73021f9d5b6.jpg","open")</f>
        <v/>
      </c>
      <c r="C4714" t="inlineStr">
        <is>
          <t>1231bbc5-e64c-4dc7-9acc-77710f47607a</t>
        </is>
      </c>
      <c r="D4714" t="n">
        <v>55.68162</v>
      </c>
      <c r="E4714" t="n">
        <v>37.61227</v>
      </c>
      <c r="F4714" t="inlineStr"/>
      <c r="G4714" t="inlineStr"/>
      <c r="H4714" t="inlineStr"/>
    </row>
    <row r="4715">
      <c r="A4715" t="inlineStr">
        <is>
          <t>ff24b384-29e9-4ddd-8b22-6e1a62df9a18.jpg</t>
        </is>
      </c>
      <c r="B4715">
        <f>HYPERLINK("Объекты недвижимости, не соответствующие градостроительным нормам_00-022_Август/ff24b384-29e9-4ddd-8b22-6e1a62df9a18.jpg","open")</f>
        <v/>
      </c>
      <c r="C4715" t="inlineStr">
        <is>
          <t>1a55986c-2c3f-40c0-b3d1-014dce77832e</t>
        </is>
      </c>
      <c r="D4715" t="n">
        <v>55.69044</v>
      </c>
      <c r="E4715" t="n">
        <v>37.66496</v>
      </c>
      <c r="F4715" t="inlineStr"/>
      <c r="G4715" t="inlineStr"/>
      <c r="H4715" t="inlineStr"/>
    </row>
    <row r="4716">
      <c r="A4716" t="inlineStr">
        <is>
          <t>0fde5d37-95c1-4341-9c9e-ba14a6e06655.jpg</t>
        </is>
      </c>
      <c r="B4716">
        <f>HYPERLINK("Объекты недвижимости, не соответствующие градостроительным нормам_00-022_Август/0fde5d37-95c1-4341-9c9e-ba14a6e06655.jpg","open")</f>
        <v/>
      </c>
      <c r="C4716" t="inlineStr">
        <is>
          <t>1231bbc5-e64c-4dc7-9acc-77710f47607a</t>
        </is>
      </c>
      <c r="D4716" t="n">
        <v>55.68189</v>
      </c>
      <c r="E4716" t="n">
        <v>37.61237</v>
      </c>
      <c r="F4716" t="inlineStr"/>
      <c r="G4716" t="inlineStr"/>
      <c r="H4716" t="inlineStr"/>
    </row>
    <row r="4717">
      <c r="A4717" t="inlineStr">
        <is>
          <t>446c5942-19fe-47df-a03e-040f8eaa3099.jpg</t>
        </is>
      </c>
      <c r="B4717">
        <f>HYPERLINK("Объекты недвижимости, не соответствующие градостроительным нормам_00-022_Август/446c5942-19fe-47df-a03e-040f8eaa3099.jpg","open")</f>
        <v/>
      </c>
      <c r="C4717" t="inlineStr">
        <is>
          <t>1231bbc5-e64c-4dc7-9acc-77710f47607a</t>
        </is>
      </c>
      <c r="D4717" t="n">
        <v>55.68184</v>
      </c>
      <c r="E4717" t="n">
        <v>37.61231</v>
      </c>
      <c r="F4717" t="inlineStr"/>
      <c r="G4717" t="inlineStr"/>
      <c r="H4717" t="inlineStr"/>
    </row>
    <row r="4718">
      <c r="A4718" t="inlineStr">
        <is>
          <t>a57961a3-7594-4eef-9012-496645390ab0.jpg</t>
        </is>
      </c>
      <c r="B4718">
        <f>HYPERLINK("Объекты недвижимости, не соответствующие градостроительным нормам_00-022_Август/a57961a3-7594-4eef-9012-496645390ab0.jpg","open")</f>
        <v/>
      </c>
      <c r="C4718" t="inlineStr">
        <is>
          <t>685d9054-b74f-49ab-857b-109fd2cec80d</t>
        </is>
      </c>
      <c r="D4718" t="n">
        <v>55.68183</v>
      </c>
      <c r="E4718" t="n">
        <v>37.61231</v>
      </c>
      <c r="F4718" t="inlineStr"/>
      <c r="G4718" t="inlineStr"/>
      <c r="H4718" t="inlineStr"/>
    </row>
    <row r="4719">
      <c r="A4719" t="inlineStr">
        <is>
          <t>686688f0-1274-4def-92e1-5ee425d9326d.jpg</t>
        </is>
      </c>
      <c r="B4719">
        <f>HYPERLINK("Объекты недвижимости, не соответствующие градостроительным нормам_00-022_Август/686688f0-1274-4def-92e1-5ee425d9326d.jpg","open")</f>
        <v/>
      </c>
      <c r="C4719" t="inlineStr">
        <is>
          <t>1231bbc5-e64c-4dc7-9acc-77710f47607a</t>
        </is>
      </c>
      <c r="D4719" t="n">
        <v>55.6815</v>
      </c>
      <c r="E4719" t="n">
        <v>37.6124</v>
      </c>
      <c r="F4719" t="inlineStr"/>
      <c r="G4719" t="inlineStr"/>
      <c r="H4719" t="inlineStr"/>
    </row>
    <row r="4720">
      <c r="A4720" t="inlineStr">
        <is>
          <t>f3b23024-656f-41ca-b9cf-02a4b90720a9.jpg</t>
        </is>
      </c>
      <c r="B4720">
        <f>HYPERLINK("Объекты недвижимости, не соответствующие градостроительным нормам_00-022_Август/f3b23024-656f-41ca-b9cf-02a4b90720a9.jpg","open")</f>
        <v/>
      </c>
      <c r="C4720" t="inlineStr">
        <is>
          <t>0dd30d74-4dbc-46a8-b638-91e1431bb398</t>
        </is>
      </c>
      <c r="D4720" t="n">
        <v>55.76873</v>
      </c>
      <c r="E4720" t="n">
        <v>37.72954</v>
      </c>
      <c r="F4720" t="inlineStr"/>
      <c r="G4720" t="inlineStr"/>
      <c r="H4720" t="inlineStr"/>
    </row>
    <row r="4721">
      <c r="A4721" t="inlineStr">
        <is>
          <t>8b4c20a1-374f-4674-9265-92d386e7b50f.jpg</t>
        </is>
      </c>
      <c r="B4721">
        <f>HYPERLINK("Объекты недвижимости, не соответствующие градостроительным нормам_00-022_Август/8b4c20a1-374f-4674-9265-92d386e7b50f.jpg","open")</f>
        <v/>
      </c>
      <c r="C4721" t="inlineStr">
        <is>
          <t>685d9054-b74f-49ab-857b-109fd2cec80d</t>
        </is>
      </c>
      <c r="D4721" t="n">
        <v>55.67668</v>
      </c>
      <c r="E4721" t="n">
        <v>37.59856</v>
      </c>
      <c r="F4721" t="inlineStr"/>
      <c r="G4721" t="inlineStr"/>
      <c r="H4721" t="inlineStr"/>
    </row>
    <row r="4722">
      <c r="A4722" t="inlineStr">
        <is>
          <t>e80e90ed-5e42-4067-b7e5-57ac3ace00c3.jpg</t>
        </is>
      </c>
      <c r="B4722">
        <f>HYPERLINK("Объекты недвижимости, не соответствующие градостроительным нормам_00-022_Август/e80e90ed-5e42-4067-b7e5-57ac3ace00c3.jpg","open")</f>
        <v/>
      </c>
      <c r="C4722" t="inlineStr">
        <is>
          <t>9fb3d110-951f-48da-9d90-cfd7e1b5800d</t>
        </is>
      </c>
      <c r="D4722" t="n">
        <v>55.73114</v>
      </c>
      <c r="E4722" t="n">
        <v>37.47439</v>
      </c>
      <c r="F4722" t="inlineStr"/>
      <c r="G4722" t="inlineStr"/>
      <c r="H4722" t="inlineStr"/>
    </row>
    <row r="4723">
      <c r="A4723" t="inlineStr">
        <is>
          <t>7797fb1d-204d-4680-8d4b-692e8e9598a5.jpg</t>
        </is>
      </c>
      <c r="B4723">
        <f>HYPERLINK("Объекты недвижимости, не соответствующие градостроительным нормам_00-022_Август/7797fb1d-204d-4680-8d4b-692e8e9598a5.jpg","open")</f>
        <v/>
      </c>
      <c r="C4723" t="inlineStr">
        <is>
          <t>b0429a31-0c70-4b9f-8ea5-73929d82f89e</t>
        </is>
      </c>
      <c r="D4723" t="n">
        <v>55.66051</v>
      </c>
      <c r="E4723" t="n">
        <v>37.62756</v>
      </c>
      <c r="F4723" t="inlineStr"/>
      <c r="G4723" t="inlineStr"/>
      <c r="H4723" t="inlineStr"/>
    </row>
    <row r="4724">
      <c r="A4724" t="inlineStr">
        <is>
          <t>834de21d-52b2-409a-ae42-747939cc15af.jpg</t>
        </is>
      </c>
      <c r="B4724">
        <f>HYPERLINK("Объекты недвижимости, не соответствующие градостроительным нормам_00-022_Август/834de21d-52b2-409a-ae42-747939cc15af.jpg","open")</f>
        <v/>
      </c>
      <c r="C4724" t="inlineStr">
        <is>
          <t>b0429a31-0c70-4b9f-8ea5-73929d82f89e</t>
        </is>
      </c>
      <c r="D4724" t="n">
        <v>55.66034</v>
      </c>
      <c r="E4724" t="n">
        <v>37.62751</v>
      </c>
      <c r="F4724" t="inlineStr"/>
      <c r="G4724" t="inlineStr"/>
      <c r="H4724" t="inlineStr"/>
    </row>
    <row r="4725">
      <c r="A4725" t="inlineStr">
        <is>
          <t>eb7599cb-d6db-43ef-99f8-e100e617ece4.jpg</t>
        </is>
      </c>
      <c r="B4725">
        <f>HYPERLINK("Объекты недвижимости, не соответствующие градостроительным нормам_00-022_Август/eb7599cb-d6db-43ef-99f8-e100e617ece4.jpg","open")</f>
        <v/>
      </c>
      <c r="C4725" t="inlineStr">
        <is>
          <t>b0429a31-0c70-4b9f-8ea5-73929d82f89e</t>
        </is>
      </c>
      <c r="D4725" t="n">
        <v>55.66024</v>
      </c>
      <c r="E4725" t="n">
        <v>37.6252</v>
      </c>
      <c r="F4725" t="inlineStr"/>
      <c r="G4725" t="inlineStr"/>
      <c r="H4725" t="inlineStr"/>
    </row>
    <row r="4726">
      <c r="A4726" t="inlineStr">
        <is>
          <t>9e373d14-050f-44ff-bd35-13b9767a128b.jpg</t>
        </is>
      </c>
      <c r="B4726">
        <f>HYPERLINK("Объекты недвижимости, не соответствующие градостроительным нормам_00-022_Август/9e373d14-050f-44ff-bd35-13b9767a128b.jpg","open")</f>
        <v/>
      </c>
      <c r="C4726" t="inlineStr">
        <is>
          <t>685d9054-b74f-49ab-857b-109fd2cec80d</t>
        </is>
      </c>
      <c r="D4726" t="n">
        <v>55.67455</v>
      </c>
      <c r="E4726" t="n">
        <v>37.60065</v>
      </c>
      <c r="F4726" t="inlineStr"/>
      <c r="G4726" t="inlineStr"/>
      <c r="H4726" t="inlineStr"/>
    </row>
    <row r="4727">
      <c r="A4727" t="inlineStr">
        <is>
          <t>acf6a87a-a79d-4802-bdc6-882fd851dbc7.jpg</t>
        </is>
      </c>
      <c r="B4727">
        <f>HYPERLINK("Объекты недвижимости, не соответствующие градостроительным нормам_00-022_Август/acf6a87a-a79d-4802-bdc6-882fd851dbc7.jpg","open")</f>
        <v/>
      </c>
      <c r="C4727" t="inlineStr">
        <is>
          <t>b0429a31-0c70-4b9f-8ea5-73929d82f89e</t>
        </is>
      </c>
      <c r="D4727" t="n">
        <v>55.66081</v>
      </c>
      <c r="E4727" t="n">
        <v>37.62462</v>
      </c>
      <c r="F4727" t="inlineStr"/>
      <c r="G4727" t="inlineStr"/>
      <c r="H4727" t="inlineStr"/>
    </row>
    <row r="4728">
      <c r="A4728" t="inlineStr">
        <is>
          <t>f36179ac-b437-4871-9fb6-6aa6c16bbfd3.jpg</t>
        </is>
      </c>
      <c r="B4728">
        <f>HYPERLINK("Объекты недвижимости, не соответствующие градостроительным нормам_00-022_Август/f36179ac-b437-4871-9fb6-6aa6c16bbfd3.jpg","open")</f>
        <v/>
      </c>
      <c r="C4728" t="inlineStr">
        <is>
          <t>93848fc8-17e7-4748-9ebc-c7e379e11d2f</t>
        </is>
      </c>
      <c r="D4728" t="n">
        <v>55.78139</v>
      </c>
      <c r="E4728" t="n">
        <v>37.71859</v>
      </c>
      <c r="F4728" t="inlineStr"/>
      <c r="G4728" t="inlineStr"/>
      <c r="H4728" t="inlineStr"/>
    </row>
    <row r="4729">
      <c r="A4729" t="inlineStr">
        <is>
          <t>d80ef904-00fd-478e-b299-791deaf95cb4.jpg</t>
        </is>
      </c>
      <c r="B4729">
        <f>HYPERLINK("Объекты недвижимости, не соответствующие градостроительным нормам_00-022_Август/d80ef904-00fd-478e-b299-791deaf95cb4.jpg","open")</f>
        <v/>
      </c>
      <c r="C4729" t="inlineStr">
        <is>
          <t>9fb3d110-951f-48da-9d90-cfd7e1b5800d</t>
        </is>
      </c>
      <c r="D4729" t="n">
        <v>55.73121</v>
      </c>
      <c r="E4729" t="n">
        <v>37.47421</v>
      </c>
      <c r="F4729" t="inlineStr"/>
      <c r="G4729" t="inlineStr"/>
      <c r="H4729" t="inlineStr"/>
    </row>
    <row r="4730">
      <c r="A4730" t="inlineStr">
        <is>
          <t>c80a2559-75a9-4eb2-937f-a4671fb5b24d.jpg</t>
        </is>
      </c>
      <c r="B4730">
        <f>HYPERLINK("Объекты недвижимости, не соответствующие градостроительным нормам_00-022_Август/c80a2559-75a9-4eb2-937f-a4671fb5b24d.jpg","open")</f>
        <v/>
      </c>
      <c r="C4730" t="inlineStr">
        <is>
          <t>acedacc2-0d8b-4fc1-9622-25621a89d071</t>
        </is>
      </c>
      <c r="D4730" t="n">
        <v>55.79238</v>
      </c>
      <c r="E4730" t="n">
        <v>37.77764</v>
      </c>
      <c r="F4730" t="inlineStr"/>
      <c r="G4730" t="inlineStr"/>
      <c r="H4730" t="inlineStr"/>
    </row>
    <row r="4731">
      <c r="A4731" t="inlineStr">
        <is>
          <t>f7188573-2ee3-4e8e-9c98-bba0d3cdc1d9.jpg</t>
        </is>
      </c>
      <c r="B4731">
        <f>HYPERLINK("Объекты недвижимости, не соответствующие градостроительным нормам_00-022_Август/f7188573-2ee3-4e8e-9c98-bba0d3cdc1d9.jpg","open")</f>
        <v/>
      </c>
      <c r="C4731" t="inlineStr">
        <is>
          <t>685d9054-b74f-49ab-857b-109fd2cec80d</t>
        </is>
      </c>
      <c r="D4731" t="n">
        <v>55.67424</v>
      </c>
      <c r="E4731" t="n">
        <v>37.59924</v>
      </c>
      <c r="F4731" t="inlineStr"/>
      <c r="G4731" t="inlineStr"/>
      <c r="H4731" t="inlineStr"/>
    </row>
    <row r="4732">
      <c r="A4732" t="inlineStr">
        <is>
          <t>c98be8fe-1b06-40c7-af7b-8eed11c4b1c3.jpg</t>
        </is>
      </c>
      <c r="B4732">
        <f>HYPERLINK("Объекты недвижимости, не соответствующие градостроительным нормам_00-022_Август/c98be8fe-1b06-40c7-af7b-8eed11c4b1c3.jpg","open")</f>
        <v/>
      </c>
      <c r="C4732" t="inlineStr">
        <is>
          <t>0dd30d74-4dbc-46a8-b638-91e1431bb398</t>
        </is>
      </c>
      <c r="D4732" t="n">
        <v>55.78068</v>
      </c>
      <c r="E4732" t="n">
        <v>37.71854</v>
      </c>
      <c r="F4732" t="inlineStr"/>
      <c r="G4732" t="inlineStr"/>
      <c r="H4732" t="inlineStr"/>
    </row>
    <row r="4733">
      <c r="A4733" t="inlineStr">
        <is>
          <t>890119da-9b49-47f3-9f6d-c470b2daa5da.jpg</t>
        </is>
      </c>
      <c r="B4733">
        <f>HYPERLINK("Объекты недвижимости, не соответствующие градостроительным нормам_00-022_Август/890119da-9b49-47f3-9f6d-c470b2daa5da.jpg","open")</f>
        <v/>
      </c>
      <c r="C4733" t="inlineStr">
        <is>
          <t>ffd931da-542f-43e9-979f-5552b17fe3dc</t>
        </is>
      </c>
      <c r="D4733" t="n">
        <v>55.81425</v>
      </c>
      <c r="E4733" t="n">
        <v>37.80404</v>
      </c>
      <c r="F4733" t="inlineStr"/>
      <c r="G4733" t="inlineStr"/>
      <c r="H4733" t="inlineStr"/>
    </row>
    <row r="4734">
      <c r="A4734" t="inlineStr">
        <is>
          <t>1bd1afa7-f61c-4432-b831-86e52ea77e0a.jpg</t>
        </is>
      </c>
      <c r="B4734">
        <f>HYPERLINK("Объекты недвижимости, не соответствующие градостроительным нормам_00-022_Август/1bd1afa7-f61c-4432-b831-86e52ea77e0a.jpg","open")</f>
        <v/>
      </c>
      <c r="C4734" t="inlineStr">
        <is>
          <t>61936922-4d4b-458e-80ea-6d4c450aa1d5</t>
        </is>
      </c>
      <c r="D4734" t="n">
        <v>55.73288</v>
      </c>
      <c r="E4734" t="n">
        <v>37.46565</v>
      </c>
      <c r="F4734" t="inlineStr"/>
      <c r="G4734" t="inlineStr"/>
      <c r="H4734" t="inlineStr"/>
    </row>
    <row r="4735">
      <c r="A4735" t="inlineStr">
        <is>
          <t>12beeaca-9d9a-406d-be08-04cbce39b40e.jpg</t>
        </is>
      </c>
      <c r="B4735">
        <f>HYPERLINK("Объекты недвижимости, не соответствующие градостроительным нормам_00-022_Август/12beeaca-9d9a-406d-be08-04cbce39b40e.jpg","open")</f>
        <v/>
      </c>
      <c r="C4735" t="inlineStr">
        <is>
          <t>1231bbc5-e64c-4dc7-9acc-77710f47607a</t>
        </is>
      </c>
      <c r="D4735" t="n">
        <v>55.67472</v>
      </c>
      <c r="E4735" t="n">
        <v>37.60355</v>
      </c>
      <c r="F4735" t="inlineStr"/>
      <c r="G4735" t="inlineStr"/>
      <c r="H4735" t="inlineStr"/>
    </row>
    <row r="4736">
      <c r="A4736" t="inlineStr">
        <is>
          <t>20067e0a-16de-43fb-ac5d-de77d38bbd50.jpg</t>
        </is>
      </c>
      <c r="B4736">
        <f>HYPERLINK("Объекты недвижимости, не соответствующие градостроительным нормам_00-022_Август/20067e0a-16de-43fb-ac5d-de77d38bbd50.jpg","open")</f>
        <v/>
      </c>
      <c r="C4736" t="inlineStr">
        <is>
          <t>99f3abba-c55b-49f0-9de5-9f88e9597cc0</t>
        </is>
      </c>
      <c r="D4736" t="n">
        <v>55.66079</v>
      </c>
      <c r="E4736" t="n">
        <v>37.62516</v>
      </c>
      <c r="F4736" t="inlineStr"/>
      <c r="G4736" t="inlineStr"/>
      <c r="H4736" t="inlineStr"/>
    </row>
    <row r="4737">
      <c r="A4737" t="inlineStr">
        <is>
          <t>790530f8-5c31-4da0-a44a-944aef14d94e.jpg</t>
        </is>
      </c>
      <c r="B4737">
        <f>HYPERLINK("Объекты недвижимости, не соответствующие градостроительным нормам_00-022_Август/790530f8-5c31-4da0-a44a-944aef14d94e.jpg","open")</f>
        <v/>
      </c>
      <c r="C4737" t="inlineStr">
        <is>
          <t>ad64e6b9-1ed5-44d7-a101-4945a1f9dec6</t>
        </is>
      </c>
      <c r="D4737" t="n">
        <v>55.65367</v>
      </c>
      <c r="E4737" t="n">
        <v>37.60303</v>
      </c>
      <c r="F4737" t="inlineStr"/>
      <c r="G4737" t="inlineStr"/>
      <c r="H4737" t="inlineStr"/>
    </row>
    <row r="4738">
      <c r="A4738" t="inlineStr">
        <is>
          <t>459447f1-f8da-4a3b-a78f-b36c5316aca0.jpg</t>
        </is>
      </c>
      <c r="B4738">
        <f>HYPERLINK("Объекты недвижимости, не соответствующие градостроительным нормам_00-022_Август/459447f1-f8da-4a3b-a78f-b36c5316aca0.jpg","open")</f>
        <v/>
      </c>
      <c r="C4738" t="inlineStr">
        <is>
          <t>12e795ad-2aa7-49de-b2da-2c6aa35a4559</t>
        </is>
      </c>
      <c r="D4738" t="n">
        <v>55.65368</v>
      </c>
      <c r="E4738" t="n">
        <v>37.603</v>
      </c>
      <c r="F4738" t="inlineStr"/>
      <c r="G4738" t="inlineStr"/>
      <c r="H4738" t="inlineStr"/>
    </row>
    <row r="4739">
      <c r="A4739" t="inlineStr">
        <is>
          <t>e400ae1b-c6cc-4b9c-90cd-611a463eacb4.jpg</t>
        </is>
      </c>
      <c r="B4739">
        <f>HYPERLINK("Объекты недвижимости, не соответствующие градостроительным нормам_00-022_Август/e400ae1b-c6cc-4b9c-90cd-611a463eacb4.jpg","open")</f>
        <v/>
      </c>
      <c r="C4739" t="inlineStr">
        <is>
          <t>12e795ad-2aa7-49de-b2da-2c6aa35a4559</t>
        </is>
      </c>
      <c r="D4739" t="n">
        <v>55.65363</v>
      </c>
      <c r="E4739" t="n">
        <v>37.60267</v>
      </c>
      <c r="F4739" t="inlineStr"/>
      <c r="G4739" t="inlineStr"/>
      <c r="H4739" t="inlineStr"/>
    </row>
    <row r="4740">
      <c r="A4740" t="inlineStr">
        <is>
          <t>85e13007-45e8-40db-98b3-20eb20955abc.jpg</t>
        </is>
      </c>
      <c r="B4740">
        <f>HYPERLINK("Объекты недвижимости, не соответствующие градостроительным нормам_00-022_Август/85e13007-45e8-40db-98b3-20eb20955abc.jpg","open")</f>
        <v/>
      </c>
      <c r="C4740" t="inlineStr">
        <is>
          <t>750bf7e4-0f0f-4f1a-96af-607dc8c1f1c9</t>
        </is>
      </c>
      <c r="D4740" t="n">
        <v>55.7793</v>
      </c>
      <c r="E4740" t="n">
        <v>37.6696</v>
      </c>
      <c r="F4740" t="inlineStr"/>
      <c r="G4740" t="inlineStr"/>
      <c r="H4740" t="inlineStr"/>
    </row>
    <row r="4741">
      <c r="A4741" t="inlineStr">
        <is>
          <t>471e33c5-d818-4bc8-8c30-385a3ead95e5.jpg</t>
        </is>
      </c>
      <c r="B4741">
        <f>HYPERLINK("Объекты недвижимости, не соответствующие градостроительным нормам_00-022_Август/471e33c5-d818-4bc8-8c30-385a3ead95e5.jpg","open")</f>
        <v/>
      </c>
      <c r="C4741" t="inlineStr">
        <is>
          <t>750bf7e4-0f0f-4f1a-96af-607dc8c1f1c9</t>
        </is>
      </c>
      <c r="D4741" t="n">
        <v>55.77857</v>
      </c>
      <c r="E4741" t="n">
        <v>37.66811</v>
      </c>
      <c r="F4741" t="inlineStr"/>
      <c r="G4741" t="inlineStr"/>
      <c r="H4741" t="inlineStr"/>
    </row>
    <row r="4742">
      <c r="A4742" t="inlineStr">
        <is>
          <t>157a250e-1bd8-4412-a0b8-95a17e35bcad.jpg</t>
        </is>
      </c>
      <c r="B4742">
        <f>HYPERLINK("Объекты недвижимости, не соответствующие градостроительным нормам_00-022_Август/157a250e-1bd8-4412-a0b8-95a17e35bcad.jpg","open")</f>
        <v/>
      </c>
      <c r="C4742" t="inlineStr">
        <is>
          <t>31a713a9-b910-424b-b847-e0eaa2f70c70</t>
        </is>
      </c>
      <c r="D4742" t="n">
        <v>55.77852</v>
      </c>
      <c r="E4742" t="n">
        <v>37.66802</v>
      </c>
      <c r="F4742" t="inlineStr"/>
      <c r="G4742" t="inlineStr"/>
      <c r="H4742" t="inlineStr"/>
    </row>
    <row r="4743">
      <c r="A4743" t="inlineStr">
        <is>
          <t>a580a30c-f55c-4328-ab07-a5b01371947e.jpg</t>
        </is>
      </c>
      <c r="B4743">
        <f>HYPERLINK("Объекты недвижимости, не соответствующие градостроительным нормам_00-022_Август/a580a30c-f55c-4328-ab07-a5b01371947e.jpg","open")</f>
        <v/>
      </c>
      <c r="C4743" t="inlineStr">
        <is>
          <t>99f3abba-c55b-49f0-9de5-9f88e9597cc0</t>
        </is>
      </c>
      <c r="D4743" t="n">
        <v>55.6588</v>
      </c>
      <c r="E4743" t="n">
        <v>37.62516</v>
      </c>
      <c r="F4743" t="inlineStr"/>
      <c r="G4743" t="inlineStr"/>
      <c r="H4743" t="inlineStr"/>
    </row>
    <row r="4744">
      <c r="A4744" t="inlineStr">
        <is>
          <t>6d21cd29-3d6d-4e9f-a302-b6fa53534c38.jpg</t>
        </is>
      </c>
      <c r="B4744">
        <f>HYPERLINK("Объекты недвижимости, не соответствующие градостроительным нормам_00-022_Август/6d21cd29-3d6d-4e9f-a302-b6fa53534c38.jpg","open")</f>
        <v/>
      </c>
      <c r="C4744" t="inlineStr">
        <is>
          <t>1231bbc5-e64c-4dc7-9acc-77710f47607a</t>
        </is>
      </c>
      <c r="D4744" t="n">
        <v>55.67493</v>
      </c>
      <c r="E4744" t="n">
        <v>37.59972</v>
      </c>
      <c r="F4744" t="inlineStr"/>
      <c r="G4744" t="inlineStr"/>
      <c r="H4744" t="inlineStr"/>
    </row>
    <row r="4745">
      <c r="A4745" t="inlineStr">
        <is>
          <t>aac8eca2-81ae-451d-9d3d-69550a38c79d.jpg</t>
        </is>
      </c>
      <c r="B4745">
        <f>HYPERLINK("Объекты недвижимости, не соответствующие градостроительным нормам_00-022_Август/aac8eca2-81ae-451d-9d3d-69550a38c79d.jpg","open")</f>
        <v/>
      </c>
      <c r="C4745" t="inlineStr">
        <is>
          <t>48b533d5-d106-4175-ac9b-d5ce8d90cccf</t>
        </is>
      </c>
      <c r="D4745" t="n">
        <v>55.78227</v>
      </c>
      <c r="E4745" t="n">
        <v>37.69897</v>
      </c>
      <c r="F4745" t="inlineStr"/>
      <c r="G4745" t="inlineStr"/>
      <c r="H4745" t="inlineStr"/>
    </row>
    <row r="4746">
      <c r="A4746" t="inlineStr">
        <is>
          <t>f60442fa-67f0-4b6d-82cf-7423f7d0008b.jpg</t>
        </is>
      </c>
      <c r="B4746">
        <f>HYPERLINK("Объекты недвижимости, не соответствующие градостроительным нормам_00-022_Август/f60442fa-67f0-4b6d-82cf-7423f7d0008b.jpg","open")</f>
        <v/>
      </c>
      <c r="C4746" t="inlineStr">
        <is>
          <t>b0b7ea82-53be-40d0-b992-e2fd18611d5c</t>
        </is>
      </c>
      <c r="D4746" t="n">
        <v>55.67824</v>
      </c>
      <c r="E4746" t="n">
        <v>37.77454</v>
      </c>
      <c r="F4746" t="inlineStr"/>
      <c r="G4746" t="inlineStr"/>
      <c r="H4746" t="inlineStr"/>
    </row>
    <row r="4747">
      <c r="A4747" t="inlineStr">
        <is>
          <t>d8b0cc55-32f6-4b27-b3eb-e216b353d529.jpg</t>
        </is>
      </c>
      <c r="B4747">
        <f>HYPERLINK("Объекты недвижимости, не соответствующие градостроительным нормам_00-022_Август/d8b0cc55-32f6-4b27-b3eb-e216b353d529.jpg","open")</f>
        <v/>
      </c>
      <c r="C4747" t="inlineStr">
        <is>
          <t>b0429a31-0c70-4b9f-8ea5-73929d82f89e</t>
        </is>
      </c>
      <c r="D4747" t="n">
        <v>55.65933</v>
      </c>
      <c r="E4747" t="n">
        <v>37.62517</v>
      </c>
      <c r="F4747" t="inlineStr"/>
      <c r="G4747" t="inlineStr"/>
      <c r="H4747" t="inlineStr"/>
    </row>
    <row r="4748">
      <c r="A4748" t="inlineStr">
        <is>
          <t>0aee784c-5a7e-4d78-805e-844d2293d216.jpg</t>
        </is>
      </c>
      <c r="B4748">
        <f>HYPERLINK("Объекты недвижимости, не соответствующие градостроительным нормам_00-022_Август/0aee784c-5a7e-4d78-805e-844d2293d216.jpg","open")</f>
        <v/>
      </c>
      <c r="C4748" t="inlineStr">
        <is>
          <t>b0429a31-0c70-4b9f-8ea5-73929d82f89e</t>
        </is>
      </c>
      <c r="D4748" t="n">
        <v>55.6605</v>
      </c>
      <c r="E4748" t="n">
        <v>37.62519</v>
      </c>
      <c r="F4748" t="inlineStr"/>
      <c r="G4748" t="inlineStr"/>
      <c r="H4748" t="inlineStr"/>
    </row>
    <row r="4749">
      <c r="A4749" t="inlineStr">
        <is>
          <t>990db260-62e5-46e2-9764-47e1db3bbec8.jpg</t>
        </is>
      </c>
      <c r="B4749">
        <f>HYPERLINK("Объекты недвижимости, не соответствующие градостроительным нормам_00-022_Август/990db260-62e5-46e2-9764-47e1db3bbec8.jpg","open")</f>
        <v/>
      </c>
      <c r="C4749" t="inlineStr">
        <is>
          <t>1231bbc5-e64c-4dc7-9acc-77710f47607a</t>
        </is>
      </c>
      <c r="D4749" t="n">
        <v>55.67402</v>
      </c>
      <c r="E4749" t="n">
        <v>37.59346</v>
      </c>
      <c r="F4749" t="inlineStr"/>
      <c r="G4749" t="inlineStr"/>
      <c r="H4749" t="inlineStr"/>
    </row>
    <row r="4750">
      <c r="A4750" t="inlineStr">
        <is>
          <t>28ef6bb3-0461-4e20-8efa-3d78ae100fdf.jpg</t>
        </is>
      </c>
      <c r="B4750">
        <f>HYPERLINK("Объекты недвижимости, не соответствующие градостроительным нормам_00-022_Август/28ef6bb3-0461-4e20-8efa-3d78ae100fdf.jpg","open")</f>
        <v/>
      </c>
      <c r="C4750" t="inlineStr">
        <is>
          <t>8cde1fd0-eca1-4510-86ab-3c743b65fdfc</t>
        </is>
      </c>
      <c r="D4750" t="n">
        <v>55.63572</v>
      </c>
      <c r="E4750" t="n">
        <v>37.34173</v>
      </c>
      <c r="F4750" t="inlineStr"/>
      <c r="G4750" t="inlineStr"/>
      <c r="H4750" t="inlineStr"/>
    </row>
    <row r="4751">
      <c r="A4751" t="inlineStr">
        <is>
          <t>ae792de2-b786-4546-87d1-2b4f21ceb61c.jpg</t>
        </is>
      </c>
      <c r="B4751">
        <f>HYPERLINK("Объекты недвижимости, не соответствующие градостроительным нормам_00-022_Август/ae792de2-b786-4546-87d1-2b4f21ceb61c.jpg","open")</f>
        <v/>
      </c>
      <c r="C4751" t="inlineStr">
        <is>
          <t>8cde1fd0-eca1-4510-86ab-3c743b65fdfc</t>
        </is>
      </c>
      <c r="D4751" t="n">
        <v>55.6357</v>
      </c>
      <c r="E4751" t="n">
        <v>37.34171</v>
      </c>
      <c r="F4751" t="inlineStr"/>
      <c r="G4751" t="inlineStr"/>
      <c r="H4751" t="inlineStr"/>
    </row>
    <row r="4752">
      <c r="A4752" t="inlineStr">
        <is>
          <t>62d41be2-c451-4877-8e50-a9a4a7765669.jpg</t>
        </is>
      </c>
      <c r="B4752">
        <f>HYPERLINK("Объекты недвижимости, не соответствующие градостроительным нормам_00-022_Август/62d41be2-c451-4877-8e50-a9a4a7765669.jpg","open")</f>
        <v/>
      </c>
      <c r="C4752" t="inlineStr">
        <is>
          <t>93848fc8-17e7-4748-9ebc-c7e379e11d2f</t>
        </is>
      </c>
      <c r="D4752" t="n">
        <v>55.78281</v>
      </c>
      <c r="E4752" t="n">
        <v>37.72511</v>
      </c>
      <c r="F4752" t="inlineStr"/>
      <c r="G4752" t="inlineStr"/>
      <c r="H4752" t="inlineStr"/>
    </row>
    <row r="4753">
      <c r="A4753" t="inlineStr">
        <is>
          <t>ee798197-fe1c-4f96-b1ec-ae409d8892f9.jpg</t>
        </is>
      </c>
      <c r="B4753">
        <f>HYPERLINK("Объекты недвижимости, не соответствующие градостроительным нормам_00-022_Август/ee798197-fe1c-4f96-b1ec-ae409d8892f9.jpg","open")</f>
        <v/>
      </c>
      <c r="C4753" t="inlineStr">
        <is>
          <t>99f3abba-c55b-49f0-9de5-9f88e9597cc0</t>
        </is>
      </c>
      <c r="D4753" t="n">
        <v>55.66031</v>
      </c>
      <c r="E4753" t="n">
        <v>37.63137</v>
      </c>
      <c r="F4753" t="inlineStr"/>
      <c r="G4753" t="inlineStr"/>
      <c r="H4753" t="inlineStr"/>
    </row>
    <row r="4754">
      <c r="A4754" t="inlineStr">
        <is>
          <t>d2545581-9f69-4d3a-b9bc-b263d23c0b92.jpg</t>
        </is>
      </c>
      <c r="B4754">
        <f>HYPERLINK("Объекты недвижимости, не соответствующие градостроительным нормам_00-022_Август/d2545581-9f69-4d3a-b9bc-b263d23c0b92.jpg","open")</f>
        <v/>
      </c>
      <c r="C4754" t="inlineStr">
        <is>
          <t>9c930d0e-e445-452d-a046-325646b21ab7</t>
        </is>
      </c>
      <c r="D4754" t="n">
        <v>55.56881</v>
      </c>
      <c r="E4754" t="n">
        <v>37.47711</v>
      </c>
      <c r="F4754" t="inlineStr"/>
      <c r="G4754" t="inlineStr"/>
      <c r="H4754" t="inlineStr"/>
    </row>
    <row r="4755">
      <c r="A4755" t="inlineStr">
        <is>
          <t>0ab60bd8-ae99-417c-89f9-66102fa02cec.jpg</t>
        </is>
      </c>
      <c r="B4755">
        <f>HYPERLINK("Объекты недвижимости, не соответствующие градостроительным нормам_00-022_Август/0ab60bd8-ae99-417c-89f9-66102fa02cec.jpg","open")</f>
        <v/>
      </c>
      <c r="C4755" t="inlineStr">
        <is>
          <t>8cde1fd0-eca1-4510-86ab-3c743b65fdfc</t>
        </is>
      </c>
      <c r="D4755" t="n">
        <v>55.65338</v>
      </c>
      <c r="E4755" t="n">
        <v>37.34561</v>
      </c>
      <c r="F4755" t="inlineStr"/>
      <c r="G4755" t="inlineStr"/>
      <c r="H4755" t="inlineStr"/>
    </row>
    <row r="4756">
      <c r="A4756" t="inlineStr">
        <is>
          <t>72b46bb4-b046-4154-a141-da887fc415f1.jpg</t>
        </is>
      </c>
      <c r="B4756">
        <f>HYPERLINK("Объекты недвижимости, не соответствующие градостроительным нормам_00-022_Август/72b46bb4-b046-4154-a141-da887fc415f1.jpg","open")</f>
        <v/>
      </c>
      <c r="C4756" t="inlineStr">
        <is>
          <t>685d9054-b74f-49ab-857b-109fd2cec80d</t>
        </is>
      </c>
      <c r="D4756" t="n">
        <v>55.67244</v>
      </c>
      <c r="E4756" t="n">
        <v>37.59293</v>
      </c>
      <c r="F4756" t="inlineStr"/>
      <c r="G4756" t="inlineStr"/>
      <c r="H4756" t="inlineStr"/>
    </row>
    <row r="4757">
      <c r="A4757" t="inlineStr">
        <is>
          <t>998ade21-1d98-42c8-9d42-afa469e3aa50.jpg</t>
        </is>
      </c>
      <c r="B4757">
        <f>HYPERLINK("Объекты недвижимости, не соответствующие градостроительным нормам_00-022_Август/998ade21-1d98-42c8-9d42-afa469e3aa50.jpg","open")</f>
        <v/>
      </c>
      <c r="C4757" t="inlineStr">
        <is>
          <t>acedacc2-0d8b-4fc1-9622-25621a89d071</t>
        </is>
      </c>
      <c r="D4757" t="n">
        <v>55.79673</v>
      </c>
      <c r="E4757" t="n">
        <v>37.78053</v>
      </c>
      <c r="F4757" t="inlineStr"/>
      <c r="G4757" t="inlineStr"/>
      <c r="H4757" t="inlineStr"/>
    </row>
    <row r="4758">
      <c r="A4758" t="inlineStr">
        <is>
          <t>95397f2f-ce4b-4236-af38-34c06a1d57c9.jpg</t>
        </is>
      </c>
      <c r="B4758">
        <f>HYPERLINK("Объекты недвижимости, не соответствующие градостроительным нормам_00-022_Август/95397f2f-ce4b-4236-af38-34c06a1d57c9.jpg","open")</f>
        <v/>
      </c>
      <c r="C4758" t="inlineStr">
        <is>
          <t>1c951e11-4940-43c6-a447-394097e5609a</t>
        </is>
      </c>
      <c r="D4758" t="n">
        <v>55.65509</v>
      </c>
      <c r="E4758" t="n">
        <v>37.3484</v>
      </c>
      <c r="F4758" t="inlineStr"/>
      <c r="G4758" t="inlineStr"/>
      <c r="H4758" t="inlineStr"/>
    </row>
    <row r="4759">
      <c r="A4759" t="inlineStr">
        <is>
          <t>8a65e6b5-35a3-4eac-b440-c50261ed1531.jpg</t>
        </is>
      </c>
      <c r="B4759">
        <f>HYPERLINK("Объекты недвижимости, не соответствующие градостроительным нормам_00-022_Август/8a65e6b5-35a3-4eac-b440-c50261ed1531.jpg","open")</f>
        <v/>
      </c>
      <c r="C4759" t="inlineStr">
        <is>
          <t>1231bbc5-e64c-4dc7-9acc-77710f47607a</t>
        </is>
      </c>
      <c r="D4759" t="n">
        <v>55.67407</v>
      </c>
      <c r="E4759" t="n">
        <v>37.59357</v>
      </c>
      <c r="F4759" t="inlineStr"/>
      <c r="G4759" t="inlineStr"/>
      <c r="H4759" t="inlineStr"/>
    </row>
    <row r="4760">
      <c r="A4760" t="inlineStr">
        <is>
          <t>fc26f158-0f0d-425c-86c8-22535089064d.jpg</t>
        </is>
      </c>
      <c r="B4760">
        <f>HYPERLINK("Объекты недвижимости, не соответствующие градостроительным нормам_00-022_Август/fc26f158-0f0d-425c-86c8-22535089064d.jpg","open")</f>
        <v/>
      </c>
      <c r="C4760" t="inlineStr">
        <is>
          <t>acedacc2-0d8b-4fc1-9622-25621a89d071</t>
        </is>
      </c>
      <c r="D4760" t="n">
        <v>55.79684</v>
      </c>
      <c r="E4760" t="n">
        <v>37.78132</v>
      </c>
      <c r="F4760" t="inlineStr"/>
      <c r="G4760" t="inlineStr"/>
      <c r="H4760" t="inlineStr"/>
    </row>
    <row r="4761">
      <c r="A4761" t="inlineStr">
        <is>
          <t>a0550692-db8e-46cf-ac82-a893e7901a64.jpg</t>
        </is>
      </c>
      <c r="B4761">
        <f>HYPERLINK("Объекты недвижимости, не соответствующие градостроительным нормам_00-022_Август/a0550692-db8e-46cf-ac82-a893e7901a64.jpg","open")</f>
        <v/>
      </c>
      <c r="C4761" t="inlineStr">
        <is>
          <t>57aae8a4-582b-4309-8045-c8127a9f86ae</t>
        </is>
      </c>
      <c r="D4761" t="n">
        <v>55.79683</v>
      </c>
      <c r="E4761" t="n">
        <v>37.78131</v>
      </c>
      <c r="F4761" t="inlineStr"/>
      <c r="G4761" t="inlineStr"/>
      <c r="H4761" t="inlineStr"/>
    </row>
    <row r="4762">
      <c r="A4762" t="inlineStr">
        <is>
          <t>7f4fffe1-835c-446c-aafe-674b20e193bf.jpg</t>
        </is>
      </c>
      <c r="B4762">
        <f>HYPERLINK("Объекты недвижимости, не соответствующие градостроительным нормам_00-022_Август/7f4fffe1-835c-446c-aafe-674b20e193bf.jpg","open")</f>
        <v/>
      </c>
      <c r="C4762" t="inlineStr">
        <is>
          <t>036c664f-5408-4fd0-b479-342c00468eeb</t>
        </is>
      </c>
      <c r="D4762" t="n">
        <v>55.67768</v>
      </c>
      <c r="E4762" t="n">
        <v>37.51461</v>
      </c>
      <c r="F4762" t="inlineStr"/>
      <c r="G4762" t="inlineStr"/>
      <c r="H4762" t="inlineStr"/>
    </row>
    <row r="4763">
      <c r="A4763" t="inlineStr">
        <is>
          <t>df15210a-6a03-4200-b79e-3cfc653ea254.jpg</t>
        </is>
      </c>
      <c r="B4763">
        <f>HYPERLINK("Объекты недвижимости, не соответствующие градостроительным нормам_00-022_Август/df15210a-6a03-4200-b79e-3cfc653ea254.jpg","open")</f>
        <v/>
      </c>
      <c r="C4763" t="inlineStr">
        <is>
          <t>57aae8a4-582b-4309-8045-c8127a9f86ae</t>
        </is>
      </c>
      <c r="D4763" t="n">
        <v>55.79673</v>
      </c>
      <c r="E4763" t="n">
        <v>37.78053</v>
      </c>
      <c r="F4763" t="inlineStr"/>
      <c r="G4763" t="inlineStr"/>
      <c r="H4763" t="inlineStr"/>
    </row>
    <row r="4764">
      <c r="A4764" t="inlineStr">
        <is>
          <t>faf8209d-6958-46b7-ba67-9f4f7def59a5.jpg</t>
        </is>
      </c>
      <c r="B4764">
        <f>HYPERLINK("Объекты недвижимости, не соответствующие градостроительным нормам_00-022_Август/faf8209d-6958-46b7-ba67-9f4f7def59a5.jpg","open")</f>
        <v/>
      </c>
      <c r="C4764" t="inlineStr">
        <is>
          <t>acedacc2-0d8b-4fc1-9622-25621a89d071</t>
        </is>
      </c>
      <c r="D4764" t="n">
        <v>55.79671</v>
      </c>
      <c r="E4764" t="n">
        <v>37.7806</v>
      </c>
      <c r="F4764" t="inlineStr"/>
      <c r="G4764" t="inlineStr"/>
      <c r="H4764" t="inlineStr"/>
    </row>
    <row r="4765">
      <c r="A4765" t="inlineStr">
        <is>
          <t>59d17471-9e90-4069-95ae-36f91a51dbcb.jpg</t>
        </is>
      </c>
      <c r="B4765">
        <f>HYPERLINK("Объекты недвижимости, не соответствующие градостроительным нормам_00-022_Август/59d17471-9e90-4069-95ae-36f91a51dbcb.jpg","open")</f>
        <v/>
      </c>
      <c r="C4765" t="inlineStr">
        <is>
          <t>1231bbc5-e64c-4dc7-9acc-77710f47607a</t>
        </is>
      </c>
      <c r="D4765" t="n">
        <v>55.67205</v>
      </c>
      <c r="E4765" t="n">
        <v>37.59646</v>
      </c>
      <c r="F4765" t="inlineStr"/>
      <c r="G4765" t="inlineStr"/>
      <c r="H4765" t="inlineStr"/>
    </row>
    <row r="4766">
      <c r="A4766" t="inlineStr">
        <is>
          <t>9c67eb60-0023-4ba6-9804-65e71f7fc7fd.jpg</t>
        </is>
      </c>
      <c r="B4766">
        <f>HYPERLINK("Объекты недвижимости, не соответствующие градостроительным нормам_00-022_Август/9c67eb60-0023-4ba6-9804-65e71f7fc7fd.jpg","open")</f>
        <v/>
      </c>
      <c r="C4766" t="inlineStr">
        <is>
          <t>685d9054-b74f-49ab-857b-109fd2cec80d</t>
        </is>
      </c>
      <c r="D4766" t="n">
        <v>55.67204</v>
      </c>
      <c r="E4766" t="n">
        <v>37.59645</v>
      </c>
      <c r="F4766" t="inlineStr"/>
      <c r="G4766" t="inlineStr"/>
      <c r="H4766" t="inlineStr"/>
    </row>
    <row r="4767">
      <c r="A4767" t="inlineStr">
        <is>
          <t>780f3fb3-147e-4155-82b4-bfef54cdf3ee.jpg</t>
        </is>
      </c>
      <c r="B4767">
        <f>HYPERLINK("Объекты недвижимости, не соответствующие градостроительным нормам_00-022_Август/780f3fb3-147e-4155-82b4-bfef54cdf3ee.jpg","open")</f>
        <v/>
      </c>
      <c r="C4767" t="inlineStr">
        <is>
          <t>fb40ed24-21ef-458a-a239-038ab19932cc</t>
        </is>
      </c>
      <c r="D4767" t="n">
        <v>55.81706</v>
      </c>
      <c r="E4767" t="n">
        <v>37.77816</v>
      </c>
      <c r="F4767" t="inlineStr"/>
      <c r="G4767" t="inlineStr"/>
      <c r="H4767" t="inlineStr"/>
    </row>
    <row r="4768">
      <c r="A4768" t="inlineStr">
        <is>
          <t>7e13ad9b-071f-499a-a526-aef92605871a.jpg</t>
        </is>
      </c>
      <c r="B4768">
        <f>HYPERLINK("Объекты недвижимости, не соответствующие градостроительным нормам_00-022_Август/7e13ad9b-071f-499a-a526-aef92605871a.jpg","open")</f>
        <v/>
      </c>
      <c r="C4768" t="inlineStr">
        <is>
          <t>685d9054-b74f-49ab-857b-109fd2cec80d</t>
        </is>
      </c>
      <c r="D4768" t="n">
        <v>55.67192</v>
      </c>
      <c r="E4768" t="n">
        <v>37.59711</v>
      </c>
      <c r="F4768" t="inlineStr"/>
      <c r="G4768" t="inlineStr"/>
      <c r="H4768" t="inlineStr"/>
    </row>
    <row r="4769">
      <c r="A4769" t="inlineStr">
        <is>
          <t>6a5182cb-2b77-421c-a7e7-2dd53c789722.jpg</t>
        </is>
      </c>
      <c r="B4769">
        <f>HYPERLINK("Объекты недвижимости, не соответствующие градостроительным нормам_00-022_Август/6a5182cb-2b77-421c-a7e7-2dd53c789722.jpg","open")</f>
        <v/>
      </c>
      <c r="C4769" t="inlineStr">
        <is>
          <t>ad64e6b9-1ed5-44d7-a101-4945a1f9dec6</t>
        </is>
      </c>
      <c r="D4769" t="n">
        <v>55.68028</v>
      </c>
      <c r="E4769" t="n">
        <v>37.51485</v>
      </c>
      <c r="F4769" t="inlineStr"/>
      <c r="G4769" t="inlineStr"/>
      <c r="H4769" t="inlineStr"/>
    </row>
    <row r="4770">
      <c r="A4770" t="inlineStr">
        <is>
          <t>7d71b998-410e-45b3-a7d0-1d24b9434330.jpg</t>
        </is>
      </c>
      <c r="B4770">
        <f>HYPERLINK("Объекты недвижимости, не соответствующие градостроительным нормам_00-022_Август/7d71b998-410e-45b3-a7d0-1d24b9434330.jpg","open")</f>
        <v/>
      </c>
      <c r="C4770" t="inlineStr">
        <is>
          <t>b0429a31-0c70-4b9f-8ea5-73929d82f89e</t>
        </is>
      </c>
      <c r="D4770" t="n">
        <v>55.66184</v>
      </c>
      <c r="E4770" t="n">
        <v>37.64591</v>
      </c>
      <c r="F4770" t="inlineStr"/>
      <c r="G4770" t="inlineStr"/>
      <c r="H4770" t="inlineStr"/>
    </row>
    <row r="4771">
      <c r="A4771" t="inlineStr">
        <is>
          <t>cac97eba-90b8-4af1-9a27-e59bdbf24a90.jpg</t>
        </is>
      </c>
      <c r="B4771">
        <f>HYPERLINK("Объекты недвижимости, не соответствующие градостроительным нормам_00-022_Август/cac97eba-90b8-4af1-9a27-e59bdbf24a90.jpg","open")</f>
        <v/>
      </c>
      <c r="C4771" t="inlineStr">
        <is>
          <t>b0429a31-0c70-4b9f-8ea5-73929d82f89e</t>
        </is>
      </c>
      <c r="D4771" t="n">
        <v>55.66327</v>
      </c>
      <c r="E4771" t="n">
        <v>37.64645</v>
      </c>
      <c r="F4771" t="inlineStr"/>
      <c r="G4771" t="inlineStr"/>
      <c r="H4771" t="inlineStr"/>
    </row>
    <row r="4772">
      <c r="A4772" t="inlineStr">
        <is>
          <t>ea86d645-1712-4836-8a2e-3a0038f8bfb0.jpg</t>
        </is>
      </c>
      <c r="B4772">
        <f>HYPERLINK("Объекты недвижимости, не соответствующие градостроительным нормам_00-022_Август/ea86d645-1712-4836-8a2e-3a0038f8bfb0.jpg","open")</f>
        <v/>
      </c>
      <c r="C4772" t="inlineStr">
        <is>
          <t>685d9054-b74f-49ab-857b-109fd2cec80d</t>
        </is>
      </c>
      <c r="D4772" t="n">
        <v>55.67167</v>
      </c>
      <c r="E4772" t="n">
        <v>37.59719</v>
      </c>
      <c r="F4772" t="inlineStr"/>
      <c r="G4772" t="inlineStr"/>
      <c r="H4772" t="inlineStr"/>
    </row>
    <row r="4773">
      <c r="A4773" t="inlineStr">
        <is>
          <t>a7d9bd46-c1e0-491b-9163-a80aee9dca08.jpg</t>
        </is>
      </c>
      <c r="B4773">
        <f>HYPERLINK("Объекты недвижимости, не соответствующие градостроительным нормам_00-022_Август/a7d9bd46-c1e0-491b-9163-a80aee9dca08.jpg","open")</f>
        <v/>
      </c>
      <c r="C4773" t="inlineStr">
        <is>
          <t>1231bbc5-e64c-4dc7-9acc-77710f47607a</t>
        </is>
      </c>
      <c r="D4773" t="n">
        <v>55.67168</v>
      </c>
      <c r="E4773" t="n">
        <v>37.59718</v>
      </c>
      <c r="F4773" t="inlineStr"/>
      <c r="G4773" t="inlineStr"/>
      <c r="H4773" t="inlineStr"/>
    </row>
    <row r="4774">
      <c r="A4774" t="inlineStr">
        <is>
          <t>15d3b503-d8d5-4ca9-b0e9-60f3d9ef4da0.jpg</t>
        </is>
      </c>
      <c r="B4774">
        <f>HYPERLINK("Объекты недвижимости, не соответствующие градостроительным нормам_00-022_Август/15d3b503-d8d5-4ca9-b0e9-60f3d9ef4da0.jpg","open")</f>
        <v/>
      </c>
      <c r="C4774" t="inlineStr">
        <is>
          <t>caa4772d-6278-4484-a046-ee25514bf521</t>
        </is>
      </c>
      <c r="D4774" t="n">
        <v>55.62262</v>
      </c>
      <c r="E4774" t="n">
        <v>37.64435</v>
      </c>
      <c r="F4774" t="inlineStr"/>
      <c r="G4774" t="inlineStr"/>
      <c r="H4774" t="inlineStr"/>
    </row>
    <row r="4775">
      <c r="A4775" t="inlineStr">
        <is>
          <t>e4ad3474-bc40-4dbc-8948-886e75e2755b.jpg</t>
        </is>
      </c>
      <c r="B4775">
        <f>HYPERLINK("Объекты недвижимости, не соответствующие градостроительным нормам_00-022_Август/e4ad3474-bc40-4dbc-8948-886e75e2755b.jpg","open")</f>
        <v/>
      </c>
      <c r="C4775" t="inlineStr">
        <is>
          <t>685d9054-b74f-49ab-857b-109fd2cec80d</t>
        </is>
      </c>
      <c r="D4775" t="n">
        <v>55.67118</v>
      </c>
      <c r="E4775" t="n">
        <v>37.59854</v>
      </c>
      <c r="F4775" t="inlineStr"/>
      <c r="G4775" t="inlineStr"/>
      <c r="H4775" t="inlineStr"/>
    </row>
    <row r="4776">
      <c r="A4776" t="inlineStr">
        <is>
          <t>09d3ed6e-c2ea-417a-ad3b-a17f0208b65b.jpg</t>
        </is>
      </c>
      <c r="B4776">
        <f>HYPERLINK("Объекты недвижимости, не соответствующие градостроительным нормам_00-022_Август/09d3ed6e-c2ea-417a-ad3b-a17f0208b65b.jpg","open")</f>
        <v/>
      </c>
      <c r="C4776" t="inlineStr">
        <is>
          <t>685d9054-b74f-49ab-857b-109fd2cec80d</t>
        </is>
      </c>
      <c r="D4776" t="n">
        <v>55.67036</v>
      </c>
      <c r="E4776" t="n">
        <v>37.59808</v>
      </c>
      <c r="F4776" t="inlineStr"/>
      <c r="G4776" t="inlineStr"/>
      <c r="H4776" t="inlineStr"/>
    </row>
    <row r="4777">
      <c r="A4777" t="inlineStr">
        <is>
          <t>bcbbc883-f365-4e61-a0fa-4511766978ff.jpg</t>
        </is>
      </c>
      <c r="B4777">
        <f>HYPERLINK("Объекты недвижимости, не соответствующие градостроительным нормам_00-022_Август/bcbbc883-f365-4e61-a0fa-4511766978ff.jpg","open")</f>
        <v/>
      </c>
      <c r="C4777" t="inlineStr">
        <is>
          <t>685d9054-b74f-49ab-857b-109fd2cec80d</t>
        </is>
      </c>
      <c r="D4777" t="n">
        <v>55.67033</v>
      </c>
      <c r="E4777" t="n">
        <v>37.59828</v>
      </c>
      <c r="F4777" t="inlineStr"/>
      <c r="G4777" t="inlineStr"/>
      <c r="H4777" t="inlineStr"/>
    </row>
    <row r="4778">
      <c r="A4778" t="inlineStr">
        <is>
          <t>6a164661-90ee-41a3-aa7f-21bc66cde9c6.jpg</t>
        </is>
      </c>
      <c r="B4778">
        <f>HYPERLINK("Объекты недвижимости, не соответствующие градостроительным нормам_00-022_Август/6a164661-90ee-41a3-aa7f-21bc66cde9c6.jpg","open")</f>
        <v/>
      </c>
      <c r="C4778" t="inlineStr">
        <is>
          <t>b0429a31-0c70-4b9f-8ea5-73929d82f89e</t>
        </is>
      </c>
      <c r="D4778" t="n">
        <v>55.66402</v>
      </c>
      <c r="E4778" t="n">
        <v>37.65081</v>
      </c>
      <c r="F4778" t="inlineStr"/>
      <c r="G4778" t="inlineStr"/>
      <c r="H4778" t="inlineStr"/>
    </row>
    <row r="4779">
      <c r="A4779" t="inlineStr">
        <is>
          <t>57ddc288-99cb-4565-9870-23f49d067253.jpg</t>
        </is>
      </c>
      <c r="B4779">
        <f>HYPERLINK("Объекты недвижимости, не соответствующие градостроительным нормам_00-022_Август/57ddc288-99cb-4565-9870-23f49d067253.jpg","open")</f>
        <v/>
      </c>
      <c r="C4779" t="inlineStr">
        <is>
          <t>acedacc2-0d8b-4fc1-9622-25621a89d071</t>
        </is>
      </c>
      <c r="D4779" t="n">
        <v>55.797</v>
      </c>
      <c r="E4779" t="n">
        <v>37.78135</v>
      </c>
      <c r="F4779" t="inlineStr"/>
      <c r="G4779" t="inlineStr"/>
      <c r="H4779" t="inlineStr"/>
    </row>
    <row r="4780">
      <c r="A4780" t="inlineStr">
        <is>
          <t>6b34b87d-9164-42e5-aeaa-95850d434840.jpg</t>
        </is>
      </c>
      <c r="B4780">
        <f>HYPERLINK("Объекты недвижимости, не соответствующие градостроительным нормам_00-022_Август/6b34b87d-9164-42e5-aeaa-95850d434840.jpg","open")</f>
        <v/>
      </c>
      <c r="C4780" t="inlineStr">
        <is>
          <t>9fb3d110-951f-48da-9d90-cfd7e1b5800d</t>
        </is>
      </c>
      <c r="D4780" t="n">
        <v>55.965</v>
      </c>
      <c r="E4780" t="n">
        <v>37.41042</v>
      </c>
      <c r="F4780" t="inlineStr"/>
      <c r="G4780" t="inlineStr"/>
      <c r="H4780" t="inlineStr"/>
    </row>
    <row r="4781">
      <c r="A4781" t="inlineStr">
        <is>
          <t>026c6681-d9d4-4422-83d9-c8f185c679ce.jpg</t>
        </is>
      </c>
      <c r="B4781">
        <f>HYPERLINK("Объекты недвижимости, не соответствующие градостроительным нормам_00-022_Август/026c6681-d9d4-4422-83d9-c8f185c679ce.jpg","open")</f>
        <v/>
      </c>
      <c r="C4781" t="inlineStr">
        <is>
          <t>685d9054-b74f-49ab-857b-109fd2cec80d</t>
        </is>
      </c>
      <c r="D4781" t="n">
        <v>55.67247</v>
      </c>
      <c r="E4781" t="n">
        <v>37.60101</v>
      </c>
      <c r="F4781" t="inlineStr"/>
      <c r="G4781" t="inlineStr"/>
      <c r="H4781" t="inlineStr"/>
    </row>
    <row r="4782">
      <c r="A4782" t="inlineStr">
        <is>
          <t>42283fc1-b580-4eb6-a054-e4a2207e5eae.jpg</t>
        </is>
      </c>
      <c r="B4782">
        <f>HYPERLINK("Объекты недвижимости, не соответствующие градостроительным нормам_00-022_Август/42283fc1-b580-4eb6-a054-e4a2207e5eae.jpg","open")</f>
        <v/>
      </c>
      <c r="C4782" t="inlineStr">
        <is>
          <t>93848fc8-17e7-4748-9ebc-c7e379e11d2f</t>
        </is>
      </c>
      <c r="D4782" t="n">
        <v>55.78909</v>
      </c>
      <c r="E4782" t="n">
        <v>37.72785</v>
      </c>
      <c r="F4782" t="inlineStr"/>
      <c r="G4782" t="inlineStr"/>
      <c r="H4782" t="inlineStr"/>
    </row>
    <row r="4783">
      <c r="A4783" t="inlineStr">
        <is>
          <t>4c2cda25-ce22-4523-8347-87d52d8bef8f.jpg</t>
        </is>
      </c>
      <c r="B4783">
        <f>HYPERLINK("Объекты недвижимости, не соответствующие градостроительным нормам_00-022_Август/4c2cda25-ce22-4523-8347-87d52d8bef8f.jpg","open")</f>
        <v/>
      </c>
      <c r="C4783" t="inlineStr">
        <is>
          <t>caa4772d-6278-4484-a046-ee25514bf521</t>
        </is>
      </c>
      <c r="D4783" t="n">
        <v>55.63832</v>
      </c>
      <c r="E4783" t="n">
        <v>37.65566</v>
      </c>
      <c r="F4783" t="inlineStr"/>
      <c r="G4783" t="inlineStr"/>
      <c r="H4783" t="inlineStr"/>
    </row>
    <row r="4784">
      <c r="A4784" t="inlineStr">
        <is>
          <t>71ff667a-9fd0-4f48-92c5-c22a4f8b95fb.jpg</t>
        </is>
      </c>
      <c r="B4784">
        <f>HYPERLINK("Объекты недвижимости, не соответствующие градостроительным нормам_00-022_Август/71ff667a-9fd0-4f48-92c5-c22a4f8b95fb.jpg","open")</f>
        <v/>
      </c>
      <c r="C4784" t="inlineStr">
        <is>
          <t>93848fc8-17e7-4748-9ebc-c7e379e11d2f</t>
        </is>
      </c>
      <c r="D4784" t="n">
        <v>55.78909</v>
      </c>
      <c r="E4784" t="n">
        <v>37.72785</v>
      </c>
      <c r="F4784" t="inlineStr"/>
      <c r="G4784" t="inlineStr"/>
      <c r="H4784" t="inlineStr"/>
    </row>
    <row r="4785">
      <c r="A4785" t="inlineStr">
        <is>
          <t>6f8e7e4f-8e48-460c-89f5-ecc3bff79b89.jpg</t>
        </is>
      </c>
      <c r="B4785">
        <f>HYPERLINK("Объекты недвижимости, не соответствующие градостроительным нормам_00-022_Август/6f8e7e4f-8e48-460c-89f5-ecc3bff79b89.jpg","open")</f>
        <v/>
      </c>
      <c r="C4785" t="inlineStr">
        <is>
          <t>f60286ac-55e7-4099-85bd-cc599a7a0c65</t>
        </is>
      </c>
      <c r="D4785" t="n">
        <v>55.81273</v>
      </c>
      <c r="E4785" t="n">
        <v>37.81617</v>
      </c>
      <c r="F4785" t="inlineStr"/>
      <c r="G4785" t="inlineStr"/>
      <c r="H4785" t="inlineStr"/>
    </row>
    <row r="4786">
      <c r="A4786" t="inlineStr">
        <is>
          <t>12eb7b86-15c8-4860-9e84-45ea5fade445.jpg</t>
        </is>
      </c>
      <c r="B4786">
        <f>HYPERLINK("Объекты недвижимости, не соответствующие градостроительным нормам_00-022_Август/12eb7b86-15c8-4860-9e84-45ea5fade445.jpg","open")</f>
        <v/>
      </c>
      <c r="C4786" t="inlineStr">
        <is>
          <t>ffd931da-542f-43e9-979f-5552b17fe3dc</t>
        </is>
      </c>
      <c r="D4786" t="n">
        <v>55.81301</v>
      </c>
      <c r="E4786" t="n">
        <v>37.81603</v>
      </c>
      <c r="F4786" t="inlineStr"/>
      <c r="G4786" t="inlineStr"/>
      <c r="H4786" t="inlineStr"/>
    </row>
    <row r="4787">
      <c r="A4787" t="inlineStr">
        <is>
          <t>2d79c88a-1b29-417a-aac2-55640330b442.jpg</t>
        </is>
      </c>
      <c r="B4787">
        <f>HYPERLINK("Объекты недвижимости, не соответствующие градостроительным нормам_00-022_Август/2d79c88a-1b29-417a-aac2-55640330b442.jpg","open")</f>
        <v/>
      </c>
      <c r="C4787" t="inlineStr">
        <is>
          <t>1231bbc5-e64c-4dc7-9acc-77710f47607a</t>
        </is>
      </c>
      <c r="D4787" t="n">
        <v>55.6725</v>
      </c>
      <c r="E4787" t="n">
        <v>37.60077</v>
      </c>
      <c r="F4787" t="inlineStr"/>
      <c r="G4787" t="inlineStr"/>
      <c r="H4787" t="inlineStr"/>
    </row>
    <row r="4788">
      <c r="A4788" t="inlineStr">
        <is>
          <t>d1e4ca4e-ad33-4d14-b62f-0a6e4d273422.jpg</t>
        </is>
      </c>
      <c r="B4788">
        <f>HYPERLINK("Объекты недвижимости, не соответствующие градостроительным нормам_00-022_Август/d1e4ca4e-ad33-4d14-b62f-0a6e4d273422.jpg","open")</f>
        <v/>
      </c>
      <c r="C4788" t="inlineStr">
        <is>
          <t>1231bbc5-e64c-4dc7-9acc-77710f47607a</t>
        </is>
      </c>
      <c r="D4788" t="n">
        <v>55.67261</v>
      </c>
      <c r="E4788" t="n">
        <v>37.60076</v>
      </c>
      <c r="F4788" t="inlineStr"/>
      <c r="G4788" t="inlineStr"/>
      <c r="H4788" t="inlineStr"/>
    </row>
    <row r="4789">
      <c r="A4789" t="inlineStr">
        <is>
          <t>66b3f403-2a13-458b-825f-9b92fb12bc67.jpg</t>
        </is>
      </c>
      <c r="B4789">
        <f>HYPERLINK("Объекты недвижимости, не соответствующие градостроительным нормам_00-022_Август/66b3f403-2a13-458b-825f-9b92fb12bc67.jpg","open")</f>
        <v/>
      </c>
      <c r="C4789" t="inlineStr">
        <is>
          <t>1231bbc5-e64c-4dc7-9acc-77710f47607a</t>
        </is>
      </c>
      <c r="D4789" t="n">
        <v>55.67252</v>
      </c>
      <c r="E4789" t="n">
        <v>37.60073</v>
      </c>
      <c r="F4789" t="inlineStr"/>
      <c r="G4789" t="inlineStr"/>
      <c r="H4789" t="inlineStr"/>
    </row>
    <row r="4790">
      <c r="A4790" t="inlineStr">
        <is>
          <t>d55df29c-4b1f-476c-828e-90851ce77930.jpg</t>
        </is>
      </c>
      <c r="B4790">
        <f>HYPERLINK("Объекты недвижимости, не соответствующие градостроительным нормам_00-022_Август/d55df29c-4b1f-476c-828e-90851ce77930.jpg","open")</f>
        <v/>
      </c>
      <c r="C4790" t="inlineStr">
        <is>
          <t>1231bbc5-e64c-4dc7-9acc-77710f47607a</t>
        </is>
      </c>
      <c r="D4790" t="n">
        <v>55.67249</v>
      </c>
      <c r="E4790" t="n">
        <v>37.6007</v>
      </c>
      <c r="F4790" t="inlineStr"/>
      <c r="G4790" t="inlineStr"/>
      <c r="H4790" t="inlineStr"/>
    </row>
    <row r="4791">
      <c r="A4791" t="inlineStr">
        <is>
          <t>14fddf2e-9b44-46da-ab58-6e92c9746507.jpg</t>
        </is>
      </c>
      <c r="B4791">
        <f>HYPERLINK("Объекты недвижимости, не соответствующие градостроительным нормам_00-022_Август/14fddf2e-9b44-46da-ab58-6e92c9746507.jpg","open")</f>
        <v/>
      </c>
      <c r="C4791" t="inlineStr">
        <is>
          <t>1231bbc5-e64c-4dc7-9acc-77710f47607a</t>
        </is>
      </c>
      <c r="D4791" t="n">
        <v>55.67251</v>
      </c>
      <c r="E4791" t="n">
        <v>37.60072</v>
      </c>
      <c r="F4791" t="inlineStr"/>
      <c r="G4791" t="inlineStr"/>
      <c r="H4791" t="inlineStr"/>
    </row>
    <row r="4792">
      <c r="A4792" t="inlineStr">
        <is>
          <t>f63b4782-96f7-4655-8ded-54fe171bbe96.jpg</t>
        </is>
      </c>
      <c r="B4792">
        <f>HYPERLINK("Объекты недвижимости, не соответствующие градостроительным нормам_00-022_Август/f63b4782-96f7-4655-8ded-54fe171bbe96.jpg","open")</f>
        <v/>
      </c>
      <c r="C4792" t="inlineStr">
        <is>
          <t>685d9054-b74f-49ab-857b-109fd2cec80d</t>
        </is>
      </c>
      <c r="D4792" t="n">
        <v>55.6725</v>
      </c>
      <c r="E4792" t="n">
        <v>37.60073</v>
      </c>
      <c r="F4792" t="inlineStr"/>
      <c r="G4792" t="inlineStr"/>
      <c r="H4792" t="inlineStr"/>
    </row>
    <row r="4793">
      <c r="A4793" t="inlineStr">
        <is>
          <t>534c43bb-9aef-468e-b1d7-955d277bd578.jpg</t>
        </is>
      </c>
      <c r="B4793">
        <f>HYPERLINK("Объекты недвижимости, не соответствующие градостроительным нормам_00-022_Август/534c43bb-9aef-468e-b1d7-955d277bd578.jpg","open")</f>
        <v/>
      </c>
      <c r="C4793" t="inlineStr">
        <is>
          <t>93848fc8-17e7-4748-9ebc-c7e379e11d2f</t>
        </is>
      </c>
      <c r="D4793" t="n">
        <v>55.78238</v>
      </c>
      <c r="E4793" t="n">
        <v>37.71892</v>
      </c>
      <c r="F4793" t="inlineStr"/>
      <c r="G4793" t="inlineStr"/>
      <c r="H4793" t="inlineStr"/>
    </row>
    <row r="4794">
      <c r="A4794" t="inlineStr">
        <is>
          <t>a992098e-6f1c-4a1d-8499-3cb5ea772e7c.jpg</t>
        </is>
      </c>
      <c r="B4794">
        <f>HYPERLINK("Объекты недвижимости, не соответствующие градостроительным нормам_00-022_Август/a992098e-6f1c-4a1d-8499-3cb5ea772e7c.jpg","open")</f>
        <v/>
      </c>
      <c r="C4794" t="inlineStr">
        <is>
          <t>b0429a31-0c70-4b9f-8ea5-73929d82f89e</t>
        </is>
      </c>
      <c r="D4794" t="n">
        <v>55.66785</v>
      </c>
      <c r="E4794" t="n">
        <v>37.64804</v>
      </c>
      <c r="F4794" t="inlineStr"/>
      <c r="G4794" t="inlineStr"/>
      <c r="H4794" t="inlineStr"/>
    </row>
    <row r="4795">
      <c r="A4795" t="inlineStr">
        <is>
          <t>8a3a1f44-2e88-4124-8d26-9f0714617eb1.jpg</t>
        </is>
      </c>
      <c r="B4795">
        <f>HYPERLINK("Объекты недвижимости, не соответствующие градостроительным нормам_00-022_Август/8a3a1f44-2e88-4124-8d26-9f0714617eb1.jpg","open")</f>
        <v/>
      </c>
      <c r="C4795" t="inlineStr">
        <is>
          <t>57aae8a4-582b-4309-8045-c8127a9f86ae</t>
        </is>
      </c>
      <c r="D4795" t="n">
        <v>55.79752</v>
      </c>
      <c r="E4795" t="n">
        <v>37.78901</v>
      </c>
      <c r="F4795" t="inlineStr"/>
      <c r="G4795" t="inlineStr"/>
      <c r="H4795" t="inlineStr"/>
    </row>
    <row r="4796">
      <c r="A4796" t="inlineStr">
        <is>
          <t>16b54fb6-33bb-416b-9b08-cb1aa360e559.jpg</t>
        </is>
      </c>
      <c r="B4796">
        <f>HYPERLINK("Объекты недвижимости, не соответствующие градостроительным нормам_00-022_Август/16b54fb6-33bb-416b-9b08-cb1aa360e559.jpg","open")</f>
        <v/>
      </c>
      <c r="C4796" t="inlineStr">
        <is>
          <t>a1a9db89-3f74-42ef-8fad-ad69705102cd</t>
        </is>
      </c>
      <c r="D4796" t="n">
        <v>55.73068</v>
      </c>
      <c r="E4796" t="n">
        <v>37.72595</v>
      </c>
      <c r="F4796" t="inlineStr"/>
      <c r="G4796" t="inlineStr"/>
      <c r="H4796" t="inlineStr"/>
    </row>
    <row r="4797">
      <c r="A4797" t="inlineStr">
        <is>
          <t>390c1761-df8e-43f7-ae88-0cb0ca2a18e9.jpg</t>
        </is>
      </c>
      <c r="B4797">
        <f>HYPERLINK("Объекты недвижимости, не соответствующие градостроительным нормам_00-022_Август/390c1761-df8e-43f7-ae88-0cb0ca2a18e9.jpg","open")</f>
        <v/>
      </c>
      <c r="C4797" t="inlineStr">
        <is>
          <t>b0429a31-0c70-4b9f-8ea5-73929d82f89e</t>
        </is>
      </c>
      <c r="D4797" t="n">
        <v>55.66884</v>
      </c>
      <c r="E4797" t="n">
        <v>37.65728</v>
      </c>
      <c r="F4797" t="inlineStr"/>
      <c r="G4797" t="inlineStr"/>
      <c r="H4797" t="inlineStr"/>
    </row>
    <row r="4798">
      <c r="A4798" t="inlineStr">
        <is>
          <t>8fa52473-991b-4baa-81f8-1f5e0809b498.jpg</t>
        </is>
      </c>
      <c r="B4798">
        <f>HYPERLINK("Объекты недвижимости, не соответствующие градостроительным нормам_00-022_Август/8fa52473-991b-4baa-81f8-1f5e0809b498.jpg","open")</f>
        <v/>
      </c>
      <c r="C4798" t="inlineStr">
        <is>
          <t>99f3abba-c55b-49f0-9de5-9f88e9597cc0</t>
        </is>
      </c>
      <c r="D4798" t="n">
        <v>55.66883</v>
      </c>
      <c r="E4798" t="n">
        <v>37.65742</v>
      </c>
      <c r="F4798" t="inlineStr"/>
      <c r="G4798" t="inlineStr"/>
      <c r="H4798" t="inlineStr"/>
    </row>
    <row r="4799">
      <c r="A4799" t="inlineStr">
        <is>
          <t>a7a9c46a-a62e-4ab4-8cd4-bc1ebbc6c5c4.jpg</t>
        </is>
      </c>
      <c r="B4799">
        <f>HYPERLINK("Объекты недвижимости, не соответствующие градостроительным нормам_00-022_Август/a7a9c46a-a62e-4ab4-8cd4-bc1ebbc6c5c4.jpg","open")</f>
        <v/>
      </c>
      <c r="C4799" t="inlineStr">
        <is>
          <t>1a55986c-2c3f-40c0-b3d1-014dce77832e</t>
        </is>
      </c>
      <c r="D4799" t="n">
        <v>55.70246</v>
      </c>
      <c r="E4799" t="n">
        <v>37.66819</v>
      </c>
      <c r="F4799" t="inlineStr"/>
      <c r="G4799" t="inlineStr"/>
      <c r="H4799" t="inlineStr"/>
    </row>
    <row r="4800">
      <c r="A4800" t="inlineStr">
        <is>
          <t>58c969be-1271-4c60-9cc1-a2b224cb9940.jpg</t>
        </is>
      </c>
      <c r="B4800">
        <f>HYPERLINK("Объекты недвижимости, не соответствующие градостроительным нормам_00-022_Август/58c969be-1271-4c60-9cc1-a2b224cb9940.jpg","open")</f>
        <v/>
      </c>
      <c r="C4800" t="inlineStr">
        <is>
          <t>b0429a31-0c70-4b9f-8ea5-73929d82f89e</t>
        </is>
      </c>
      <c r="D4800" t="n">
        <v>55.66873</v>
      </c>
      <c r="E4800" t="n">
        <v>37.65775</v>
      </c>
      <c r="F4800" t="inlineStr"/>
      <c r="G4800" t="inlineStr"/>
      <c r="H4800" t="inlineStr"/>
    </row>
    <row r="4801">
      <c r="A4801" t="inlineStr">
        <is>
          <t>79886a74-917c-426e-9e4e-056f6a8da3ba.jpg</t>
        </is>
      </c>
      <c r="B4801">
        <f>HYPERLINK("Объекты недвижимости, не соответствующие градостроительным нормам_00-022_Август/79886a74-917c-426e-9e4e-056f6a8da3ba.jpg","open")</f>
        <v/>
      </c>
      <c r="C4801" t="inlineStr">
        <is>
          <t>b0429a31-0c70-4b9f-8ea5-73929d82f89e</t>
        </is>
      </c>
      <c r="D4801" t="n">
        <v>55.66889</v>
      </c>
      <c r="E4801" t="n">
        <v>37.65732</v>
      </c>
      <c r="F4801" t="inlineStr"/>
      <c r="G4801" t="inlineStr"/>
      <c r="H4801" t="inlineStr"/>
    </row>
    <row r="4802">
      <c r="A4802" t="inlineStr">
        <is>
          <t>23a23177-74da-44ec-bb16-c7a681b8d058.jpg</t>
        </is>
      </c>
      <c r="B4802">
        <f>HYPERLINK("Объекты недвижимости, не соответствующие градостроительным нормам_00-022_Август/23a23177-74da-44ec-bb16-c7a681b8d058.jpg","open")</f>
        <v/>
      </c>
      <c r="C4802" t="inlineStr">
        <is>
          <t>a1a9db89-3f74-42ef-8fad-ad69705102cd</t>
        </is>
      </c>
      <c r="D4802" t="n">
        <v>55.73092</v>
      </c>
      <c r="E4802" t="n">
        <v>37.72823</v>
      </c>
      <c r="F4802" t="inlineStr"/>
      <c r="G4802" t="inlineStr"/>
      <c r="H4802" t="inlineStr"/>
    </row>
    <row r="4803">
      <c r="A4803" t="inlineStr">
        <is>
          <t>11f38325-52f6-4cd1-b982-0708d0b49d93.jpg</t>
        </is>
      </c>
      <c r="B4803">
        <f>HYPERLINK("Объекты недвижимости, не соответствующие градостроительным нормам_00-022_Август/11f38325-52f6-4cd1-b982-0708d0b49d93.jpg","open")</f>
        <v/>
      </c>
      <c r="C4803" t="inlineStr">
        <is>
          <t>b0429a31-0c70-4b9f-8ea5-73929d82f89e</t>
        </is>
      </c>
      <c r="D4803" t="n">
        <v>55.66916</v>
      </c>
      <c r="E4803" t="n">
        <v>37.65895</v>
      </c>
      <c r="F4803" t="inlineStr"/>
      <c r="G4803" t="inlineStr"/>
      <c r="H4803" t="inlineStr"/>
    </row>
    <row r="4804">
      <c r="A4804" t="inlineStr">
        <is>
          <t>d3c7ca4b-3619-422b-acc1-95e08afde0e8.jpg</t>
        </is>
      </c>
      <c r="B4804">
        <f>HYPERLINK("Объекты недвижимости, не соответствующие градостроительным нормам_00-022_Август/d3c7ca4b-3619-422b-acc1-95e08afde0e8.jpg","open")</f>
        <v/>
      </c>
      <c r="C4804" t="inlineStr">
        <is>
          <t>57aae8a4-582b-4309-8045-c8127a9f86ae</t>
        </is>
      </c>
      <c r="D4804" t="n">
        <v>55.79754</v>
      </c>
      <c r="E4804" t="n">
        <v>37.79552</v>
      </c>
      <c r="F4804" t="inlineStr"/>
      <c r="G4804" t="inlineStr"/>
      <c r="H4804" t="inlineStr"/>
    </row>
    <row r="4805">
      <c r="A4805" t="inlineStr">
        <is>
          <t>2b27fdd5-623f-49d4-a369-3bbba1f4bae6.jpg</t>
        </is>
      </c>
      <c r="B4805">
        <f>HYPERLINK("Объекты недвижимости, не соответствующие градостроительным нормам_00-022_Август/2b27fdd5-623f-49d4-a369-3bbba1f4bae6.jpg","open")</f>
        <v/>
      </c>
      <c r="C4805" t="inlineStr">
        <is>
          <t>57aae8a4-582b-4309-8045-c8127a9f86ae</t>
        </is>
      </c>
      <c r="D4805" t="n">
        <v>55.79758</v>
      </c>
      <c r="E4805" t="n">
        <v>37.79543</v>
      </c>
      <c r="F4805" t="inlineStr"/>
      <c r="G4805" t="inlineStr"/>
      <c r="H4805" t="inlineStr"/>
    </row>
    <row r="4806">
      <c r="A4806" t="inlineStr">
        <is>
          <t>c2786e9c-070b-4bd5-9f0b-e910e9dfbe66.jpg</t>
        </is>
      </c>
      <c r="B4806">
        <f>HYPERLINK("Объекты недвижимости, не соответствующие градостроительным нормам_00-022_Август/c2786e9c-070b-4bd5-9f0b-e910e9dfbe66.jpg","open")</f>
        <v/>
      </c>
      <c r="C4806" t="inlineStr">
        <is>
          <t>f20fbc2b-b369-4734-bb66-92af02fbb0d1</t>
        </is>
      </c>
      <c r="D4806" t="n">
        <v>55.67773</v>
      </c>
      <c r="E4806" t="n">
        <v>37.75119</v>
      </c>
      <c r="F4806" t="inlineStr"/>
      <c r="G4806" t="inlineStr"/>
      <c r="H4806" t="inlineStr"/>
    </row>
    <row r="4807">
      <c r="A4807" t="inlineStr">
        <is>
          <t>10581f84-7cc1-4393-be0d-1c8bb2144739.jpg</t>
        </is>
      </c>
      <c r="B4807">
        <f>HYPERLINK("Объекты недвижимости, не соответствующие градостроительным нормам_00-022_Август/10581f84-7cc1-4393-be0d-1c8bb2144739.jpg","open")</f>
        <v/>
      </c>
      <c r="C4807" t="inlineStr">
        <is>
          <t>685d9054-b74f-49ab-857b-109fd2cec80d</t>
        </is>
      </c>
      <c r="D4807" t="n">
        <v>55.75057</v>
      </c>
      <c r="E4807" t="n">
        <v>37.70046</v>
      </c>
      <c r="F4807" t="inlineStr"/>
      <c r="G4807" t="inlineStr"/>
      <c r="H4807" t="inlineStr"/>
    </row>
    <row r="4808">
      <c r="A4808" t="inlineStr">
        <is>
          <t>7f665777-ebf0-47e1-a0fc-f40797c28d8d.jpg</t>
        </is>
      </c>
      <c r="B4808">
        <f>HYPERLINK("Объекты недвижимости, не соответствующие градостроительным нормам_00-022_Август/7f665777-ebf0-47e1-a0fc-f40797c28d8d.jpg","open")</f>
        <v/>
      </c>
      <c r="C4808" t="inlineStr">
        <is>
          <t>685d9054-b74f-49ab-857b-109fd2cec80d</t>
        </is>
      </c>
      <c r="D4808" t="n">
        <v>55.75172</v>
      </c>
      <c r="E4808" t="n">
        <v>37.69892</v>
      </c>
      <c r="F4808" t="inlineStr"/>
      <c r="G4808" t="inlineStr"/>
      <c r="H4808" t="inlineStr"/>
    </row>
    <row r="4809">
      <c r="A4809" t="inlineStr">
        <is>
          <t>8e47a3e4-5dc5-402c-9f9a-452a6d05446f.jpg</t>
        </is>
      </c>
      <c r="B4809">
        <f>HYPERLINK("Объекты недвижимости, не соответствующие градостроительным нормам_00-022_Август/8e47a3e4-5dc5-402c-9f9a-452a6d05446f.jpg","open")</f>
        <v/>
      </c>
      <c r="C4809" t="inlineStr">
        <is>
          <t>57aae8a4-582b-4309-8045-c8127a9f86ae</t>
        </is>
      </c>
      <c r="D4809" t="n">
        <v>55.7975</v>
      </c>
      <c r="E4809" t="n">
        <v>37.7947</v>
      </c>
      <c r="F4809" t="inlineStr"/>
      <c r="G4809" t="inlineStr"/>
      <c r="H4809" t="inlineStr"/>
    </row>
    <row r="4810">
      <c r="A4810" t="inlineStr">
        <is>
          <t>9725183e-dc59-4f34-a832-a750be792f25.jpg</t>
        </is>
      </c>
      <c r="B4810">
        <f>HYPERLINK("Объекты недвижимости, не соответствующие градостроительным нормам_00-022_Август/9725183e-dc59-4f34-a832-a750be792f25.jpg","open")</f>
        <v/>
      </c>
      <c r="C4810" t="inlineStr">
        <is>
          <t>ed2bf0f1-3a66-4913-896e-4420a9796c0b</t>
        </is>
      </c>
      <c r="D4810" t="n">
        <v>55.74504</v>
      </c>
      <c r="E4810" t="n">
        <v>37.69931</v>
      </c>
      <c r="F4810" t="inlineStr"/>
      <c r="G4810" t="inlineStr"/>
      <c r="H4810" t="inlineStr"/>
    </row>
    <row r="4811">
      <c r="A4811" t="inlineStr">
        <is>
          <t>b9a8ff56-7c6d-4174-a3ab-0ac9d0d2cb25.jpg</t>
        </is>
      </c>
      <c r="B4811">
        <f>HYPERLINK("Объекты недвижимости, не соответствующие градостроительным нормам_00-022_Август/b9a8ff56-7c6d-4174-a3ab-0ac9d0d2cb25.jpg","open")</f>
        <v/>
      </c>
      <c r="C4811" t="inlineStr">
        <is>
          <t>cbf95b01-f708-45a3-9ec0-3603469b538e</t>
        </is>
      </c>
      <c r="D4811" t="n">
        <v>55.70353</v>
      </c>
      <c r="E4811" t="n">
        <v>37.64722</v>
      </c>
      <c r="F4811" t="inlineStr"/>
      <c r="G4811" t="inlineStr"/>
      <c r="H4811" t="inlineStr"/>
    </row>
    <row r="4812">
      <c r="A4812" t="inlineStr">
        <is>
          <t>8bb98ad7-e0f5-4b06-9554-6784ccc0dd18.jpg</t>
        </is>
      </c>
      <c r="B4812">
        <f>HYPERLINK("Объекты недвижимости, не соответствующие градостроительным нормам_00-022_Август/8bb98ad7-e0f5-4b06-9554-6784ccc0dd18.jpg","open")</f>
        <v/>
      </c>
      <c r="C4812" t="inlineStr">
        <is>
          <t>57aae8a4-582b-4309-8045-c8127a9f86ae</t>
        </is>
      </c>
      <c r="D4812" t="n">
        <v>55.79749</v>
      </c>
      <c r="E4812" t="n">
        <v>37.79567</v>
      </c>
      <c r="F4812" t="inlineStr"/>
      <c r="G4812" t="inlineStr"/>
      <c r="H4812" t="inlineStr"/>
    </row>
    <row r="4813">
      <c r="A4813" t="inlineStr">
        <is>
          <t>ef1b3b75-7678-4111-b106-538778e387cd.jpg</t>
        </is>
      </c>
      <c r="B4813">
        <f>HYPERLINK("Объекты недвижимости, не соответствующие градостроительным нормам_00-022_Август/ef1b3b75-7678-4111-b106-538778e387cd.jpg","open")</f>
        <v/>
      </c>
      <c r="C4813" t="inlineStr">
        <is>
          <t>685d9054-b74f-49ab-857b-109fd2cec80d</t>
        </is>
      </c>
      <c r="D4813" t="n">
        <v>55.77832</v>
      </c>
      <c r="E4813" t="n">
        <v>37.64025</v>
      </c>
      <c r="F4813" t="inlineStr"/>
      <c r="G4813" t="inlineStr"/>
      <c r="H4813" t="inlineStr"/>
    </row>
    <row r="4814">
      <c r="A4814" t="inlineStr">
        <is>
          <t>3edc17f6-2c7e-4ef6-8235-39fc8f866e64.jpg</t>
        </is>
      </c>
      <c r="B4814">
        <f>HYPERLINK("Объекты недвижимости, не соответствующие градостроительным нормам_00-022_Август/3edc17f6-2c7e-4ef6-8235-39fc8f866e64.jpg","open")</f>
        <v/>
      </c>
      <c r="C4814" t="inlineStr">
        <is>
          <t>9fb3d110-951f-48da-9d90-cfd7e1b5800d</t>
        </is>
      </c>
      <c r="D4814" t="n">
        <v>55.97866</v>
      </c>
      <c r="E4814" t="n">
        <v>37.42829</v>
      </c>
      <c r="F4814" t="inlineStr"/>
      <c r="G4814" t="inlineStr"/>
      <c r="H4814" t="inlineStr"/>
    </row>
    <row r="4815">
      <c r="A4815" t="inlineStr">
        <is>
          <t>c9e115f8-5206-4e26-99b6-c251a923311a.jpg</t>
        </is>
      </c>
      <c r="B4815">
        <f>HYPERLINK("Объекты недвижимости, не соответствующие градостроительным нормам_00-022_Август/c9e115f8-5206-4e26-99b6-c251a923311a.jpg","open")</f>
        <v/>
      </c>
      <c r="C4815" t="inlineStr">
        <is>
          <t>ed2bf0f1-3a66-4913-896e-4420a9796c0b</t>
        </is>
      </c>
      <c r="D4815" t="n">
        <v>55.74504</v>
      </c>
      <c r="E4815" t="n">
        <v>37.69931</v>
      </c>
      <c r="F4815" t="inlineStr"/>
      <c r="G4815" t="inlineStr"/>
      <c r="H4815" t="inlineStr"/>
    </row>
    <row r="4816">
      <c r="A4816" t="inlineStr">
        <is>
          <t>efa22bb3-ca53-4038-842b-aa6d27ad3e99.jpg</t>
        </is>
      </c>
      <c r="B4816">
        <f>HYPERLINK("Объекты недвижимости, не соответствующие градостроительным нормам_00-022_Август/efa22bb3-ca53-4038-842b-aa6d27ad3e99.jpg","open")</f>
        <v/>
      </c>
      <c r="C4816" t="inlineStr">
        <is>
          <t>b0429a31-0c70-4b9f-8ea5-73929d82f89e</t>
        </is>
      </c>
      <c r="D4816" t="n">
        <v>55.6725</v>
      </c>
      <c r="E4816" t="n">
        <v>37.66078</v>
      </c>
      <c r="F4816" t="inlineStr"/>
      <c r="G4816" t="inlineStr"/>
      <c r="H4816" t="inlineStr"/>
    </row>
    <row r="4817">
      <c r="A4817" t="inlineStr">
        <is>
          <t>b04d4e40-c236-441d-b372-653e25f308b0.jpg</t>
        </is>
      </c>
      <c r="B4817">
        <f>HYPERLINK("Объекты недвижимости, не соответствующие градостроительным нормам_00-022_Август/b04d4e40-c236-441d-b372-653e25f308b0.jpg","open")</f>
        <v/>
      </c>
      <c r="C4817" t="inlineStr">
        <is>
          <t>8cde1fd0-eca1-4510-86ab-3c743b65fdfc</t>
        </is>
      </c>
      <c r="D4817" t="n">
        <v>55.64333</v>
      </c>
      <c r="E4817" t="n">
        <v>37.33605</v>
      </c>
      <c r="F4817" t="inlineStr"/>
      <c r="G4817" t="inlineStr"/>
      <c r="H4817" t="inlineStr"/>
    </row>
    <row r="4818">
      <c r="A4818" t="inlineStr">
        <is>
          <t>70d0f2f3-e8a8-4392-bd77-8e7e3042c160.jpg</t>
        </is>
      </c>
      <c r="B4818">
        <f>HYPERLINK("Объекты недвижимости, не соответствующие градостроительным нормам_00-022_Август/70d0f2f3-e8a8-4392-bd77-8e7e3042c160.jpg","open")</f>
        <v/>
      </c>
      <c r="C4818" t="inlineStr">
        <is>
          <t>f6f80c84-5569-48fd-b627-6f41ce4c61c4</t>
        </is>
      </c>
      <c r="D4818" t="n">
        <v>54.15283</v>
      </c>
      <c r="E4818" t="n">
        <v>39.91753</v>
      </c>
      <c r="F4818" t="inlineStr"/>
      <c r="G4818" t="inlineStr"/>
      <c r="H4818" t="inlineStr"/>
    </row>
    <row r="4819">
      <c r="A4819" t="inlineStr">
        <is>
          <t>604a0798-3e11-445b-a231-8e5bce961c67.jpg</t>
        </is>
      </c>
      <c r="B4819">
        <f>HYPERLINK("Объекты недвижимости, не соответствующие градостроительным нормам_00-022_Август/604a0798-3e11-445b-a231-8e5bce961c67.jpg","open")</f>
        <v/>
      </c>
      <c r="C4819" t="inlineStr">
        <is>
          <t>8cde1fd0-eca1-4510-86ab-3c743b65fdfc</t>
        </is>
      </c>
      <c r="D4819" t="n">
        <v>55.63527</v>
      </c>
      <c r="E4819" t="n">
        <v>37.34148</v>
      </c>
      <c r="F4819" t="inlineStr"/>
      <c r="G4819" t="inlineStr"/>
      <c r="H4819" t="inlineStr"/>
    </row>
    <row r="4820">
      <c r="A4820" t="inlineStr">
        <is>
          <t>6389c393-bd1e-4a05-ab1d-55486ee54461.jpg</t>
        </is>
      </c>
      <c r="B4820">
        <f>HYPERLINK("Объекты недвижимости, не соответствующие градостроительным нормам_00-022_Август/6389c393-bd1e-4a05-ab1d-55486ee54461.jpg","open")</f>
        <v/>
      </c>
      <c r="C4820" t="inlineStr">
        <is>
          <t>1c951e11-4940-43c6-a447-394097e5609a</t>
        </is>
      </c>
      <c r="D4820" t="n">
        <v>55.63348</v>
      </c>
      <c r="E4820" t="n">
        <v>37.33504</v>
      </c>
      <c r="F4820" t="inlineStr"/>
      <c r="G4820" t="inlineStr"/>
      <c r="H4820" t="inlineStr"/>
    </row>
    <row r="4821">
      <c r="A4821" t="inlineStr">
        <is>
          <t>81691b68-a91c-492f-8b7c-7e2e7fb2f55e.jpg</t>
        </is>
      </c>
      <c r="B4821">
        <f>HYPERLINK("Объекты недвижимости, не соответствующие градостроительным нормам_00-022_Август/81691b68-a91c-492f-8b7c-7e2e7fb2f55e.jpg","open")</f>
        <v/>
      </c>
      <c r="C4821" t="inlineStr">
        <is>
          <t>8cde1fd0-eca1-4510-86ab-3c743b65fdfc</t>
        </is>
      </c>
      <c r="D4821" t="n">
        <v>55.63347</v>
      </c>
      <c r="E4821" t="n">
        <v>37.33501</v>
      </c>
      <c r="F4821" t="inlineStr"/>
      <c r="G4821" t="inlineStr"/>
      <c r="H4821" t="inlineStr"/>
    </row>
    <row r="4822">
      <c r="A4822" t="inlineStr">
        <is>
          <t>27e3d29b-7638-4280-a7c4-cad058f395d0.jpg</t>
        </is>
      </c>
      <c r="B4822">
        <f>HYPERLINK("Объекты недвижимости, не соответствующие градостроительным нормам_00-022_Август/27e3d29b-7638-4280-a7c4-cad058f395d0.jpg","open")</f>
        <v/>
      </c>
      <c r="C4822" t="inlineStr">
        <is>
          <t>789f6c51-64ee-4078-b7bd-443af8b8b68a</t>
        </is>
      </c>
      <c r="D4822" t="n">
        <v>55.86254</v>
      </c>
      <c r="E4822" t="n">
        <v>37.69085</v>
      </c>
      <c r="F4822" t="inlineStr"/>
      <c r="G4822" t="inlineStr"/>
      <c r="H4822" t="inlineStr"/>
    </row>
    <row r="4823">
      <c r="A4823" t="inlineStr">
        <is>
          <t>7df42979-3edc-4587-8d89-d0b721a611fc.jpg</t>
        </is>
      </c>
      <c r="B4823">
        <f>HYPERLINK("Объекты недвижимости, не соответствующие градостроительным нормам_00-022_Август/7df42979-3edc-4587-8d89-d0b721a611fc.jpg","open")</f>
        <v/>
      </c>
      <c r="C4823" t="inlineStr">
        <is>
          <t>b0429a31-0c70-4b9f-8ea5-73929d82f89e</t>
        </is>
      </c>
      <c r="D4823" t="n">
        <v>55.67743</v>
      </c>
      <c r="E4823" t="n">
        <v>37.652</v>
      </c>
      <c r="F4823" t="inlineStr"/>
      <c r="G4823" t="inlineStr"/>
      <c r="H4823" t="inlineStr"/>
    </row>
    <row r="4824">
      <c r="A4824" t="inlineStr">
        <is>
          <t>a18f15a6-59a4-432c-92ec-0b45806b86be.jpg</t>
        </is>
      </c>
      <c r="B4824">
        <f>HYPERLINK("Объекты недвижимости, не соответствующие градостроительным нормам_00-022_Август/a18f15a6-59a4-432c-92ec-0b45806b86be.jpg","open")</f>
        <v/>
      </c>
      <c r="C4824" t="inlineStr">
        <is>
          <t>b0429a31-0c70-4b9f-8ea5-73929d82f89e</t>
        </is>
      </c>
      <c r="D4824" t="n">
        <v>55.67735</v>
      </c>
      <c r="E4824" t="n">
        <v>37.65198</v>
      </c>
      <c r="F4824" t="inlineStr"/>
      <c r="G4824" t="inlineStr"/>
      <c r="H4824" t="inlineStr"/>
    </row>
    <row r="4825">
      <c r="A4825" t="inlineStr">
        <is>
          <t>0d5f55e4-34a6-4d7d-b798-9d7128690709.jpg</t>
        </is>
      </c>
      <c r="B4825">
        <f>HYPERLINK("Объекты недвижимости, не соответствующие градостроительным нормам_00-022_Август/0d5f55e4-34a6-4d7d-b798-9d7128690709.jpg","open")</f>
        <v/>
      </c>
      <c r="C4825" t="inlineStr">
        <is>
          <t>cbf95b01-f708-45a3-9ec0-3603469b538e</t>
        </is>
      </c>
      <c r="D4825" t="n">
        <v>55.7492</v>
      </c>
      <c r="E4825" t="n">
        <v>37.49985</v>
      </c>
      <c r="F4825" t="inlineStr"/>
      <c r="G4825" t="inlineStr"/>
      <c r="H4825" t="inlineStr"/>
    </row>
    <row r="4826">
      <c r="A4826" t="inlineStr">
        <is>
          <t>9a9419ba-0204-4bab-8e93-89643a12349c.jpg</t>
        </is>
      </c>
      <c r="B4826">
        <f>HYPERLINK("Объекты недвижимости, не соответствующие градостроительным нормам_00-022_Август/9a9419ba-0204-4bab-8e93-89643a12349c.jpg","open")</f>
        <v/>
      </c>
      <c r="C4826" t="inlineStr">
        <is>
          <t>a1a9db89-3f74-42ef-8fad-ad69705102cd</t>
        </is>
      </c>
      <c r="D4826" t="n">
        <v>55.7492</v>
      </c>
      <c r="E4826" t="n">
        <v>37.49985</v>
      </c>
      <c r="F4826" t="inlineStr"/>
      <c r="G4826" t="inlineStr"/>
      <c r="H4826" t="inlineStr"/>
    </row>
    <row r="4827">
      <c r="A4827" t="inlineStr">
        <is>
          <t>bce13422-1812-4d82-85df-c0cec4347ca2.jpg</t>
        </is>
      </c>
      <c r="B4827">
        <f>HYPERLINK("Объекты недвижимости, не соответствующие градостроительным нормам_00-022_Август/bce13422-1812-4d82-85df-c0cec4347ca2.jpg","open")</f>
        <v/>
      </c>
      <c r="C4827" t="inlineStr">
        <is>
          <t>99f3abba-c55b-49f0-9de5-9f88e9597cc0</t>
        </is>
      </c>
      <c r="D4827" t="n">
        <v>55.67791</v>
      </c>
      <c r="E4827" t="n">
        <v>37.6519</v>
      </c>
      <c r="F4827" t="inlineStr"/>
      <c r="G4827" t="inlineStr"/>
      <c r="H4827" t="inlineStr"/>
    </row>
    <row r="4828">
      <c r="A4828" t="inlineStr">
        <is>
          <t>b002f44d-2390-4a4c-9e8b-457f81ed01e5.jpg</t>
        </is>
      </c>
      <c r="B4828">
        <f>HYPERLINK("Объекты недвижимости, не соответствующие градостроительным нормам_00-022_Август/b002f44d-2390-4a4c-9e8b-457f81ed01e5.jpg","open")</f>
        <v/>
      </c>
      <c r="C4828" t="inlineStr">
        <is>
          <t>ffd931da-542f-43e9-979f-5552b17fe3dc</t>
        </is>
      </c>
      <c r="D4828" t="n">
        <v>55.81372</v>
      </c>
      <c r="E4828" t="n">
        <v>37.82259</v>
      </c>
      <c r="F4828" t="inlineStr"/>
      <c r="G4828" t="inlineStr"/>
      <c r="H4828" t="inlineStr"/>
    </row>
    <row r="4829">
      <c r="A4829" t="inlineStr">
        <is>
          <t>2336f640-ee9c-4084-a80f-174790d9f5fb.jpg</t>
        </is>
      </c>
      <c r="B4829">
        <f>HYPERLINK("Объекты недвижимости, не соответствующие градостроительным нормам_00-022_Август/2336f640-ee9c-4084-a80f-174790d9f5fb.jpg","open")</f>
        <v/>
      </c>
      <c r="C4829" t="inlineStr">
        <is>
          <t>cbf95b01-f708-45a3-9ec0-3603469b538e</t>
        </is>
      </c>
      <c r="D4829" t="n">
        <v>55.68771</v>
      </c>
      <c r="E4829" t="n">
        <v>37.4303</v>
      </c>
      <c r="F4829" t="inlineStr"/>
      <c r="G4829" t="inlineStr"/>
      <c r="H4829" t="inlineStr"/>
    </row>
    <row r="4830">
      <c r="A4830" t="inlineStr">
        <is>
          <t>92a7a29e-51c4-49c4-b261-42e9d900c8d5.jpg</t>
        </is>
      </c>
      <c r="B4830">
        <f>HYPERLINK("Объекты недвижимости, не соответствующие градостроительным нормам_00-022_Август/92a7a29e-51c4-49c4-b261-42e9d900c8d5.jpg","open")</f>
        <v/>
      </c>
      <c r="C4830" t="inlineStr">
        <is>
          <t>12e795ad-2aa7-49de-b2da-2c6aa35a4559</t>
        </is>
      </c>
      <c r="D4830" t="n">
        <v>55.74542</v>
      </c>
      <c r="E4830" t="n">
        <v>37.69952</v>
      </c>
      <c r="F4830" t="inlineStr"/>
      <c r="G4830" t="inlineStr"/>
      <c r="H4830" t="inlineStr"/>
    </row>
    <row r="4831">
      <c r="A4831" t="inlineStr">
        <is>
          <t>1c1ecf9d-330e-44a6-ac27-30885981a006.jpg</t>
        </is>
      </c>
      <c r="B4831">
        <f>HYPERLINK("Объекты недвижимости, не соответствующие градостроительным нормам_00-022_Август/1c1ecf9d-330e-44a6-ac27-30885981a006.jpg","open")</f>
        <v/>
      </c>
      <c r="C4831" t="inlineStr">
        <is>
          <t>dd48f742-b338-42e2-bbaf-b3a9701b437c</t>
        </is>
      </c>
      <c r="D4831" t="n">
        <v>55.67376</v>
      </c>
      <c r="E4831" t="n">
        <v>37.86063</v>
      </c>
      <c r="F4831" t="inlineStr"/>
      <c r="G4831" t="inlineStr"/>
      <c r="H4831" t="inlineStr"/>
    </row>
    <row r="4832">
      <c r="A4832" t="inlineStr">
        <is>
          <t>327404e3-f078-49b8-a964-f8f113da1c81.jpg</t>
        </is>
      </c>
      <c r="B4832">
        <f>HYPERLINK("Объекты недвижимости, не соответствующие градостроительным нормам_00-022_Август/327404e3-f078-49b8-a964-f8f113da1c81.jpg","open")</f>
        <v/>
      </c>
      <c r="C4832" t="inlineStr">
        <is>
          <t>b0429a31-0c70-4b9f-8ea5-73929d82f89e</t>
        </is>
      </c>
      <c r="D4832" t="n">
        <v>55.70533</v>
      </c>
      <c r="E4832" t="n">
        <v>37.66796</v>
      </c>
      <c r="F4832" t="inlineStr"/>
      <c r="G4832" t="inlineStr"/>
      <c r="H4832" t="inlineStr"/>
    </row>
    <row r="4833">
      <c r="A4833" t="inlineStr">
        <is>
          <t>ff282c3b-f921-46ca-995a-10b102a02dfb.jpg</t>
        </is>
      </c>
      <c r="B4833">
        <f>HYPERLINK("Объекты недвижимости, не соответствующие градостроительным нормам_00-022_Август/ff282c3b-f921-46ca-995a-10b102a02dfb.jpg","open")</f>
        <v/>
      </c>
      <c r="C4833" t="inlineStr">
        <is>
          <t>acedacc2-0d8b-4fc1-9622-25621a89d071</t>
        </is>
      </c>
      <c r="D4833" t="n">
        <v>55.75993</v>
      </c>
      <c r="E4833" t="n">
        <v>37.75416</v>
      </c>
      <c r="F4833" t="inlineStr"/>
      <c r="G4833" t="inlineStr"/>
      <c r="H4833" t="inlineStr"/>
    </row>
    <row r="4834">
      <c r="A4834" t="inlineStr">
        <is>
          <t>b91b3704-9371-4330-9789-685ca46d37de.jpg</t>
        </is>
      </c>
      <c r="B4834">
        <f>HYPERLINK("Объекты недвижимости, не соответствующие градостроительным нормам_00-022_Август/b91b3704-9371-4330-9789-685ca46d37de.jpg","open")</f>
        <v/>
      </c>
      <c r="C4834" t="inlineStr">
        <is>
          <t>8cde1fd0-eca1-4510-86ab-3c743b65fdfc</t>
        </is>
      </c>
      <c r="D4834" t="n">
        <v>55.7093</v>
      </c>
      <c r="E4834" t="n">
        <v>37.52196</v>
      </c>
      <c r="F4834" t="inlineStr"/>
      <c r="G4834" t="inlineStr"/>
      <c r="H4834" t="inlineStr"/>
    </row>
    <row r="4835">
      <c r="A4835" t="inlineStr">
        <is>
          <t>5847d0a7-0ef4-46c4-8948-fd39d7800fe2.jpg</t>
        </is>
      </c>
      <c r="B4835">
        <f>HYPERLINK("Объекты недвижимости, не соответствующие градостроительным нормам_00-022_Август/5847d0a7-0ef4-46c4-8948-fd39d7800fe2.jpg","open")</f>
        <v/>
      </c>
      <c r="C4835" t="inlineStr">
        <is>
          <t>8cde1fd0-eca1-4510-86ab-3c743b65fdfc</t>
        </is>
      </c>
      <c r="D4835" t="n">
        <v>55.71048</v>
      </c>
      <c r="E4835" t="n">
        <v>37.52271</v>
      </c>
      <c r="F4835" t="inlineStr"/>
      <c r="G4835" t="inlineStr"/>
      <c r="H4835" t="inlineStr"/>
    </row>
    <row r="4836">
      <c r="A4836" t="inlineStr">
        <is>
          <t>c725a31f-fdba-45fb-9091-34cdaae5482e.jpg</t>
        </is>
      </c>
      <c r="B4836">
        <f>HYPERLINK("Объекты недвижимости, не соответствующие градостроительным нормам_00-022_Август/c725a31f-fdba-45fb-9091-34cdaae5482e.jpg","open")</f>
        <v/>
      </c>
      <c r="C4836" t="inlineStr">
        <is>
          <t>b0b7ea82-53be-40d0-b992-e2fd18611d5c</t>
        </is>
      </c>
      <c r="D4836" t="n">
        <v>55.73729</v>
      </c>
      <c r="E4836" t="n">
        <v>37.70503</v>
      </c>
      <c r="F4836" t="inlineStr"/>
      <c r="G4836" t="inlineStr"/>
      <c r="H4836" t="inlineStr"/>
    </row>
    <row r="4837">
      <c r="A4837" t="inlineStr">
        <is>
          <t>3109bfa6-2403-4d10-9abe-aced27d55fd6.jpg</t>
        </is>
      </c>
      <c r="B4837">
        <f>HYPERLINK("Объекты недвижимости, не соответствующие градостроительным нормам_00-022_Август/3109bfa6-2403-4d10-9abe-aced27d55fd6.jpg","open")</f>
        <v/>
      </c>
      <c r="C4837" t="inlineStr">
        <is>
          <t>8cde1fd0-eca1-4510-86ab-3c743b65fdfc</t>
        </is>
      </c>
      <c r="D4837" t="n">
        <v>55.78259</v>
      </c>
      <c r="E4837" t="n">
        <v>37.53784</v>
      </c>
      <c r="F4837" t="inlineStr"/>
      <c r="G4837" t="inlineStr"/>
      <c r="H4837" t="inlineStr"/>
    </row>
    <row r="4838">
      <c r="A4838" t="inlineStr">
        <is>
          <t>ec1af688-5d96-440a-a818-e795ea319457.jpg</t>
        </is>
      </c>
      <c r="B4838">
        <f>HYPERLINK("Объекты недвижимости, не соответствующие градостроительным нормам_00-022_Август/ec1af688-5d96-440a-a818-e795ea319457.jpg","open")</f>
        <v/>
      </c>
      <c r="C4838" t="inlineStr">
        <is>
          <t>b0b7ea82-53be-40d0-b992-e2fd18611d5c</t>
        </is>
      </c>
      <c r="D4838" t="n">
        <v>55.74345</v>
      </c>
      <c r="E4838" t="n">
        <v>37.7075</v>
      </c>
      <c r="F4838" t="inlineStr"/>
      <c r="G4838" t="inlineStr"/>
      <c r="H4838" t="inlineStr"/>
    </row>
    <row r="4839">
      <c r="A4839" t="inlineStr">
        <is>
          <t>fbffedec-9c18-46b1-afa5-d6ffd3dd581f.jpg</t>
        </is>
      </c>
      <c r="B4839">
        <f>HYPERLINK("Объекты недвижимости, не соответствующие градостроительным нормам_00-022_Август/fbffedec-9c18-46b1-afa5-d6ffd3dd581f.jpg","open")</f>
        <v/>
      </c>
      <c r="C4839" t="inlineStr">
        <is>
          <t>8cde1fd0-eca1-4510-86ab-3c743b65fdfc</t>
        </is>
      </c>
      <c r="D4839" t="n">
        <v>55.82532</v>
      </c>
      <c r="E4839" t="n">
        <v>37.44519</v>
      </c>
      <c r="F4839" t="inlineStr"/>
      <c r="G4839" t="inlineStr"/>
      <c r="H4839" t="inlineStr"/>
    </row>
    <row r="4840">
      <c r="A4840" t="inlineStr">
        <is>
          <t>f2aaea23-43ed-478b-bd45-9feb05cc220a.jpg</t>
        </is>
      </c>
      <c r="B4840">
        <f>HYPERLINK("Объекты недвижимости, не соответствующие градостроительным нормам_00-022_Август/f2aaea23-43ed-478b-bd45-9feb05cc220a.jpg","open")</f>
        <v/>
      </c>
      <c r="C4840" t="inlineStr">
        <is>
          <t>8cde1fd0-eca1-4510-86ab-3c743b65fdfc</t>
        </is>
      </c>
      <c r="D4840" t="n">
        <v>55.82532</v>
      </c>
      <c r="E4840" t="n">
        <v>37.44519</v>
      </c>
      <c r="F4840" t="inlineStr"/>
      <c r="G4840" t="inlineStr"/>
      <c r="H4840" t="inlineStr"/>
    </row>
    <row r="4841">
      <c r="A4841" t="inlineStr">
        <is>
          <t>e01b4623-2c1c-46b6-9eaa-344ddb4236fc.jpg</t>
        </is>
      </c>
      <c r="B4841">
        <f>HYPERLINK("Объекты недвижимости, не соответствующие градостроительным нормам_00-022_Август/e01b4623-2c1c-46b6-9eaa-344ddb4236fc.jpg","open")</f>
        <v/>
      </c>
      <c r="C4841" t="inlineStr">
        <is>
          <t>f9ad0a8f-1e33-4fca-bdfe-5b844d3ee381</t>
        </is>
      </c>
      <c r="D4841" t="n">
        <v>55.76884</v>
      </c>
      <c r="E4841" t="n">
        <v>37.47374</v>
      </c>
      <c r="F4841" t="inlineStr"/>
      <c r="G4841" t="inlineStr"/>
      <c r="H4841" t="inlineStr"/>
    </row>
    <row r="4842">
      <c r="A4842" t="inlineStr">
        <is>
          <t>175609ed-0b45-4ca5-855f-4507d4f7d786.jpg</t>
        </is>
      </c>
      <c r="B4842">
        <f>HYPERLINK("Объекты недвижимости, не соответствующие градостроительным нормам_00-022_Август/175609ed-0b45-4ca5-855f-4507d4f7d786.jpg","open")</f>
        <v/>
      </c>
      <c r="C4842" t="inlineStr">
        <is>
          <t>8cde1fd0-eca1-4510-86ab-3c743b65fdfc</t>
        </is>
      </c>
      <c r="D4842" t="n">
        <v>55.82532</v>
      </c>
      <c r="E4842" t="n">
        <v>37.44519</v>
      </c>
      <c r="F4842" t="inlineStr"/>
      <c r="G4842" t="inlineStr"/>
      <c r="H4842" t="inlineStr"/>
    </row>
    <row r="4843">
      <c r="A4843" t="inlineStr">
        <is>
          <t>73168315-26c2-4a9f-bcb3-98d0d844c5a0.jpg</t>
        </is>
      </c>
      <c r="B4843">
        <f>HYPERLINK("Объекты недвижимости, не соответствующие градостроительным нормам_00-022_Август/73168315-26c2-4a9f-bcb3-98d0d844c5a0.jpg","open")</f>
        <v/>
      </c>
      <c r="C4843" t="inlineStr">
        <is>
          <t>8cde1fd0-eca1-4510-86ab-3c743b65fdfc</t>
        </is>
      </c>
      <c r="D4843" t="n">
        <v>55.7034</v>
      </c>
      <c r="E4843" t="n">
        <v>37.59993</v>
      </c>
      <c r="F4843" t="inlineStr"/>
      <c r="G4843" t="inlineStr"/>
      <c r="H4843" t="inlineStr"/>
    </row>
    <row r="4844">
      <c r="A4844" t="inlineStr">
        <is>
          <t>ec154c2e-18bc-4630-af8e-9418c1b6ab60.jpg</t>
        </is>
      </c>
      <c r="B4844">
        <f>HYPERLINK("Объекты недвижимости, не соответствующие градостроительным нормам_00-022_Август/ec154c2e-18bc-4630-af8e-9418c1b6ab60.jpg","open")</f>
        <v/>
      </c>
      <c r="C4844" t="inlineStr">
        <is>
          <t>8cde1fd0-eca1-4510-86ab-3c743b65fdfc</t>
        </is>
      </c>
      <c r="D4844" t="n">
        <v>55.70177</v>
      </c>
      <c r="E4844" t="n">
        <v>37.60569</v>
      </c>
      <c r="F4844" t="inlineStr"/>
      <c r="G4844" t="inlineStr"/>
      <c r="H4844" t="inlineStr"/>
    </row>
    <row r="4845">
      <c r="A4845" t="inlineStr">
        <is>
          <t>bbcd85b3-38c2-4724-9dac-d29401cbf733.jpg</t>
        </is>
      </c>
      <c r="B4845">
        <f>HYPERLINK("Объекты недвижимости, не соответствующие градостроительным нормам_00-022_Август/bbcd85b3-38c2-4724-9dac-d29401cbf733.jpg","open")</f>
        <v/>
      </c>
      <c r="C4845" t="inlineStr">
        <is>
          <t>8cde1fd0-eca1-4510-86ab-3c743b65fdfc</t>
        </is>
      </c>
      <c r="D4845" t="n">
        <v>55.70122</v>
      </c>
      <c r="E4845" t="n">
        <v>37.6074</v>
      </c>
      <c r="F4845" t="inlineStr"/>
      <c r="G4845" t="inlineStr"/>
      <c r="H4845" t="inlineStr"/>
    </row>
    <row r="4846">
      <c r="A4846" t="inlineStr">
        <is>
          <t>977fd201-704e-4293-819b-a0620cbd836b.jpg</t>
        </is>
      </c>
      <c r="B4846">
        <f>HYPERLINK("Объекты недвижимости, не соответствующие градостроительным нормам_00-022_Август/977fd201-704e-4293-819b-a0620cbd836b.jpg","open")</f>
        <v/>
      </c>
      <c r="C4846" t="inlineStr">
        <is>
          <t>a28f597e-d1cd-4d3b-b572-c86d033412e9</t>
        </is>
      </c>
      <c r="D4846" t="n">
        <v>55.71151</v>
      </c>
      <c r="E4846" t="n">
        <v>37.67368</v>
      </c>
      <c r="F4846" t="inlineStr"/>
      <c r="G4846" t="inlineStr"/>
      <c r="H4846" t="inlineStr"/>
    </row>
    <row r="4847">
      <c r="A4847" t="inlineStr">
        <is>
          <t>51aff766-0659-4cd5-9153-1bd063b5be65.jpg</t>
        </is>
      </c>
      <c r="B4847">
        <f>HYPERLINK("Объекты недвижимости, не соответствующие градостроительным нормам_00-022_Август/51aff766-0659-4cd5-9153-1bd063b5be65.jpg","open")</f>
        <v/>
      </c>
      <c r="C4847" t="inlineStr">
        <is>
          <t>ab4e767f-65c0-455b-af20-a5527124fd21</t>
        </is>
      </c>
      <c r="D4847" t="n">
        <v>55.74182</v>
      </c>
      <c r="E4847" t="n">
        <v>37.41771</v>
      </c>
      <c r="F4847" t="inlineStr"/>
      <c r="G4847" t="inlineStr"/>
      <c r="H4847" t="inlineStr"/>
    </row>
    <row r="4848">
      <c r="A4848" t="inlineStr">
        <is>
          <t>e741f293-f8a5-496a-aa21-a75458b83402.jpg</t>
        </is>
      </c>
      <c r="B4848">
        <f>HYPERLINK("Объекты недвижимости, не соответствующие градостроительным нормам_00-022_Август/e741f293-f8a5-496a-aa21-a75458b83402.jpg","open")</f>
        <v/>
      </c>
      <c r="C4848" t="inlineStr">
        <is>
          <t>1c951e11-4940-43c6-a447-394097e5609a</t>
        </is>
      </c>
      <c r="D4848" t="n">
        <v>55.70414</v>
      </c>
      <c r="E4848" t="n">
        <v>37.65971</v>
      </c>
      <c r="F4848" t="inlineStr"/>
      <c r="G4848" t="inlineStr"/>
      <c r="H4848" t="inlineStr"/>
    </row>
    <row r="4849">
      <c r="A4849" t="inlineStr">
        <is>
          <t>b44fe7ab-f379-4387-bb0f-1851b842f6c3.jpg</t>
        </is>
      </c>
      <c r="B4849">
        <f>HYPERLINK("Объекты недвижимости, не соответствующие градостроительным нормам_00-022_Август/b44fe7ab-f379-4387-bb0f-1851b842f6c3.jpg","open")</f>
        <v/>
      </c>
      <c r="C4849" t="inlineStr">
        <is>
          <t>1c951e11-4940-43c6-a447-394097e5609a</t>
        </is>
      </c>
      <c r="D4849" t="n">
        <v>55.70512</v>
      </c>
      <c r="E4849" t="n">
        <v>37.66147</v>
      </c>
      <c r="F4849" t="inlineStr"/>
      <c r="G4849" t="inlineStr"/>
      <c r="H4849" t="inlineStr"/>
    </row>
    <row r="4850">
      <c r="A4850" t="inlineStr">
        <is>
          <t>3cea555d-4fda-4f88-a10f-9fcbcaf82c5c.jpg</t>
        </is>
      </c>
      <c r="B4850">
        <f>HYPERLINK("Объекты недвижимости, не соответствующие градостроительным нормам_00-022_Август/3cea555d-4fda-4f88-a10f-9fcbcaf82c5c.jpg","open")</f>
        <v/>
      </c>
      <c r="C4850" t="inlineStr">
        <is>
          <t>8cde1fd0-eca1-4510-86ab-3c743b65fdfc</t>
        </is>
      </c>
      <c r="D4850" t="n">
        <v>55.70878</v>
      </c>
      <c r="E4850" t="n">
        <v>37.66814</v>
      </c>
      <c r="F4850" t="inlineStr"/>
      <c r="G4850" t="inlineStr"/>
      <c r="H4850" t="inlineStr"/>
    </row>
    <row r="4851">
      <c r="A4851" t="inlineStr">
        <is>
          <t>21ef4b1e-6027-4709-ba3a-d3f61955cb9e.jpg</t>
        </is>
      </c>
      <c r="B4851">
        <f>HYPERLINK("Объекты недвижимости, не соответствующие градостроительным нормам_00-022_Август/21ef4b1e-6027-4709-ba3a-d3f61955cb9e.jpg","open")</f>
        <v/>
      </c>
      <c r="C4851" t="inlineStr">
        <is>
          <t>61936922-4d4b-458e-80ea-6d4c450aa1d5</t>
        </is>
      </c>
      <c r="D4851" t="n">
        <v>55.90602</v>
      </c>
      <c r="E4851" t="n">
        <v>37.54026</v>
      </c>
      <c r="F4851" t="inlineStr"/>
      <c r="G4851" t="inlineStr"/>
      <c r="H4851" t="inlineStr"/>
    </row>
    <row r="4852">
      <c r="A4852" t="inlineStr">
        <is>
          <t>e09e1e93-2641-4044-827e-15f151d684eb.jpg</t>
        </is>
      </c>
      <c r="B4852">
        <f>HYPERLINK("Объекты недвижимости, не соответствующие градостроительным нормам_00-022_Август/e09e1e93-2641-4044-827e-15f151d684eb.jpg","open")</f>
        <v/>
      </c>
      <c r="C4852" t="inlineStr">
        <is>
          <t>9c930d0e-e445-452d-a046-325646b21ab7</t>
        </is>
      </c>
      <c r="D4852" t="n">
        <v>55.73363</v>
      </c>
      <c r="E4852" t="n">
        <v>37.62946</v>
      </c>
      <c r="F4852" t="inlineStr"/>
      <c r="G4852" t="inlineStr"/>
      <c r="H4852" t="inlineStr"/>
    </row>
    <row r="4853">
      <c r="A4853" t="inlineStr">
        <is>
          <t>2d39b303-04ed-472c-ae61-e923e59f9a66.jpg</t>
        </is>
      </c>
      <c r="B4853">
        <f>HYPERLINK("Объекты недвижимости, не соответствующие градостроительным нормам_00-022_Август/2d39b303-04ed-472c-ae61-e923e59f9a66.jpg","open")</f>
        <v/>
      </c>
      <c r="C4853" t="inlineStr">
        <is>
          <t>1c951e11-4940-43c6-a447-394097e5609a</t>
        </is>
      </c>
      <c r="D4853" t="n">
        <v>55.74778</v>
      </c>
      <c r="E4853" t="n">
        <v>37.69997</v>
      </c>
      <c r="F4853" t="inlineStr"/>
      <c r="G4853" t="inlineStr"/>
      <c r="H4853" t="inlineStr"/>
    </row>
    <row r="4854">
      <c r="A4854" t="inlineStr">
        <is>
          <t>2afce35a-f097-41e3-94d6-fe1b455f1611.jpg</t>
        </is>
      </c>
      <c r="B4854">
        <f>HYPERLINK("Объекты недвижимости, не соответствующие градостроительным нормам_00-022_Август/2afce35a-f097-41e3-94d6-fe1b455f1611.jpg","open")</f>
        <v/>
      </c>
      <c r="C4854" t="inlineStr">
        <is>
          <t>8beacb4f-617e-4b34-8030-60c4dff5f8d1</t>
        </is>
      </c>
      <c r="D4854" t="n">
        <v>55.74663</v>
      </c>
      <c r="E4854" t="n">
        <v>37.58315</v>
      </c>
      <c r="F4854" t="inlineStr"/>
      <c r="G4854" t="inlineStr"/>
      <c r="H4854" t="inlineStr"/>
    </row>
    <row r="4855">
      <c r="A4855" t="inlineStr">
        <is>
          <t>2a0083f4-0b92-4cfc-9300-9b49461db539.jpg</t>
        </is>
      </c>
      <c r="B4855">
        <f>HYPERLINK("Объекты недвижимости, не соответствующие градостроительным нормам_00-022_Август/2a0083f4-0b92-4cfc-9300-9b49461db539.jpg","open")</f>
        <v/>
      </c>
      <c r="C4855" t="inlineStr">
        <is>
          <t>fb40ed24-21ef-458a-a239-038ab19932cc</t>
        </is>
      </c>
      <c r="D4855" t="n">
        <v>55.75658</v>
      </c>
      <c r="E4855" t="n">
        <v>37.75147</v>
      </c>
      <c r="F4855" t="inlineStr"/>
      <c r="G4855" t="inlineStr"/>
      <c r="H4855" t="inlineStr"/>
    </row>
    <row r="4856">
      <c r="A4856" t="inlineStr">
        <is>
          <t>34e99ff1-a5cf-40db-92ae-3d5359db7ec8.jpg</t>
        </is>
      </c>
      <c r="B4856">
        <f>HYPERLINK("Объекты недвижимости, не соответствующие градостроительным нормам_00-022_Август/34e99ff1-a5cf-40db-92ae-3d5359db7ec8.jpg","open")</f>
        <v/>
      </c>
      <c r="C4856" t="inlineStr">
        <is>
          <t>ab4e767f-65c0-455b-af20-a5527124fd21</t>
        </is>
      </c>
      <c r="D4856" t="n">
        <v>55.67635</v>
      </c>
      <c r="E4856" t="n">
        <v>37.6114</v>
      </c>
      <c r="F4856" t="inlineStr"/>
      <c r="G4856" t="inlineStr"/>
      <c r="H4856" t="inlineStr"/>
    </row>
    <row r="4857">
      <c r="A4857" t="inlineStr">
        <is>
          <t>0cb1f6e7-05af-41c4-9d3f-0a6a1993767c.jpg</t>
        </is>
      </c>
      <c r="B4857">
        <f>HYPERLINK("Объекты недвижимости, не соответствующие градостроительным нормам_00-022_Август/0cb1f6e7-05af-41c4-9d3f-0a6a1993767c.jpg","open")</f>
        <v/>
      </c>
      <c r="C4857" t="inlineStr">
        <is>
          <t>fb40ed24-21ef-458a-a239-038ab19932cc</t>
        </is>
      </c>
      <c r="D4857" t="n">
        <v>55.81712</v>
      </c>
      <c r="E4857" t="n">
        <v>37.77814</v>
      </c>
      <c r="F4857" t="inlineStr"/>
      <c r="G4857" t="inlineStr"/>
      <c r="H4857" t="inlineStr"/>
    </row>
    <row r="4858">
      <c r="A4858" t="inlineStr">
        <is>
          <t>222dc296-68f0-44b8-befb-bbf36de248e1.jpg</t>
        </is>
      </c>
      <c r="B4858">
        <f>HYPERLINK("Объекты недвижимости, не соответствующие градостроительным нормам_00-022_Август/222dc296-68f0-44b8-befb-bbf36de248e1.jpg","open")</f>
        <v/>
      </c>
      <c r="C4858" t="inlineStr">
        <is>
          <t>f9ad0a8f-1e33-4fca-bdfe-5b844d3ee381</t>
        </is>
      </c>
      <c r="D4858" t="n">
        <v>55.64063</v>
      </c>
      <c r="E4858" t="n">
        <v>37.38068</v>
      </c>
      <c r="F4858" t="inlineStr"/>
      <c r="G4858" t="inlineStr"/>
      <c r="H4858" t="inlineStr"/>
    </row>
    <row r="4859">
      <c r="A4859" t="inlineStr">
        <is>
          <t>c739d54c-953b-4ec2-8227-4d3ebc56edde.jpg</t>
        </is>
      </c>
      <c r="B4859">
        <f>HYPERLINK("Объекты недвижимости, не соответствующие градостроительным нормам_00-022_Август/c739d54c-953b-4ec2-8227-4d3ebc56edde.jpg","open")</f>
        <v/>
      </c>
      <c r="C4859" t="inlineStr">
        <is>
          <t>9c930d0e-e445-452d-a046-325646b21ab7</t>
        </is>
      </c>
      <c r="D4859" t="n">
        <v>55.86863</v>
      </c>
      <c r="E4859" t="n">
        <v>37.53059</v>
      </c>
      <c r="F4859" t="inlineStr"/>
      <c r="G4859" t="inlineStr"/>
      <c r="H4859" t="inlineStr"/>
    </row>
    <row r="4860">
      <c r="A4860" t="inlineStr">
        <is>
          <t>d6522f66-9b30-44ef-9277-53d9e5935b54.jpg</t>
        </is>
      </c>
      <c r="B4860">
        <f>HYPERLINK("Объекты недвижимости, не соответствующие градостроительным нормам_00-022_Август/d6522f66-9b30-44ef-9277-53d9e5935b54.jpg","open")</f>
        <v/>
      </c>
      <c r="C4860" t="inlineStr">
        <is>
          <t>93848fc8-17e7-4748-9ebc-c7e379e11d2f</t>
        </is>
      </c>
      <c r="D4860" t="n">
        <v>55.75033</v>
      </c>
      <c r="E4860" t="n">
        <v>37.70855</v>
      </c>
      <c r="F4860" t="inlineStr"/>
      <c r="G4860" t="inlineStr"/>
      <c r="H4860" t="inlineStr"/>
    </row>
    <row r="4861">
      <c r="A4861" t="inlineStr">
        <is>
          <t>d06d2512-8083-4763-a655-53d99853b15a.jpg</t>
        </is>
      </c>
      <c r="B4861">
        <f>HYPERLINK("Объекты недвижимости, не соответствующие градостроительным нормам_00-022_Август/d06d2512-8083-4763-a655-53d99853b15a.jpg","open")</f>
        <v/>
      </c>
      <c r="C4861" t="inlineStr">
        <is>
          <t>ab4e767f-65c0-455b-af20-a5527124fd21</t>
        </is>
      </c>
      <c r="D4861" t="n">
        <v>55.65277</v>
      </c>
      <c r="E4861" t="n">
        <v>37.34541</v>
      </c>
      <c r="F4861" t="inlineStr"/>
      <c r="G4861" t="inlineStr"/>
      <c r="H4861" t="inlineStr"/>
    </row>
    <row r="4862">
      <c r="A4862" t="inlineStr">
        <is>
          <t>07d84a0a-884e-486e-bb0a-96a469a2d2df.jpg</t>
        </is>
      </c>
      <c r="B4862">
        <f>HYPERLINK("Объекты недвижимости, не соответствующие градостроительным нормам_00-022_Август/07d84a0a-884e-486e-bb0a-96a469a2d2df.jpg","open")</f>
        <v/>
      </c>
      <c r="C4862" t="inlineStr">
        <is>
          <t>1a55986c-2c3f-40c0-b3d1-014dce77832e</t>
        </is>
      </c>
      <c r="D4862" t="n">
        <v>55.6458</v>
      </c>
      <c r="E4862" t="n">
        <v>37.61933</v>
      </c>
      <c r="F4862" t="inlineStr"/>
      <c r="G4862" t="inlineStr"/>
      <c r="H4862" t="inlineStr"/>
    </row>
    <row r="4863">
      <c r="A4863" t="inlineStr">
        <is>
          <t>07c0719f-716a-468a-ba50-1630a1618869.jpg</t>
        </is>
      </c>
      <c r="B4863">
        <f>HYPERLINK("Объекты недвижимости, не соответствующие градостроительным нормам_00-022_Август/07c0719f-716a-468a-ba50-1630a1618869.jpg","open")</f>
        <v/>
      </c>
      <c r="C4863" t="inlineStr">
        <is>
          <t>ab4e767f-65c0-455b-af20-a5527124fd21</t>
        </is>
      </c>
      <c r="D4863" t="n">
        <v>55.66793</v>
      </c>
      <c r="E4863" t="n">
        <v>37.3299</v>
      </c>
      <c r="F4863" t="inlineStr"/>
      <c r="G4863" t="inlineStr"/>
      <c r="H4863" t="inlineStr"/>
    </row>
    <row r="4864">
      <c r="A4864" t="inlineStr">
        <is>
          <t>7b3c9959-970a-4082-b7ed-c539de53bae5.jpg</t>
        </is>
      </c>
      <c r="B4864">
        <f>HYPERLINK("Объекты недвижимости, не соответствующие градостроительным нормам_00-022_Август/7b3c9959-970a-4082-b7ed-c539de53bae5.jpg","open")</f>
        <v/>
      </c>
      <c r="C4864" t="inlineStr">
        <is>
          <t>f9ad0a8f-1e33-4fca-bdfe-5b844d3ee381</t>
        </is>
      </c>
      <c r="D4864" t="n">
        <v>55.66969</v>
      </c>
      <c r="E4864" t="n">
        <v>37.32891</v>
      </c>
      <c r="F4864" t="inlineStr"/>
      <c r="G4864" t="inlineStr"/>
      <c r="H4864" t="inlineStr"/>
    </row>
    <row r="4865">
      <c r="A4865" t="inlineStr">
        <is>
          <t>5b4ed781-49f1-4567-9909-2b01f644db6f.jpg</t>
        </is>
      </c>
      <c r="B4865">
        <f>HYPERLINK("Объекты недвижимости, не соответствующие градостроительным нормам_00-022_Август/5b4ed781-49f1-4567-9909-2b01f644db6f.jpg","open")</f>
        <v/>
      </c>
      <c r="C4865" t="inlineStr">
        <is>
          <t>ab4e767f-65c0-455b-af20-a5527124fd21</t>
        </is>
      </c>
      <c r="D4865" t="n">
        <v>55.66982</v>
      </c>
      <c r="E4865" t="n">
        <v>37.32884</v>
      </c>
      <c r="F4865" t="inlineStr"/>
      <c r="G4865" t="inlineStr"/>
      <c r="H4865" t="inlineStr"/>
    </row>
    <row r="4866">
      <c r="A4866" t="inlineStr">
        <is>
          <t>fe8f6dda-083b-4e25-b5d0-4ce2a22adb00.jpg</t>
        </is>
      </c>
      <c r="B4866">
        <f>HYPERLINK("Объекты недвижимости, не соответствующие градостроительным нормам_00-022_Август/fe8f6dda-083b-4e25-b5d0-4ce2a22adb00.jpg","open")</f>
        <v/>
      </c>
      <c r="C4866" t="inlineStr">
        <is>
          <t>cbf95b01-f708-45a3-9ec0-3603469b538e</t>
        </is>
      </c>
      <c r="D4866" t="n">
        <v>55.68819</v>
      </c>
      <c r="E4866" t="n">
        <v>37.43466</v>
      </c>
      <c r="F4866" t="inlineStr"/>
      <c r="G4866" t="inlineStr"/>
      <c r="H4866" t="inlineStr"/>
    </row>
    <row r="4867">
      <c r="A4867" t="inlineStr">
        <is>
          <t>e54f4ff8-6952-4f69-9f8f-989e2e3f8e88.jpg</t>
        </is>
      </c>
      <c r="B4867">
        <f>HYPERLINK("Объекты недвижимости, не соответствующие градостроительным нормам_00-022_Август/e54f4ff8-6952-4f69-9f8f-989e2e3f8e88.jpg","open")</f>
        <v/>
      </c>
      <c r="C4867" t="inlineStr">
        <is>
          <t>1c951e11-4940-43c6-a447-394097e5609a</t>
        </is>
      </c>
      <c r="D4867" t="n">
        <v>55.77273</v>
      </c>
      <c r="E4867" t="n">
        <v>37.67805</v>
      </c>
      <c r="F4867" t="inlineStr"/>
      <c r="G4867" t="inlineStr"/>
      <c r="H4867" t="inlineStr"/>
    </row>
    <row r="4868">
      <c r="A4868" t="inlineStr">
        <is>
          <t>eb71fd00-2c42-4f50-87b4-a3764fb7731d.jpg</t>
        </is>
      </c>
      <c r="B4868">
        <f>HYPERLINK("Объекты недвижимости, не соответствующие градостроительным нормам_00-022_Август/eb71fd00-2c42-4f50-87b4-a3764fb7731d.jpg","open")</f>
        <v/>
      </c>
      <c r="C4868" t="inlineStr">
        <is>
          <t>cbf95b01-f708-45a3-9ec0-3603469b538e</t>
        </is>
      </c>
      <c r="D4868" t="n">
        <v>55.719</v>
      </c>
      <c r="E4868" t="n">
        <v>37.49548</v>
      </c>
      <c r="F4868" t="inlineStr"/>
      <c r="G4868" t="inlineStr"/>
      <c r="H4868" t="inlineStr"/>
    </row>
    <row r="4869">
      <c r="A4869" t="inlineStr">
        <is>
          <t>b7a43b39-19f2-4012-8809-0850e2ea93b1.jpg</t>
        </is>
      </c>
      <c r="B4869">
        <f>HYPERLINK("Объекты недвижимости, не соответствующие градостроительным нормам_00-022_Август/b7a43b39-19f2-4012-8809-0850e2ea93b1.jpg","open")</f>
        <v/>
      </c>
      <c r="C4869" t="inlineStr">
        <is>
          <t>ed2bf0f1-3a66-4913-896e-4420a9796c0b</t>
        </is>
      </c>
      <c r="D4869" t="n">
        <v>55.59686</v>
      </c>
      <c r="E4869" t="n">
        <v>37.60268</v>
      </c>
      <c r="F4869" t="inlineStr"/>
      <c r="G4869" t="inlineStr"/>
      <c r="H4869" t="inlineStr"/>
    </row>
    <row r="4870">
      <c r="A4870" t="inlineStr">
        <is>
          <t>5dec806e-ab14-4e2a-a4fc-e7c502ba150e.jpg</t>
        </is>
      </c>
      <c r="B4870">
        <f>HYPERLINK("Объекты недвижимости, не соответствующие градостроительным нормам_00-022_Август/5dec806e-ab14-4e2a-a4fc-e7c502ba150e.jpg","open")</f>
        <v/>
      </c>
      <c r="C4870" t="inlineStr">
        <is>
          <t>1a55986c-2c3f-40c0-b3d1-014dce77832e</t>
        </is>
      </c>
      <c r="D4870" t="n">
        <v>55.59666</v>
      </c>
      <c r="E4870" t="n">
        <v>37.60258</v>
      </c>
      <c r="F4870" t="inlineStr"/>
      <c r="G4870" t="inlineStr"/>
      <c r="H4870" t="inlineStr"/>
    </row>
    <row r="4871">
      <c r="A4871" t="inlineStr">
        <is>
          <t>60cb6d79-9260-46a0-a3b6-b8d1598b5f41.jpg</t>
        </is>
      </c>
      <c r="B4871">
        <f>HYPERLINK("Объекты недвижимости, не соответствующие градостроительным нормам_00-022_Август/60cb6d79-9260-46a0-a3b6-b8d1598b5f41.jpg","open")</f>
        <v/>
      </c>
      <c r="C4871" t="inlineStr">
        <is>
          <t>a1a9db89-3f74-42ef-8fad-ad69705102cd</t>
        </is>
      </c>
      <c r="D4871" t="n">
        <v>55.72614</v>
      </c>
      <c r="E4871" t="n">
        <v>37.51162</v>
      </c>
      <c r="F4871" t="inlineStr"/>
      <c r="G4871" t="inlineStr"/>
      <c r="H4871" t="inlineStr"/>
    </row>
    <row r="4872">
      <c r="A4872" t="inlineStr">
        <is>
          <t>6606896d-d483-4b32-be55-043f273e0e89.jpg</t>
        </is>
      </c>
      <c r="B4872">
        <f>HYPERLINK("Объекты недвижимости, не соответствующие градостроительным нормам_00-022_Август/6606896d-d483-4b32-be55-043f273e0e89.jpg","open")</f>
        <v/>
      </c>
      <c r="C4872" t="inlineStr">
        <is>
          <t>8cde1fd0-eca1-4510-86ab-3c743b65fdfc</t>
        </is>
      </c>
      <c r="D4872" t="n">
        <v>55.77273</v>
      </c>
      <c r="E4872" t="n">
        <v>37.67805</v>
      </c>
      <c r="F4872" t="inlineStr"/>
      <c r="G4872" t="inlineStr"/>
      <c r="H4872" t="inlineStr"/>
    </row>
    <row r="4873">
      <c r="A4873" t="inlineStr">
        <is>
          <t>dc03d530-a799-4e2b-b359-d04ff8354868.jpg</t>
        </is>
      </c>
      <c r="B4873">
        <f>HYPERLINK("Объекты недвижимости, не соответствующие градостроительным нормам_00-022_Август/dc03d530-a799-4e2b-b359-d04ff8354868.jpg","open")</f>
        <v/>
      </c>
      <c r="C4873" t="inlineStr">
        <is>
          <t>cbf95b01-f708-45a3-9ec0-3603469b538e</t>
        </is>
      </c>
      <c r="D4873" t="n">
        <v>55.74364</v>
      </c>
      <c r="E4873" t="n">
        <v>37.54476</v>
      </c>
      <c r="F4873" t="inlineStr"/>
      <c r="G4873" t="inlineStr"/>
      <c r="H4873" t="inlineStr"/>
    </row>
    <row r="4874">
      <c r="A4874" t="inlineStr">
        <is>
          <t>89167d6c-703e-4e11-ab8f-91f127fb6683.jpg</t>
        </is>
      </c>
      <c r="B4874">
        <f>HYPERLINK("Объекты недвижимости, не соответствующие градостроительным нормам_00-022_Август/89167d6c-703e-4e11-ab8f-91f127fb6683.jpg","open")</f>
        <v/>
      </c>
      <c r="C4874" t="inlineStr">
        <is>
          <t>cbf95b01-f708-45a3-9ec0-3603469b538e</t>
        </is>
      </c>
      <c r="D4874" t="n">
        <v>55.74489</v>
      </c>
      <c r="E4874" t="n">
        <v>37.54832</v>
      </c>
      <c r="F4874" t="inlineStr"/>
      <c r="G4874" t="inlineStr"/>
      <c r="H4874" t="inlineStr"/>
    </row>
    <row r="4875">
      <c r="A4875" t="inlineStr">
        <is>
          <t>3600d8ae-e8d9-4a26-9fd5-c1ea9fad31b8.jpg</t>
        </is>
      </c>
      <c r="B4875">
        <f>HYPERLINK("Объекты недвижимости, не соответствующие градостроительным нормам_00-022_Август/3600d8ae-e8d9-4a26-9fd5-c1ea9fad31b8.jpg","open")</f>
        <v/>
      </c>
      <c r="C4875" t="inlineStr">
        <is>
          <t>cbf95b01-f708-45a3-9ec0-3603469b538e</t>
        </is>
      </c>
      <c r="D4875" t="n">
        <v>55.73822</v>
      </c>
      <c r="E4875" t="n">
        <v>37.58638</v>
      </c>
      <c r="F4875" t="inlineStr"/>
      <c r="G4875" t="inlineStr"/>
      <c r="H4875" t="inlineStr"/>
    </row>
    <row r="4876">
      <c r="A4876" t="inlineStr">
        <is>
          <t>271f895b-334b-498e-8617-b3fb743fec48.jpg</t>
        </is>
      </c>
      <c r="B4876">
        <f>HYPERLINK("Объекты недвижимости, не соответствующие градостроительным нормам_00-022_Август/271f895b-334b-498e-8617-b3fb743fec48.jpg","open")</f>
        <v/>
      </c>
      <c r="C4876" t="inlineStr">
        <is>
          <t>cbf95b01-f708-45a3-9ec0-3603469b538e</t>
        </is>
      </c>
      <c r="D4876" t="n">
        <v>55.73425</v>
      </c>
      <c r="E4876" t="n">
        <v>37.59723</v>
      </c>
      <c r="F4876" t="inlineStr"/>
      <c r="G4876" t="inlineStr"/>
      <c r="H4876" t="inlineStr"/>
    </row>
    <row r="4877">
      <c r="A4877" t="inlineStr">
        <is>
          <t>fa0080de-160a-4f72-ab45-d8d8e8777d90.jpg</t>
        </is>
      </c>
      <c r="B4877">
        <f>HYPERLINK("Объекты недвижимости, не соответствующие градостроительным нормам_00-022_Август/fa0080de-160a-4f72-ab45-d8d8e8777d90.jpg","open")</f>
        <v/>
      </c>
      <c r="C4877" t="inlineStr">
        <is>
          <t>ed2bf0f1-3a66-4913-896e-4420a9796c0b</t>
        </is>
      </c>
      <c r="D4877" t="n">
        <v>55.42953</v>
      </c>
      <c r="E4877" t="n">
        <v>37.61361</v>
      </c>
      <c r="F4877" t="inlineStr"/>
      <c r="G4877" t="inlineStr"/>
      <c r="H4877" t="inlineStr"/>
    </row>
    <row r="4878">
      <c r="A4878" t="inlineStr">
        <is>
          <t>16869ca5-539b-4915-ba55-11435cfe0cb7.jpg</t>
        </is>
      </c>
      <c r="B4878">
        <f>HYPERLINK("Объекты недвижимости, не соответствующие градостроительным нормам_00-022_Август/16869ca5-539b-4915-ba55-11435cfe0cb7.jpg","open")</f>
        <v/>
      </c>
      <c r="C4878" t="inlineStr">
        <is>
          <t>cbf95b01-f708-45a3-9ec0-3603469b538e</t>
        </is>
      </c>
      <c r="D4878" t="n">
        <v>55.73425</v>
      </c>
      <c r="E4878" t="n">
        <v>37.59723</v>
      </c>
      <c r="F4878" t="inlineStr"/>
      <c r="G4878" t="inlineStr"/>
      <c r="H4878" t="inlineStr"/>
    </row>
    <row r="4879">
      <c r="A4879" t="inlineStr">
        <is>
          <t>7bd17251-3cdb-4a20-b7fa-774aeeddbaa6.jpg</t>
        </is>
      </c>
      <c r="B4879">
        <f>HYPERLINK("Объекты недвижимости, не соответствующие градостроительным нормам_00-022_Август/7bd17251-3cdb-4a20-b7fa-774aeeddbaa6.jpg","open")</f>
        <v/>
      </c>
      <c r="C4879" t="inlineStr">
        <is>
          <t>a1a9db89-3f74-42ef-8fad-ad69705102cd</t>
        </is>
      </c>
      <c r="D4879" t="n">
        <v>55.85907</v>
      </c>
      <c r="E4879" t="n">
        <v>37.66603</v>
      </c>
      <c r="F4879" t="inlineStr"/>
      <c r="G4879" t="inlineStr"/>
      <c r="H4879" t="inlineStr"/>
    </row>
    <row r="4880">
      <c r="A4880" t="inlineStr">
        <is>
          <t>d74d5df2-4c19-439f-bfb0-6e68c9967109.jpg</t>
        </is>
      </c>
      <c r="B4880">
        <f>HYPERLINK("Объекты недвижимости, не соответствующие градостроительным нормам_00-022_Август/d74d5df2-4c19-439f-bfb0-6e68c9967109.jpg","open")</f>
        <v/>
      </c>
      <c r="C4880" t="inlineStr">
        <is>
          <t>cbf95b01-f708-45a3-9ec0-3603469b538e</t>
        </is>
      </c>
      <c r="D4880" t="n">
        <v>55.85907</v>
      </c>
      <c r="E4880" t="n">
        <v>37.66603</v>
      </c>
      <c r="F4880" t="inlineStr"/>
      <c r="G4880" t="inlineStr"/>
      <c r="H4880" t="inlineStr"/>
    </row>
    <row r="4881">
      <c r="A4881" t="inlineStr">
        <is>
          <t>99c8af89-bbfe-477c-accb-fd6d70e8b9db.jpg</t>
        </is>
      </c>
      <c r="B4881">
        <f>HYPERLINK("Объекты недвижимости, не соответствующие градостроительным нормам_00-022_Август/99c8af89-bbfe-477c-accb-fd6d70e8b9db.jpg","open")</f>
        <v/>
      </c>
      <c r="C4881" t="inlineStr">
        <is>
          <t>cbf95b01-f708-45a3-9ec0-3603469b538e</t>
        </is>
      </c>
      <c r="D4881" t="n">
        <v>55.85907</v>
      </c>
      <c r="E4881" t="n">
        <v>37.66603</v>
      </c>
      <c r="F4881" t="inlineStr"/>
      <c r="G4881" t="inlineStr"/>
      <c r="H4881" t="inlineStr"/>
    </row>
    <row r="4882">
      <c r="A4882" t="inlineStr">
        <is>
          <t>4f7a4410-5640-43bd-aecb-48f2c78739db.jpg</t>
        </is>
      </c>
      <c r="B4882">
        <f>HYPERLINK("Объекты недвижимости, не соответствующие градостроительным нормам_00-022_Август/4f7a4410-5640-43bd-aecb-48f2c78739db.jpg","open")</f>
        <v/>
      </c>
      <c r="C4882" t="inlineStr">
        <is>
          <t>cbf95b01-f708-45a3-9ec0-3603469b538e</t>
        </is>
      </c>
      <c r="D4882" t="n">
        <v>55.85907</v>
      </c>
      <c r="E4882" t="n">
        <v>37.66603</v>
      </c>
      <c r="F4882" t="inlineStr"/>
      <c r="G4882" t="inlineStr"/>
      <c r="H4882" t="inlineStr"/>
    </row>
    <row r="4883">
      <c r="A4883" t="inlineStr">
        <is>
          <t>abef5f15-3eae-4d7c-b601-2651332d8d67.jpg</t>
        </is>
      </c>
      <c r="B4883">
        <f>HYPERLINK("Объекты недвижимости, не соответствующие градостроительным нормам_00-022_Август/abef5f15-3eae-4d7c-b601-2651332d8d67.jpg","open")</f>
        <v/>
      </c>
      <c r="C4883" t="inlineStr">
        <is>
          <t>a1a9db89-3f74-42ef-8fad-ad69705102cd</t>
        </is>
      </c>
      <c r="D4883" t="n">
        <v>55.85907</v>
      </c>
      <c r="E4883" t="n">
        <v>37.66603</v>
      </c>
      <c r="F4883" t="inlineStr"/>
      <c r="G4883" t="inlineStr"/>
      <c r="H4883" t="inlineStr"/>
    </row>
    <row r="4884">
      <c r="A4884" t="inlineStr">
        <is>
          <t>c4c95105-bea2-4745-9fee-3772909ed80f.jpg</t>
        </is>
      </c>
      <c r="B4884">
        <f>HYPERLINK("Объекты недвижимости, не соответствующие градостроительным нормам_00-022_Август/c4c95105-bea2-4745-9fee-3772909ed80f.jpg","open")</f>
        <v/>
      </c>
      <c r="C4884" t="inlineStr">
        <is>
          <t>cbf95b01-f708-45a3-9ec0-3603469b538e</t>
        </is>
      </c>
      <c r="D4884" t="n">
        <v>55.85907</v>
      </c>
      <c r="E4884" t="n">
        <v>37.66603</v>
      </c>
      <c r="F4884" t="inlineStr"/>
      <c r="G4884" t="inlineStr"/>
      <c r="H4884" t="inlineStr"/>
    </row>
    <row r="4885">
      <c r="A4885" t="inlineStr">
        <is>
          <t>68e7df4b-e98a-41f5-a2db-c99948d5da1e.jpg</t>
        </is>
      </c>
      <c r="B4885">
        <f>HYPERLINK("Объекты недвижимости, не соответствующие градостроительным нормам_00-022_Август/68e7df4b-e98a-41f5-a2db-c99948d5da1e.jpg","open")</f>
        <v/>
      </c>
      <c r="C4885" t="inlineStr">
        <is>
          <t>a1a9db89-3f74-42ef-8fad-ad69705102cd</t>
        </is>
      </c>
      <c r="D4885" t="n">
        <v>55.85907</v>
      </c>
      <c r="E4885" t="n">
        <v>37.66603</v>
      </c>
      <c r="F4885" t="inlineStr"/>
      <c r="G4885" t="inlineStr"/>
      <c r="H4885" t="inlineStr"/>
    </row>
    <row r="4886">
      <c r="A4886" t="inlineStr">
        <is>
          <t>f6f7974a-d35d-475b-95f5-b4e7e5832aaf.jpg</t>
        </is>
      </c>
      <c r="B4886">
        <f>HYPERLINK("Объекты недвижимости, не соответствующие градостроительным нормам_00-022_Август/f6f7974a-d35d-475b-95f5-b4e7e5832aaf.jpg","open")</f>
        <v/>
      </c>
      <c r="C4886" t="inlineStr">
        <is>
          <t>cbf95b01-f708-45a3-9ec0-3603469b538e</t>
        </is>
      </c>
      <c r="D4886" t="n">
        <v>56.15134</v>
      </c>
      <c r="E4886" t="n">
        <v>37.937</v>
      </c>
      <c r="F4886" t="inlineStr"/>
      <c r="G4886" t="inlineStr"/>
      <c r="H4886" t="inlineStr"/>
    </row>
    <row r="4887">
      <c r="A4887" t="inlineStr">
        <is>
          <t>996d45ff-c8e2-4c13-b59e-57f2097139fe.jpg</t>
        </is>
      </c>
      <c r="B4887">
        <f>HYPERLINK("Объекты недвижимости, не соответствующие градостроительным нормам_00-022_Август/996d45ff-c8e2-4c13-b59e-57f2097139fe.jpg","open")</f>
        <v/>
      </c>
      <c r="C4887" t="inlineStr">
        <is>
          <t>8beacb4f-617e-4b34-8030-60c4dff5f8d1</t>
        </is>
      </c>
      <c r="D4887" t="n">
        <v>55.7822</v>
      </c>
      <c r="E4887" t="n">
        <v>37.66846</v>
      </c>
      <c r="F4887" t="inlineStr"/>
      <c r="G4887" t="inlineStr"/>
      <c r="H4887" t="inlineStr"/>
    </row>
    <row r="4888">
      <c r="A4888" t="inlineStr">
        <is>
          <t>5f616668-8b5f-4f5b-b15f-e19cb5a4d6b6.jpg</t>
        </is>
      </c>
      <c r="B4888">
        <f>HYPERLINK("Объекты недвижимости, не соответствующие градостроительным нормам_00-022_Август/5f616668-8b5f-4f5b-b15f-e19cb5a4d6b6.jpg","open")</f>
        <v/>
      </c>
      <c r="C4888" t="inlineStr">
        <is>
          <t>cbf95b01-f708-45a3-9ec0-3603469b538e</t>
        </is>
      </c>
      <c r="D4888" t="n">
        <v>56.15134</v>
      </c>
      <c r="E4888" t="n">
        <v>37.937</v>
      </c>
      <c r="F4888" t="inlineStr"/>
      <c r="G4888" t="inlineStr"/>
      <c r="H4888" t="inlineStr"/>
    </row>
    <row r="4889">
      <c r="A4889" t="inlineStr">
        <is>
          <t>422c0a8d-b014-496a-9f6a-30a31bc25fc6.jpg</t>
        </is>
      </c>
      <c r="B4889">
        <f>HYPERLINK("Объекты недвижимости, не соответствующие градостроительным нормам_00-022_Август/422c0a8d-b014-496a-9f6a-30a31bc25fc6.jpg","open")</f>
        <v/>
      </c>
      <c r="C4889" t="inlineStr">
        <is>
          <t>48b533d5-d106-4175-ac9b-d5ce8d90cccf</t>
        </is>
      </c>
      <c r="D4889" t="n">
        <v>55.81496</v>
      </c>
      <c r="E4889" t="n">
        <v>37.57607</v>
      </c>
      <c r="F4889" t="inlineStr"/>
      <c r="G4889" t="inlineStr"/>
      <c r="H4889" t="inlineStr"/>
    </row>
    <row r="4890">
      <c r="A4890" t="inlineStr">
        <is>
          <t>61a59afa-4d8d-436e-b164-0ea2f94176d4.jpg</t>
        </is>
      </c>
      <c r="B4890">
        <f>HYPERLINK("Объекты недвижимости, не соответствующие градостроительным нормам_00-022_Август/61a59afa-4d8d-436e-b164-0ea2f94176d4.jpg","open")</f>
        <v/>
      </c>
      <c r="C4890" t="inlineStr">
        <is>
          <t>93848fc8-17e7-4748-9ebc-c7e379e11d2f</t>
        </is>
      </c>
      <c r="D4890" t="n">
        <v>55.55595</v>
      </c>
      <c r="E4890" t="n">
        <v>37.58792</v>
      </c>
      <c r="F4890" t="inlineStr"/>
      <c r="G4890" t="inlineStr"/>
      <c r="H4890" t="inlineStr"/>
    </row>
    <row r="4891">
      <c r="A4891" t="inlineStr">
        <is>
          <t>32cccedb-6016-4b94-bce2-0a0b2666d904.jpg</t>
        </is>
      </c>
      <c r="B4891">
        <f>HYPERLINK("Объекты недвижимости, не соответствующие градостроительным нормам_00-022_Август/32cccedb-6016-4b94-bce2-0a0b2666d904.jpg","open")</f>
        <v/>
      </c>
      <c r="C4891" t="inlineStr">
        <is>
          <t>cbf95b01-f708-45a3-9ec0-3603469b538e</t>
        </is>
      </c>
      <c r="D4891" t="n">
        <v>56.21687</v>
      </c>
      <c r="E4891" t="n">
        <v>37.93557</v>
      </c>
      <c r="F4891" t="inlineStr"/>
      <c r="G4891" t="inlineStr"/>
      <c r="H4891" t="inlineStr"/>
    </row>
    <row r="4892">
      <c r="A4892" t="inlineStr">
        <is>
          <t>d8b396e0-6b11-40bb-972f-8d61d2278dee.jpg</t>
        </is>
      </c>
      <c r="B4892">
        <f>HYPERLINK("Объекты недвижимости, не соответствующие градостроительным нормам_00-022_Август/d8b396e0-6b11-40bb-972f-8d61d2278dee.jpg","open")</f>
        <v/>
      </c>
      <c r="C4892" t="inlineStr">
        <is>
          <t>caa4772d-6278-4484-a046-ee25514bf521</t>
        </is>
      </c>
      <c r="D4892" t="n">
        <v>55.71852</v>
      </c>
      <c r="E4892" t="n">
        <v>37.81146</v>
      </c>
      <c r="F4892" t="inlineStr"/>
      <c r="G4892" t="inlineStr"/>
      <c r="H4892" t="inlineStr"/>
    </row>
    <row r="4893">
      <c r="A4893" t="inlineStr">
        <is>
          <t>ef2748c5-c195-45b0-9e86-b665d6c9aeca.jpg</t>
        </is>
      </c>
      <c r="B4893">
        <f>HYPERLINK("Объекты недвижимости, не соответствующие градостроительным нормам_00-022_Август/ef2748c5-c195-45b0-9e86-b665d6c9aeca.jpg","open")</f>
        <v/>
      </c>
      <c r="C4893" t="inlineStr">
        <is>
          <t>cbf95b01-f708-45a3-9ec0-3603469b538e</t>
        </is>
      </c>
      <c r="D4893" t="n">
        <v>55.77807</v>
      </c>
      <c r="E4893" t="n">
        <v>37.59798</v>
      </c>
      <c r="F4893" t="inlineStr"/>
      <c r="G4893" t="inlineStr"/>
      <c r="H4893" t="inlineStr"/>
    </row>
    <row r="4894">
      <c r="A4894" t="inlineStr">
        <is>
          <t>e956d188-d33a-47a3-8b8d-78048ec086ae.jpg</t>
        </is>
      </c>
      <c r="B4894">
        <f>HYPERLINK("Объекты недвижимости, не соответствующие градостроительным нормам_00-022_Август/e956d188-d33a-47a3-8b8d-78048ec086ae.jpg","open")</f>
        <v/>
      </c>
      <c r="C4894" t="inlineStr">
        <is>
          <t>cbf95b01-f708-45a3-9ec0-3603469b538e</t>
        </is>
      </c>
      <c r="D4894" t="n">
        <v>55.77807</v>
      </c>
      <c r="E4894" t="n">
        <v>37.59798</v>
      </c>
      <c r="F4894" t="inlineStr"/>
      <c r="G4894" t="inlineStr"/>
      <c r="H4894" t="inlineStr"/>
    </row>
    <row r="4895">
      <c r="A4895" t="inlineStr">
        <is>
          <t>21704594-6336-438f-a434-39b03beeaaf3.jpg</t>
        </is>
      </c>
      <c r="B4895">
        <f>HYPERLINK("Объекты недвижимости, не соответствующие градостроительным нормам_00-022_Август/21704594-6336-438f-a434-39b03beeaaf3.jpg","open")</f>
        <v/>
      </c>
      <c r="C4895" t="inlineStr">
        <is>
          <t>cbf95b01-f708-45a3-9ec0-3603469b538e</t>
        </is>
      </c>
      <c r="D4895" t="n">
        <v>55.77807</v>
      </c>
      <c r="E4895" t="n">
        <v>37.59798</v>
      </c>
      <c r="F4895" t="inlineStr"/>
      <c r="G4895" t="inlineStr"/>
      <c r="H4895" t="inlineStr"/>
    </row>
    <row r="4896">
      <c r="A4896" t="inlineStr">
        <is>
          <t>ee96c449-ce6d-4632-9ce7-ca1666050bdc.jpg</t>
        </is>
      </c>
      <c r="B4896">
        <f>HYPERLINK("Объекты недвижимости, не соответствующие градостроительным нормам_00-022_Август/ee96c449-ce6d-4632-9ce7-ca1666050bdc.jpg","open")</f>
        <v/>
      </c>
      <c r="C4896" t="inlineStr">
        <is>
          <t>a1a9db89-3f74-42ef-8fad-ad69705102cd</t>
        </is>
      </c>
      <c r="D4896" t="n">
        <v>55.77807</v>
      </c>
      <c r="E4896" t="n">
        <v>37.59798</v>
      </c>
      <c r="F4896" t="inlineStr"/>
      <c r="G4896" t="inlineStr"/>
      <c r="H4896" t="inlineStr"/>
    </row>
    <row r="4897">
      <c r="A4897" t="inlineStr">
        <is>
          <t>29825e3d-737c-4651-a666-45b95b1ea094.jpg</t>
        </is>
      </c>
      <c r="B4897">
        <f>HYPERLINK("Объекты недвижимости, не соответствующие градостроительным нормам_00-022_Август/29825e3d-737c-4651-a666-45b95b1ea094.jpg","open")</f>
        <v/>
      </c>
      <c r="C4897" t="inlineStr">
        <is>
          <t>cbf95b01-f708-45a3-9ec0-3603469b538e</t>
        </is>
      </c>
      <c r="D4897" t="n">
        <v>55.77807</v>
      </c>
      <c r="E4897" t="n">
        <v>37.59798</v>
      </c>
      <c r="F4897" t="inlineStr"/>
      <c r="G4897" t="inlineStr"/>
      <c r="H4897" t="inlineStr"/>
    </row>
    <row r="4898">
      <c r="A4898" t="inlineStr">
        <is>
          <t>c61ce155-2376-436b-8ac9-9c179aac5b2e.jpg</t>
        </is>
      </c>
      <c r="B4898">
        <f>HYPERLINK("Объекты недвижимости, не соответствующие градостроительным нормам_00-022_Август/c61ce155-2376-436b-8ac9-9c179aac5b2e.jpg","open")</f>
        <v/>
      </c>
      <c r="C4898" t="inlineStr">
        <is>
          <t>cbf95b01-f708-45a3-9ec0-3603469b538e</t>
        </is>
      </c>
      <c r="D4898" t="n">
        <v>55.77807</v>
      </c>
      <c r="E4898" t="n">
        <v>37.59798</v>
      </c>
      <c r="F4898" t="inlineStr"/>
      <c r="G4898" t="inlineStr"/>
      <c r="H4898" t="inlineStr"/>
    </row>
    <row r="4899">
      <c r="A4899" t="inlineStr">
        <is>
          <t>ee4ff7f1-09b0-4ef8-a930-4145204dc065.jpg</t>
        </is>
      </c>
      <c r="B4899">
        <f>HYPERLINK("Объекты недвижимости, не соответствующие градостроительным нормам_00-022_Август/ee4ff7f1-09b0-4ef8-a930-4145204dc065.jpg","open")</f>
        <v/>
      </c>
      <c r="C4899" t="inlineStr">
        <is>
          <t>caa4772d-6278-4484-a046-ee25514bf521</t>
        </is>
      </c>
      <c r="D4899" t="n">
        <v>55.71993</v>
      </c>
      <c r="E4899" t="n">
        <v>37.94265</v>
      </c>
      <c r="F4899" t="inlineStr"/>
      <c r="G4899" t="inlineStr"/>
      <c r="H4899" t="inlineStr"/>
    </row>
    <row r="4900">
      <c r="A4900" t="inlineStr">
        <is>
          <t>079b8206-be5e-4786-a871-19f12747f6e2.jpg</t>
        </is>
      </c>
      <c r="B4900">
        <f>HYPERLINK("Объекты недвижимости, не соответствующие градостроительным нормам_00-022_Август/079b8206-be5e-4786-a871-19f12747f6e2.jpg","open")</f>
        <v/>
      </c>
      <c r="C4900" t="inlineStr">
        <is>
          <t>caa4772d-6278-4484-a046-ee25514bf521</t>
        </is>
      </c>
      <c r="D4900" t="n">
        <v>55.6984</v>
      </c>
      <c r="E4900" t="n">
        <v>37.91578</v>
      </c>
      <c r="F4900" t="inlineStr"/>
      <c r="G4900" t="inlineStr"/>
      <c r="H4900" t="inlineStr"/>
    </row>
    <row r="4901">
      <c r="A4901" t="inlineStr">
        <is>
          <t>56a06bca-91de-4912-9c27-86848a1b6300.jpg</t>
        </is>
      </c>
      <c r="B4901">
        <f>HYPERLINK("Объекты недвижимости, не соответствующие градостроительным нормам_00-022_Август/56a06bca-91de-4912-9c27-86848a1b6300.jpg","open")</f>
        <v/>
      </c>
      <c r="C4901" t="inlineStr">
        <is>
          <t>dd48f742-b338-42e2-bbaf-b3a9701b437c</t>
        </is>
      </c>
      <c r="D4901" t="n">
        <v>55.86351</v>
      </c>
      <c r="E4901" t="n">
        <v>37.50408</v>
      </c>
      <c r="F4901" t="inlineStr"/>
      <c r="G4901" t="inlineStr"/>
      <c r="H4901" t="inlineStr"/>
    </row>
    <row r="4902">
      <c r="A4902" t="inlineStr">
        <is>
          <t>a68720e2-97ba-4192-a3c0-db7d1e6c8f25.jpg</t>
        </is>
      </c>
      <c r="B4902">
        <f>HYPERLINK("Объекты недвижимости, не соответствующие градостроительным нормам_00-022_Август/a68720e2-97ba-4192-a3c0-db7d1e6c8f25.jpg","open")</f>
        <v/>
      </c>
      <c r="C4902" t="inlineStr">
        <is>
          <t>ab4e767f-65c0-455b-af20-a5527124fd21</t>
        </is>
      </c>
      <c r="D4902" t="n">
        <v>55.96882</v>
      </c>
      <c r="E4902" t="n">
        <v>37.4304</v>
      </c>
      <c r="F4902" t="inlineStr"/>
      <c r="G4902" t="inlineStr"/>
      <c r="H4902" t="inlineStr"/>
    </row>
    <row r="4903">
      <c r="A4903" t="inlineStr">
        <is>
          <t>ee00f4de-0735-44f6-843b-eb647f8732bf.jpg</t>
        </is>
      </c>
      <c r="B4903">
        <f>HYPERLINK("Объекты недвижимости, не соответствующие градостроительным нормам_00-022_Август/ee00f4de-0735-44f6-843b-eb647f8732bf.jpg","open")</f>
        <v/>
      </c>
      <c r="C4903" t="inlineStr">
        <is>
          <t>ab4e767f-65c0-455b-af20-a5527124fd21</t>
        </is>
      </c>
      <c r="D4903" t="n">
        <v>55.96844</v>
      </c>
      <c r="E4903" t="n">
        <v>37.43002</v>
      </c>
      <c r="F4903" t="inlineStr"/>
      <c r="G4903" t="inlineStr"/>
      <c r="H4903" t="inlineStr"/>
    </row>
    <row r="4904">
      <c r="A4904" t="inlineStr">
        <is>
          <t>840a0282-350a-45c4-a03b-9cfa90032f0b.jpg</t>
        </is>
      </c>
      <c r="B4904">
        <f>HYPERLINK("Объекты недвижимости, не соответствующие градостроительным нормам_00-022_Август/840a0282-350a-45c4-a03b-9cfa90032f0b.jpg","open")</f>
        <v/>
      </c>
      <c r="C4904" t="inlineStr">
        <is>
          <t>ed2bf0f1-3a66-4913-896e-4420a9796c0b</t>
        </is>
      </c>
      <c r="D4904" t="n">
        <v>55.24907</v>
      </c>
      <c r="E4904" t="n">
        <v>37.3278</v>
      </c>
      <c r="F4904" t="inlineStr"/>
      <c r="G4904" t="inlineStr"/>
      <c r="H4904" t="inlineStr"/>
    </row>
    <row r="4905">
      <c r="A4905" t="inlineStr">
        <is>
          <t>08f444c5-39d0-47ef-ba63-a28f1d0786b3.jpg</t>
        </is>
      </c>
      <c r="B4905">
        <f>HYPERLINK("Объекты недвижимости, не соответствующие градостроительным нормам_00-022_Август/08f444c5-39d0-47ef-ba63-a28f1d0786b3.jpg","open")</f>
        <v/>
      </c>
      <c r="C4905" t="inlineStr">
        <is>
          <t>ed2bf0f1-3a66-4913-896e-4420a9796c0b</t>
        </is>
      </c>
      <c r="D4905" t="n">
        <v>55.24781</v>
      </c>
      <c r="E4905" t="n">
        <v>37.32758</v>
      </c>
      <c r="F4905" t="inlineStr"/>
      <c r="G4905" t="inlineStr"/>
      <c r="H4905" t="inlineStr"/>
    </row>
    <row r="4906">
      <c r="A4906" t="inlineStr">
        <is>
          <t>b96fcd9a-d912-470c-8e71-3be622e646ff.jpg</t>
        </is>
      </c>
      <c r="B4906">
        <f>HYPERLINK("Объекты недвижимости, не соответствующие градостроительным нормам_00-022_Август/b96fcd9a-d912-470c-8e71-3be622e646ff.jpg","open")</f>
        <v/>
      </c>
      <c r="C4906" t="inlineStr">
        <is>
          <t>cbf95b01-f708-45a3-9ec0-3603469b538e</t>
        </is>
      </c>
      <c r="D4906" t="n">
        <v>55.77486</v>
      </c>
      <c r="E4906" t="n">
        <v>37.58605</v>
      </c>
      <c r="F4906" t="inlineStr"/>
      <c r="G4906" t="inlineStr"/>
      <c r="H4906" t="inlineStr"/>
    </row>
    <row r="4907">
      <c r="A4907" t="inlineStr">
        <is>
          <t>b127be70-e6c3-40eb-9d2e-75133fd29f29.jpg</t>
        </is>
      </c>
      <c r="B4907">
        <f>HYPERLINK("Объекты недвижимости, не соответствующие градостроительным нормам_00-022_Август/b127be70-e6c3-40eb-9d2e-75133fd29f29.jpg","open")</f>
        <v/>
      </c>
      <c r="C4907" t="inlineStr">
        <is>
          <t>8cde1fd0-eca1-4510-86ab-3c743b65fdfc</t>
        </is>
      </c>
      <c r="D4907" t="n">
        <v>55.92328</v>
      </c>
      <c r="E4907" t="n">
        <v>37.38222</v>
      </c>
      <c r="F4907" t="inlineStr"/>
      <c r="G4907" t="inlineStr"/>
      <c r="H4907" t="inlineStr"/>
    </row>
    <row r="4908">
      <c r="A4908" t="inlineStr">
        <is>
          <t>dee0e082-47eb-4dcd-b59f-5237078495ac.jpg</t>
        </is>
      </c>
      <c r="B4908">
        <f>HYPERLINK("Объекты недвижимости, не соответствующие градостроительным нормам_00-022_Август/dee0e082-47eb-4dcd-b59f-5237078495ac.jpg","open")</f>
        <v/>
      </c>
      <c r="C4908" t="inlineStr">
        <is>
          <t>cbf95b01-f708-45a3-9ec0-3603469b538e</t>
        </is>
      </c>
      <c r="D4908" t="n">
        <v>56.02142</v>
      </c>
      <c r="E4908" t="n">
        <v>37.33785</v>
      </c>
      <c r="F4908" t="inlineStr"/>
      <c r="G4908" t="inlineStr"/>
      <c r="H4908" t="inlineStr"/>
    </row>
    <row r="4909">
      <c r="A4909" t="inlineStr">
        <is>
          <t>6ca829e2-e074-40cb-9783-91726203990b.jpg</t>
        </is>
      </c>
      <c r="B4909">
        <f>HYPERLINK("Объекты недвижимости, не соответствующие градостроительным нормам_00-022_Август/6ca829e2-e074-40cb-9783-91726203990b.jpg","open")</f>
        <v/>
      </c>
      <c r="C4909" t="inlineStr">
        <is>
          <t>cbf95b01-f708-45a3-9ec0-3603469b538e</t>
        </is>
      </c>
      <c r="D4909" t="n">
        <v>55.73402</v>
      </c>
      <c r="E4909" t="n">
        <v>37.54236</v>
      </c>
      <c r="F4909" t="inlineStr"/>
      <c r="G4909" t="inlineStr"/>
      <c r="H4909" t="inlineStr"/>
    </row>
    <row r="4910">
      <c r="A4910" t="inlineStr">
        <is>
          <t>d09391d5-50c2-46ae-b76b-52cdd6effe4a.jpg</t>
        </is>
      </c>
      <c r="B4910">
        <f>HYPERLINK("Объекты недвижимости, не соответствующие градостроительным нормам_00-022_Август/d09391d5-50c2-46ae-b76b-52cdd6effe4a.jpg","open")</f>
        <v/>
      </c>
      <c r="C4910" t="inlineStr">
        <is>
          <t>a1a9db89-3f74-42ef-8fad-ad69705102cd</t>
        </is>
      </c>
      <c r="D4910" t="n">
        <v>55.73256</v>
      </c>
      <c r="E4910" t="n">
        <v>37.53857</v>
      </c>
      <c r="F4910" t="inlineStr"/>
      <c r="G4910" t="inlineStr"/>
      <c r="H4910" t="inlineStr"/>
    </row>
    <row r="4911">
      <c r="A4911" t="inlineStr">
        <is>
          <t>5af97074-b522-4547-8a9f-ba7532a105ba.jpg</t>
        </is>
      </c>
      <c r="B4911">
        <f>HYPERLINK("Объекты недвижимости, не соответствующие градостроительным нормам_00-022_Август/5af97074-b522-4547-8a9f-ba7532a105ba.jpg","open")</f>
        <v/>
      </c>
      <c r="C4911" t="inlineStr">
        <is>
          <t>cbf95b01-f708-45a3-9ec0-3603469b538e</t>
        </is>
      </c>
      <c r="D4911" t="n">
        <v>55.73259</v>
      </c>
      <c r="E4911" t="n">
        <v>37.53856</v>
      </c>
      <c r="F4911" t="inlineStr"/>
      <c r="G4911" t="inlineStr"/>
      <c r="H4911" t="inlineStr"/>
    </row>
    <row r="4912">
      <c r="A4912" t="inlineStr">
        <is>
          <t>77fa4a70-1974-4e85-b3d9-225fd5a660e2.jpg</t>
        </is>
      </c>
      <c r="B4912">
        <f>HYPERLINK("Объекты недвижимости, не соответствующие градостроительным нормам_00-022_Август/77fa4a70-1974-4e85-b3d9-225fd5a660e2.jpg","open")</f>
        <v/>
      </c>
      <c r="C4912" t="inlineStr">
        <is>
          <t>cbf95b01-f708-45a3-9ec0-3603469b538e</t>
        </is>
      </c>
      <c r="D4912" t="n">
        <v>55.72453</v>
      </c>
      <c r="E4912" t="n">
        <v>37.52896</v>
      </c>
      <c r="F4912" t="inlineStr"/>
      <c r="G4912" t="inlineStr"/>
      <c r="H4912" t="inlineStr"/>
    </row>
    <row r="4913">
      <c r="A4913" t="inlineStr">
        <is>
          <t>356914cc-6b00-4f84-a4a5-4787630e4431.jpg</t>
        </is>
      </c>
      <c r="B4913">
        <f>HYPERLINK("Объекты недвижимости, не соответствующие градостроительным нормам_00-022_Август/356914cc-6b00-4f84-a4a5-4787630e4431.jpg","open")</f>
        <v/>
      </c>
      <c r="C4913" t="inlineStr">
        <is>
          <t>a1a9db89-3f74-42ef-8fad-ad69705102cd</t>
        </is>
      </c>
      <c r="D4913" t="n">
        <v>55.72888</v>
      </c>
      <c r="E4913" t="n">
        <v>37.52357</v>
      </c>
      <c r="F4913" t="inlineStr"/>
      <c r="G4913" t="inlineStr"/>
      <c r="H4913" t="inlineStr"/>
    </row>
    <row r="4914">
      <c r="A4914" t="inlineStr">
        <is>
          <t>93b63f4a-e7f0-49ff-a872-a232adc08fc2.jpg</t>
        </is>
      </c>
      <c r="B4914">
        <f>HYPERLINK("Объекты недвижимости, не соответствующие градостроительным нормам_00-022_Август/93b63f4a-e7f0-49ff-a872-a232adc08fc2.jpg","open")</f>
        <v/>
      </c>
      <c r="C4914" t="inlineStr">
        <is>
          <t>a1a9db89-3f74-42ef-8fad-ad69705102cd</t>
        </is>
      </c>
      <c r="D4914" t="n">
        <v>55.7284</v>
      </c>
      <c r="E4914" t="n">
        <v>37.52185</v>
      </c>
      <c r="F4914" t="inlineStr"/>
      <c r="G4914" t="inlineStr"/>
      <c r="H4914" t="inlineStr"/>
    </row>
    <row r="4915">
      <c r="A4915" t="inlineStr">
        <is>
          <t>46f508bc-1d96-425a-a784-73150d268424.jpg</t>
        </is>
      </c>
      <c r="B4915">
        <f>HYPERLINK("Объекты недвижимости, не соответствующие градостроительным нормам_00-022_Август/46f508bc-1d96-425a-a784-73150d268424.jpg","open")</f>
        <v/>
      </c>
      <c r="C4915" t="inlineStr">
        <is>
          <t>a1a9db89-3f74-42ef-8fad-ad69705102cd</t>
        </is>
      </c>
      <c r="D4915" t="n">
        <v>55.72839</v>
      </c>
      <c r="E4915" t="n">
        <v>37.52186</v>
      </c>
      <c r="F4915" t="inlineStr"/>
      <c r="G4915" t="inlineStr"/>
      <c r="H4915" t="inlineStr"/>
    </row>
    <row r="4916">
      <c r="A4916" t="inlineStr">
        <is>
          <t>cb61f0d4-dbcd-46a5-a49b-c12540ac34e1.jpg</t>
        </is>
      </c>
      <c r="B4916">
        <f>HYPERLINK("Объекты недвижимости, не соответствующие градостроительным нормам_00-022_Август/cb61f0d4-dbcd-46a5-a49b-c12540ac34e1.jpg","open")</f>
        <v/>
      </c>
      <c r="C4916" t="inlineStr">
        <is>
          <t>48b533d5-d106-4175-ac9b-d5ce8d90cccf</t>
        </is>
      </c>
      <c r="D4916" t="n">
        <v>55.9926</v>
      </c>
      <c r="E4916" t="n">
        <v>37.15273</v>
      </c>
      <c r="F4916" t="inlineStr"/>
      <c r="G4916" t="inlineStr"/>
      <c r="H4916" t="inlineStr"/>
    </row>
    <row r="4917">
      <c r="A4917" t="inlineStr">
        <is>
          <t>c7463889-966e-4658-9db9-6034d291b3ba.jpg</t>
        </is>
      </c>
      <c r="B4917">
        <f>HYPERLINK("Объекты недвижимости, не соответствующие градостроительным нормам_00-022_Август/c7463889-966e-4658-9db9-6034d291b3ba.jpg","open")</f>
        <v/>
      </c>
      <c r="C4917" t="inlineStr">
        <is>
          <t>caa4772d-6278-4484-a046-ee25514bf521</t>
        </is>
      </c>
      <c r="D4917" t="n">
        <v>55.67627</v>
      </c>
      <c r="E4917" t="n">
        <v>37.91873</v>
      </c>
      <c r="F4917" t="inlineStr"/>
      <c r="G4917" t="inlineStr"/>
      <c r="H4917" t="inlineStr"/>
    </row>
    <row r="4918">
      <c r="A4918" t="inlineStr">
        <is>
          <t>2f65961a-ea2a-4c43-8ae6-ab9359389eb1.jpg</t>
        </is>
      </c>
      <c r="B4918">
        <f>HYPERLINK("Объекты недвижимости, не соответствующие градостроительным нормам_00-022_Август/2f65961a-ea2a-4c43-8ae6-ab9359389eb1.jpg","open")</f>
        <v/>
      </c>
      <c r="C4918" t="inlineStr">
        <is>
          <t>caa4772d-6278-4484-a046-ee25514bf521</t>
        </is>
      </c>
      <c r="D4918" t="n">
        <v>55.67579</v>
      </c>
      <c r="E4918" t="n">
        <v>37.93679</v>
      </c>
      <c r="F4918" t="inlineStr"/>
      <c r="G4918" t="inlineStr"/>
      <c r="H4918" t="inlineStr"/>
    </row>
    <row r="4919">
      <c r="A4919" t="inlineStr">
        <is>
          <t>f333b930-3bfa-4e7b-98bc-6d32f074c23b.jpg</t>
        </is>
      </c>
      <c r="B4919">
        <f>HYPERLINK("Объекты недвижимости, не соответствующие градостроительным нормам_00-022_Август/f333b930-3bfa-4e7b-98bc-6d32f074c23b.jpg","open")</f>
        <v/>
      </c>
      <c r="C4919" t="inlineStr">
        <is>
          <t>cbf95b01-f708-45a3-9ec0-3603469b538e</t>
        </is>
      </c>
      <c r="D4919" t="n">
        <v>55.7203</v>
      </c>
      <c r="E4919" t="n">
        <v>37.53487</v>
      </c>
      <c r="F4919" t="inlineStr"/>
      <c r="G4919" t="inlineStr"/>
      <c r="H4919" t="inlineStr"/>
    </row>
    <row r="4920">
      <c r="A4920" t="inlineStr">
        <is>
          <t>7fd5d675-71f4-4798-a3f3-9b0d051cee75.jpg</t>
        </is>
      </c>
      <c r="B4920">
        <f>HYPERLINK("Объекты недвижимости, не соответствующие градостроительным нормам_00-022_Август/7fd5d675-71f4-4798-a3f3-9b0d051cee75.jpg","open")</f>
        <v/>
      </c>
      <c r="C4920" t="inlineStr">
        <is>
          <t>cbf95b01-f708-45a3-9ec0-3603469b538e</t>
        </is>
      </c>
      <c r="D4920" t="n">
        <v>55.71836</v>
      </c>
      <c r="E4920" t="n">
        <v>37.53506</v>
      </c>
      <c r="F4920" t="inlineStr"/>
      <c r="G4920" t="inlineStr"/>
      <c r="H4920" t="inlineStr"/>
    </row>
    <row r="4921">
      <c r="A4921" t="inlineStr">
        <is>
          <t>eae861db-8209-4478-8054-b6c0831a5157.jpg</t>
        </is>
      </c>
      <c r="B4921">
        <f>HYPERLINK("Объекты недвижимости, не соответствующие градостроительным нормам_00-022_Август/eae861db-8209-4478-8054-b6c0831a5157.jpg","open")</f>
        <v/>
      </c>
      <c r="C4921" t="inlineStr">
        <is>
          <t>cbf95b01-f708-45a3-9ec0-3603469b538e</t>
        </is>
      </c>
      <c r="D4921" t="n">
        <v>55.70924</v>
      </c>
      <c r="E4921" t="n">
        <v>37.54097</v>
      </c>
      <c r="F4921" t="inlineStr"/>
      <c r="G4921" t="inlineStr"/>
      <c r="H4921" t="inlineStr"/>
    </row>
    <row r="4922">
      <c r="A4922" t="inlineStr">
        <is>
          <t>5362e368-9ef7-487e-b50c-a9e85c889c8b.jpg</t>
        </is>
      </c>
      <c r="B4922">
        <f>HYPERLINK("Объекты недвижимости, не соответствующие градостроительным нормам_00-022_Август/5362e368-9ef7-487e-b50c-a9e85c889c8b.jpg","open")</f>
        <v/>
      </c>
      <c r="C4922" t="inlineStr">
        <is>
          <t>a1a9db89-3f74-42ef-8fad-ad69705102cd</t>
        </is>
      </c>
      <c r="D4922" t="n">
        <v>55.70924</v>
      </c>
      <c r="E4922" t="n">
        <v>37.54097</v>
      </c>
      <c r="F4922" t="inlineStr"/>
      <c r="G4922" t="inlineStr"/>
      <c r="H4922" t="inlineStr"/>
    </row>
    <row r="4923">
      <c r="A4923" t="inlineStr">
        <is>
          <t>9d4636c2-2876-4d81-9d6b-28e110461454.jpg</t>
        </is>
      </c>
      <c r="B4923">
        <f>HYPERLINK("Объекты недвижимости, не соответствующие градостроительным нормам_00-022_Август/9d4636c2-2876-4d81-9d6b-28e110461454.jpg","open")</f>
        <v/>
      </c>
      <c r="C4923" t="inlineStr">
        <is>
          <t>cbf95b01-f708-45a3-9ec0-3603469b538e</t>
        </is>
      </c>
      <c r="D4923" t="n">
        <v>55.70924</v>
      </c>
      <c r="E4923" t="n">
        <v>37.54097</v>
      </c>
      <c r="F4923" t="inlineStr"/>
      <c r="G4923" t="inlineStr"/>
      <c r="H4923" t="inlineStr"/>
    </row>
    <row r="4924">
      <c r="A4924" t="inlineStr">
        <is>
          <t>e4c4bcb4-ecf8-4885-9cde-4c13d39a22ec.jpg</t>
        </is>
      </c>
      <c r="B4924">
        <f>HYPERLINK("Объекты недвижимости, не соответствующие градостроительным нормам_00-022_Август/e4c4bcb4-ecf8-4885-9cde-4c13d39a22ec.jpg","open")</f>
        <v/>
      </c>
      <c r="C4924" t="inlineStr">
        <is>
          <t>a1a9db89-3f74-42ef-8fad-ad69705102cd</t>
        </is>
      </c>
      <c r="D4924" t="n">
        <v>55.70924</v>
      </c>
      <c r="E4924" t="n">
        <v>37.54097</v>
      </c>
      <c r="F4924" t="inlineStr"/>
      <c r="G4924" t="inlineStr"/>
      <c r="H4924" t="inlineStr"/>
    </row>
    <row r="4925">
      <c r="A4925" t="inlineStr">
        <is>
          <t>a406fe94-949c-4a62-a064-929d52eaf82e.jpg</t>
        </is>
      </c>
      <c r="B4925">
        <f>HYPERLINK("Объекты недвижимости, не соответствующие градостроительным нормам_00-022_Август/a406fe94-949c-4a62-a064-929d52eaf82e.jpg","open")</f>
        <v/>
      </c>
      <c r="C4925" t="inlineStr">
        <is>
          <t>cbf95b01-f708-45a3-9ec0-3603469b538e</t>
        </is>
      </c>
      <c r="D4925" t="n">
        <v>55.70924</v>
      </c>
      <c r="E4925" t="n">
        <v>37.54097</v>
      </c>
      <c r="F4925" t="inlineStr"/>
      <c r="G4925" t="inlineStr"/>
      <c r="H4925" t="inlineStr"/>
    </row>
    <row r="4926">
      <c r="A4926" t="inlineStr">
        <is>
          <t>88bbbb32-e13a-41f1-96be-f08472980c51.jpg</t>
        </is>
      </c>
      <c r="B4926">
        <f>HYPERLINK("Объекты недвижимости, не соответствующие градостроительным нормам_00-022_Август/88bbbb32-e13a-41f1-96be-f08472980c51.jpg","open")</f>
        <v/>
      </c>
      <c r="C4926" t="inlineStr">
        <is>
          <t>cbf95b01-f708-45a3-9ec0-3603469b538e</t>
        </is>
      </c>
      <c r="D4926" t="n">
        <v>55.70924</v>
      </c>
      <c r="E4926" t="n">
        <v>37.54097</v>
      </c>
      <c r="F4926" t="inlineStr"/>
      <c r="G4926" t="inlineStr"/>
      <c r="H4926" t="inlineStr"/>
    </row>
    <row r="4927">
      <c r="A4927" t="inlineStr">
        <is>
          <t>b5667aa2-c3dd-4cfa-9f65-0d0d7618501e.jpg</t>
        </is>
      </c>
      <c r="B4927">
        <f>HYPERLINK("Объекты недвижимости, не соответствующие градостроительным нормам_00-022_Август/b5667aa2-c3dd-4cfa-9f65-0d0d7618501e.jpg","open")</f>
        <v/>
      </c>
      <c r="C4927" t="inlineStr">
        <is>
          <t>a1a9db89-3f74-42ef-8fad-ad69705102cd</t>
        </is>
      </c>
      <c r="D4927" t="n">
        <v>55.6951</v>
      </c>
      <c r="E4927" t="n">
        <v>37.55619</v>
      </c>
      <c r="F4927" t="inlineStr"/>
      <c r="G4927" t="inlineStr"/>
      <c r="H4927" t="inlineStr"/>
    </row>
    <row r="4928">
      <c r="A4928" t="inlineStr">
        <is>
          <t>bcd65057-acf2-46e9-b7e9-168bfe4c3a38.jpg</t>
        </is>
      </c>
      <c r="B4928">
        <f>HYPERLINK("Объекты недвижимости, не соответствующие градостроительным нормам_00-022_Август/bcd65057-acf2-46e9-b7e9-168bfe4c3a38.jpg","open")</f>
        <v/>
      </c>
      <c r="C4928" t="inlineStr">
        <is>
          <t>cbf95b01-f708-45a3-9ec0-3603469b538e</t>
        </is>
      </c>
      <c r="D4928" t="n">
        <v>55.69517</v>
      </c>
      <c r="E4928" t="n">
        <v>37.55626</v>
      </c>
      <c r="F4928" t="inlineStr"/>
      <c r="G4928" t="inlineStr"/>
      <c r="H4928" t="inlineStr"/>
    </row>
    <row r="4929">
      <c r="A4929" t="inlineStr">
        <is>
          <t>ed30d332-3452-4fe4-8a2b-6ca6a453e441.jpg</t>
        </is>
      </c>
      <c r="B4929">
        <f>HYPERLINK("Объекты недвижимости, не соответствующие градостроительным нормам_00-022_Август/ed30d332-3452-4fe4-8a2b-6ca6a453e441.jpg","open")</f>
        <v/>
      </c>
      <c r="C4929" t="inlineStr">
        <is>
          <t>cbf95b01-f708-45a3-9ec0-3603469b538e</t>
        </is>
      </c>
      <c r="D4929" t="n">
        <v>55.69653</v>
      </c>
      <c r="E4929" t="n">
        <v>37.55412</v>
      </c>
      <c r="F4929" t="inlineStr"/>
      <c r="G4929" t="inlineStr"/>
      <c r="H4929" t="inlineStr"/>
    </row>
    <row r="4930">
      <c r="A4930" t="inlineStr">
        <is>
          <t>5a1cdf7f-4882-4b8d-8b7a-5287a8c96611.jpg</t>
        </is>
      </c>
      <c r="B4930">
        <f>HYPERLINK("Объекты недвижимости, не соответствующие градостроительным нормам_00-022_Август/5a1cdf7f-4882-4b8d-8b7a-5287a8c96611.jpg","open")</f>
        <v/>
      </c>
      <c r="C4930" t="inlineStr">
        <is>
          <t>cbf95b01-f708-45a3-9ec0-3603469b538e</t>
        </is>
      </c>
      <c r="D4930" t="n">
        <v>55.69872</v>
      </c>
      <c r="E4930" t="n">
        <v>37.55049</v>
      </c>
      <c r="F4930" t="inlineStr"/>
      <c r="G4930" t="inlineStr"/>
      <c r="H4930" t="inlineStr"/>
    </row>
    <row r="4931">
      <c r="A4931" t="inlineStr">
        <is>
          <t>c370031e-45bb-4f46-a187-d67383ec7c50.jpg</t>
        </is>
      </c>
      <c r="B4931">
        <f>HYPERLINK("Объекты недвижимости, не соответствующие градостроительным нормам_00-022_Август/c370031e-45bb-4f46-a187-d67383ec7c50.jpg","open")</f>
        <v/>
      </c>
      <c r="C4931" t="inlineStr">
        <is>
          <t>8cde1fd0-eca1-4510-86ab-3c743b65fdfc</t>
        </is>
      </c>
      <c r="D4931" t="n">
        <v>55.88618</v>
      </c>
      <c r="E4931" t="n">
        <v>37.40462</v>
      </c>
      <c r="F4931" t="inlineStr"/>
      <c r="G4931" t="inlineStr"/>
      <c r="H4931" t="inlineStr"/>
    </row>
    <row r="4932">
      <c r="A4932" t="inlineStr">
        <is>
          <t>04e9bd22-853f-429c-b278-850d7b0e0f4e.jpg</t>
        </is>
      </c>
      <c r="B4932">
        <f>HYPERLINK("Объекты недвижимости, не соответствующие градостроительным нормам_00-022_Август/04e9bd22-853f-429c-b278-850d7b0e0f4e.jpg","open")</f>
        <v/>
      </c>
      <c r="C4932" t="inlineStr">
        <is>
          <t>cbf95b01-f708-45a3-9ec0-3603469b538e</t>
        </is>
      </c>
      <c r="D4932" t="n">
        <v>55.6917</v>
      </c>
      <c r="E4932" t="n">
        <v>37.56173</v>
      </c>
      <c r="F4932" t="inlineStr"/>
      <c r="G4932" t="inlineStr"/>
      <c r="H4932" t="inlineStr"/>
    </row>
    <row r="4933">
      <c r="A4933" t="inlineStr">
        <is>
          <t>4986d81f-60be-4e6b-8317-c2876a21bd8a.jpg</t>
        </is>
      </c>
      <c r="B4933">
        <f>HYPERLINK("Объекты недвижимости, не соответствующие градостроительным нормам_00-022_Август/4986d81f-60be-4e6b-8317-c2876a21bd8a.jpg","open")</f>
        <v/>
      </c>
      <c r="C4933" t="inlineStr">
        <is>
          <t>a1a9db89-3f74-42ef-8fad-ad69705102cd</t>
        </is>
      </c>
      <c r="D4933" t="n">
        <v>55.69213</v>
      </c>
      <c r="E4933" t="n">
        <v>37.56247</v>
      </c>
      <c r="F4933" t="inlineStr"/>
      <c r="G4933" t="inlineStr"/>
      <c r="H4933" t="inlineStr"/>
    </row>
    <row r="4934">
      <c r="A4934" t="inlineStr">
        <is>
          <t>f6d679d5-4a65-4538-99bd-892b19429bc5.jpg</t>
        </is>
      </c>
      <c r="B4934">
        <f>HYPERLINK("Объекты недвижимости, не соответствующие градостроительным нормам_00-022_Август/f6d679d5-4a65-4538-99bd-892b19429bc5.jpg","open")</f>
        <v/>
      </c>
      <c r="C4934" t="inlineStr">
        <is>
          <t>cbf95b01-f708-45a3-9ec0-3603469b538e</t>
        </is>
      </c>
      <c r="D4934" t="n">
        <v>55.6922</v>
      </c>
      <c r="E4934" t="n">
        <v>37.56258</v>
      </c>
      <c r="F4934" t="inlineStr"/>
      <c r="G4934" t="inlineStr"/>
      <c r="H4934" t="inlineStr"/>
    </row>
    <row r="4935">
      <c r="A4935" t="inlineStr">
        <is>
          <t>3ffa7513-bbcf-4b4b-a912-35f370c90d22.jpg</t>
        </is>
      </c>
      <c r="B4935">
        <f>HYPERLINK("Объекты недвижимости, не соответствующие градостроительным нормам_00-022_Август/3ffa7513-bbcf-4b4b-a912-35f370c90d22.jpg","open")</f>
        <v/>
      </c>
      <c r="C4935" t="inlineStr">
        <is>
          <t>cbf95b01-f708-45a3-9ec0-3603469b538e</t>
        </is>
      </c>
      <c r="D4935" t="n">
        <v>55.69333</v>
      </c>
      <c r="E4935" t="n">
        <v>37.56459</v>
      </c>
      <c r="F4935" t="inlineStr"/>
      <c r="G4935" t="inlineStr"/>
      <c r="H4935" t="inlineStr"/>
    </row>
    <row r="4936">
      <c r="A4936" t="inlineStr">
        <is>
          <t>2aa4bd63-293b-49ab-b4e1-7b71be41abb0.jpg</t>
        </is>
      </c>
      <c r="B4936">
        <f>HYPERLINK("Объекты недвижимости, не соответствующие градостроительным нормам_00-022_Август/2aa4bd63-293b-49ab-b4e1-7b71be41abb0.jpg","open")</f>
        <v/>
      </c>
      <c r="C4936" t="inlineStr">
        <is>
          <t>f6f80c84-5569-48fd-b627-6f41ce4c61c4</t>
        </is>
      </c>
      <c r="D4936" t="n">
        <v>55.69389</v>
      </c>
      <c r="E4936" t="n">
        <v>37.95923</v>
      </c>
      <c r="F4936" t="inlineStr"/>
      <c r="G4936" t="inlineStr"/>
      <c r="H4936" t="inlineStr"/>
    </row>
    <row r="4937">
      <c r="A4937" t="inlineStr">
        <is>
          <t>53d7be31-6647-4fd9-919b-2cc4c53ad49b.jpg</t>
        </is>
      </c>
      <c r="B4937">
        <f>HYPERLINK("Объекты недвижимости, не соответствующие градостроительным нормам_00-022_Август/53d7be31-6647-4fd9-919b-2cc4c53ad49b.jpg","open")</f>
        <v/>
      </c>
      <c r="C4937" t="inlineStr">
        <is>
          <t>caa4772d-6278-4484-a046-ee25514bf521</t>
        </is>
      </c>
      <c r="D4937" t="n">
        <v>55.69863</v>
      </c>
      <c r="E4937" t="n">
        <v>37.94146</v>
      </c>
      <c r="F4937" t="inlineStr"/>
      <c r="G4937" t="inlineStr"/>
      <c r="H4937" t="inlineStr"/>
    </row>
    <row r="4938">
      <c r="A4938" t="inlineStr">
        <is>
          <t>cc680dab-703c-4e87-83eb-bed805a12c89.jpg</t>
        </is>
      </c>
      <c r="B4938">
        <f>HYPERLINK("Объекты недвижимости, не соответствующие градостроительным нормам_00-022_Август/cc680dab-703c-4e87-83eb-bed805a12c89.jpg","open")</f>
        <v/>
      </c>
      <c r="C4938" t="inlineStr">
        <is>
          <t>1c951e11-4940-43c6-a447-394097e5609a</t>
        </is>
      </c>
      <c r="D4938" t="n">
        <v>55.85063</v>
      </c>
      <c r="E4938" t="n">
        <v>37.48082</v>
      </c>
      <c r="F4938" t="inlineStr"/>
      <c r="G4938" t="inlineStr"/>
      <c r="H4938" t="inlineStr"/>
    </row>
    <row r="4939">
      <c r="A4939" t="inlineStr">
        <is>
          <t>14b955e1-62be-4603-ac8b-0f6ff1ed1456.jpg</t>
        </is>
      </c>
      <c r="B4939">
        <f>HYPERLINK("Объекты недвижимости, не соответствующие градостроительным нормам_00-022_Август/14b955e1-62be-4603-ac8b-0f6ff1ed1456.jpg","open")</f>
        <v/>
      </c>
      <c r="C4939" t="inlineStr">
        <is>
          <t>8cde1fd0-eca1-4510-86ab-3c743b65fdfc</t>
        </is>
      </c>
      <c r="D4939" t="n">
        <v>55.85635</v>
      </c>
      <c r="E4939" t="n">
        <v>37.47552</v>
      </c>
      <c r="F4939" t="inlineStr"/>
      <c r="G4939" t="inlineStr"/>
      <c r="H4939" t="inlineStr"/>
    </row>
    <row r="4940">
      <c r="A4940" t="inlineStr">
        <is>
          <t>a72b9d32-eb00-404d-a8a0-704b55638bcc.jpg</t>
        </is>
      </c>
      <c r="B4940">
        <f>HYPERLINK("Объекты недвижимости, не соответствующие градостроительным нормам_00-022_Август/a72b9d32-eb00-404d-a8a0-704b55638bcc.jpg","open")</f>
        <v/>
      </c>
      <c r="C4940" t="inlineStr">
        <is>
          <t>cbf95b01-f708-45a3-9ec0-3603469b538e</t>
        </is>
      </c>
      <c r="D4940" t="n">
        <v>55.69525</v>
      </c>
      <c r="E4940" t="n">
        <v>37.56789</v>
      </c>
      <c r="F4940" t="inlineStr"/>
      <c r="G4940" t="inlineStr"/>
      <c r="H4940" t="inlineStr"/>
    </row>
    <row r="4941">
      <c r="A4941" t="inlineStr">
        <is>
          <t>4c66ba37-4e4b-4f7d-abb3-c6bc51f364a8.jpg</t>
        </is>
      </c>
      <c r="B4941">
        <f>HYPERLINK("Объекты недвижимости, не соответствующие градостроительным нормам_00-022_Август/4c66ba37-4e4b-4f7d-abb3-c6bc51f364a8.jpg","open")</f>
        <v/>
      </c>
      <c r="C4941" t="inlineStr">
        <is>
          <t>a1a9db89-3f74-42ef-8fad-ad69705102cd</t>
        </is>
      </c>
      <c r="D4941" t="n">
        <v>55.69709</v>
      </c>
      <c r="E4941" t="n">
        <v>37.57103</v>
      </c>
      <c r="F4941" t="inlineStr"/>
      <c r="G4941" t="inlineStr"/>
      <c r="H4941" t="inlineStr"/>
    </row>
    <row r="4942">
      <c r="A4942" t="inlineStr">
        <is>
          <t>dc76447d-7d80-4afd-b587-bcfd06e3e800.jpg</t>
        </is>
      </c>
      <c r="B4942">
        <f>HYPERLINK("Объекты недвижимости, не соответствующие градостроительным нормам_00-022_Август/dc76447d-7d80-4afd-b587-bcfd06e3e800.jpg","open")</f>
        <v/>
      </c>
      <c r="C4942" t="inlineStr">
        <is>
          <t>cbf95b01-f708-45a3-9ec0-3603469b538e</t>
        </is>
      </c>
      <c r="D4942" t="n">
        <v>55.69724</v>
      </c>
      <c r="E4942" t="n">
        <v>37.57127</v>
      </c>
      <c r="F4942" t="inlineStr"/>
      <c r="G4942" t="inlineStr"/>
      <c r="H4942" t="inlineStr"/>
    </row>
    <row r="4943">
      <c r="A4943" t="inlineStr">
        <is>
          <t>dd666835-9e41-4140-9c9d-1511ece74e0b.jpg</t>
        </is>
      </c>
      <c r="B4943">
        <f>HYPERLINK("Объекты недвижимости, не соответствующие градостроительным нормам_00-022_Август/dd666835-9e41-4140-9c9d-1511ece74e0b.jpg","open")</f>
        <v/>
      </c>
      <c r="C4943" t="inlineStr">
        <is>
          <t>cbf95b01-f708-45a3-9ec0-3603469b538e</t>
        </is>
      </c>
      <c r="D4943" t="n">
        <v>55.7049</v>
      </c>
      <c r="E4943" t="n">
        <v>37.58126</v>
      </c>
      <c r="F4943" t="inlineStr"/>
      <c r="G4943" t="inlineStr"/>
      <c r="H4943" t="inlineStr"/>
    </row>
    <row r="4944">
      <c r="A4944" t="inlineStr">
        <is>
          <t>fb349b7d-bec0-4b1d-970f-e434c32c98d4.jpg</t>
        </is>
      </c>
      <c r="B4944">
        <f>HYPERLINK("Объекты недвижимости, не соответствующие градостроительным нормам_00-022_Август/fb349b7d-bec0-4b1d-970f-e434c32c98d4.jpg","open")</f>
        <v/>
      </c>
      <c r="C4944" t="inlineStr">
        <is>
          <t>a1a9db89-3f74-42ef-8fad-ad69705102cd</t>
        </is>
      </c>
      <c r="D4944" t="n">
        <v>55.70486</v>
      </c>
      <c r="E4944" t="n">
        <v>37.58249</v>
      </c>
      <c r="F4944" t="inlineStr"/>
      <c r="G4944" t="inlineStr"/>
      <c r="H4944" t="inlineStr"/>
    </row>
    <row r="4945">
      <c r="A4945" t="inlineStr">
        <is>
          <t>05aa91e2-9a6b-4202-9261-d07a3286eae7.jpg</t>
        </is>
      </c>
      <c r="B4945">
        <f>HYPERLINK("Объекты недвижимости, не соответствующие градостроительным нормам_00-022_Август/05aa91e2-9a6b-4202-9261-d07a3286eae7.jpg","open")</f>
        <v/>
      </c>
      <c r="C4945" t="inlineStr">
        <is>
          <t>cbf95b01-f708-45a3-9ec0-3603469b538e</t>
        </is>
      </c>
      <c r="D4945" t="n">
        <v>55.71009</v>
      </c>
      <c r="E4945" t="n">
        <v>37.5941</v>
      </c>
      <c r="F4945" t="inlineStr"/>
      <c r="G4945" t="inlineStr"/>
      <c r="H4945" t="inlineStr"/>
    </row>
    <row r="4946">
      <c r="A4946" t="inlineStr">
        <is>
          <t>40056de0-2e77-4a33-92de-2653be4b5058.jpg</t>
        </is>
      </c>
      <c r="B4946">
        <f>HYPERLINK("Объекты недвижимости, не соответствующие градостроительным нормам_00-022_Август/40056de0-2e77-4a33-92de-2653be4b5058.jpg","open")</f>
        <v/>
      </c>
      <c r="C4946" t="inlineStr">
        <is>
          <t>ed2bf0f1-3a66-4913-896e-4420a9796c0b</t>
        </is>
      </c>
      <c r="D4946" t="n">
        <v>55.28621</v>
      </c>
      <c r="E4946" t="n">
        <v>37.35886</v>
      </c>
      <c r="F4946" t="inlineStr"/>
      <c r="G4946" t="inlineStr"/>
      <c r="H4946" t="inlineStr"/>
    </row>
    <row r="4947">
      <c r="A4947" t="inlineStr">
        <is>
          <t>e2c6438d-4c54-41c6-a5d6-37dbf45e652c.jpg</t>
        </is>
      </c>
      <c r="B4947">
        <f>HYPERLINK("Объекты недвижимости, не соответствующие градостроительным нормам_00-022_Август/e2c6438d-4c54-41c6-a5d6-37dbf45e652c.jpg","open")</f>
        <v/>
      </c>
      <c r="C4947" t="inlineStr">
        <is>
          <t>8cde1fd0-eca1-4510-86ab-3c743b65fdfc</t>
        </is>
      </c>
      <c r="D4947" t="n">
        <v>55.86317</v>
      </c>
      <c r="E4947" t="n">
        <v>37.47955</v>
      </c>
      <c r="F4947" t="inlineStr"/>
      <c r="G4947" t="inlineStr"/>
      <c r="H4947" t="inlineStr"/>
    </row>
    <row r="4948">
      <c r="A4948" t="inlineStr">
        <is>
          <t>8b98ce87-868c-4dd8-a529-987f67310b19.jpg</t>
        </is>
      </c>
      <c r="B4948">
        <f>HYPERLINK("Объекты недвижимости, не соответствующие градостроительным нормам_00-022_Август/8b98ce87-868c-4dd8-a529-987f67310b19.jpg","open")</f>
        <v/>
      </c>
      <c r="C4948" t="inlineStr">
        <is>
          <t>a1a9db89-3f74-42ef-8fad-ad69705102cd</t>
        </is>
      </c>
      <c r="D4948" t="n">
        <v>55.71424</v>
      </c>
      <c r="E4948" t="n">
        <v>37.59939</v>
      </c>
      <c r="F4948" t="inlineStr"/>
      <c r="G4948" t="inlineStr"/>
      <c r="H4948" t="inlineStr"/>
    </row>
    <row r="4949">
      <c r="A4949" t="inlineStr">
        <is>
          <t>35585d8b-7d30-41af-8389-20d1c6c4fff3.jpg</t>
        </is>
      </c>
      <c r="B4949">
        <f>HYPERLINK("Объекты недвижимости, не соответствующие градостроительным нормам_00-022_Август/35585d8b-7d30-41af-8389-20d1c6c4fff3.jpg","open")</f>
        <v/>
      </c>
      <c r="C4949" t="inlineStr">
        <is>
          <t>cbf95b01-f708-45a3-9ec0-3603469b538e</t>
        </is>
      </c>
      <c r="D4949" t="n">
        <v>55.71189</v>
      </c>
      <c r="E4949" t="n">
        <v>37.6066</v>
      </c>
      <c r="F4949" t="inlineStr"/>
      <c r="G4949" t="inlineStr"/>
      <c r="H4949" t="inlineStr"/>
    </row>
    <row r="4950">
      <c r="A4950" t="inlineStr">
        <is>
          <t>260b0b0f-e811-426d-800e-bc544d6a62c3.jpg</t>
        </is>
      </c>
      <c r="B4950">
        <f>HYPERLINK("Объекты недвижимости, не соответствующие градостроительным нормам_00-022_Август/260b0b0f-e811-426d-800e-bc544d6a62c3.jpg","open")</f>
        <v/>
      </c>
      <c r="C4950" t="inlineStr">
        <is>
          <t>caa4772d-6278-4484-a046-ee25514bf521</t>
        </is>
      </c>
      <c r="D4950" t="n">
        <v>55.70968</v>
      </c>
      <c r="E4950" t="n">
        <v>37.93884</v>
      </c>
      <c r="F4950" t="inlineStr"/>
      <c r="G4950" t="inlineStr"/>
      <c r="H4950" t="inlineStr"/>
    </row>
    <row r="4951">
      <c r="A4951" t="inlineStr">
        <is>
          <t>69d58ce5-8786-4872-8422-808856aa084f.jpg</t>
        </is>
      </c>
      <c r="B4951">
        <f>HYPERLINK("Объекты недвижимости, не соответствующие градостроительным нормам_00-022_Август/69d58ce5-8786-4872-8422-808856aa084f.jpg","open")</f>
        <v/>
      </c>
      <c r="C4951" t="inlineStr">
        <is>
          <t>caa4772d-6278-4484-a046-ee25514bf521</t>
        </is>
      </c>
      <c r="D4951" t="n">
        <v>55.70518</v>
      </c>
      <c r="E4951" t="n">
        <v>37.94036</v>
      </c>
      <c r="F4951" t="inlineStr"/>
      <c r="G4951" t="inlineStr"/>
      <c r="H4951" t="inlineStr"/>
    </row>
    <row r="4952">
      <c r="A4952" t="inlineStr">
        <is>
          <t>841fe7db-026a-4709-8acf-17005dffdbdf.jpg</t>
        </is>
      </c>
      <c r="B4952">
        <f>HYPERLINK("Объекты недвижимости, не соответствующие градостроительным нормам_00-022_Август/841fe7db-026a-4709-8acf-17005dffdbdf.jpg","open")</f>
        <v/>
      </c>
      <c r="C4952" t="inlineStr">
        <is>
          <t>8cde1fd0-eca1-4510-86ab-3c743b65fdfc</t>
        </is>
      </c>
      <c r="D4952" t="n">
        <v>55.86682</v>
      </c>
      <c r="E4952" t="n">
        <v>37.47573</v>
      </c>
      <c r="F4952" t="inlineStr"/>
      <c r="G4952" t="inlineStr"/>
      <c r="H4952" t="inlineStr"/>
    </row>
    <row r="4953">
      <c r="A4953" t="inlineStr">
        <is>
          <t>4847bdec-c1ab-4801-8d06-1e7aacd18b9a.jpg</t>
        </is>
      </c>
      <c r="B4953">
        <f>HYPERLINK("Объекты недвижимости, не соответствующие градостроительным нормам_00-022_Август/4847bdec-c1ab-4801-8d06-1e7aacd18b9a.jpg","open")</f>
        <v/>
      </c>
      <c r="C4953" t="inlineStr">
        <is>
          <t>1c951e11-4940-43c6-a447-394097e5609a</t>
        </is>
      </c>
      <c r="D4953" t="n">
        <v>55.86737</v>
      </c>
      <c r="E4953" t="n">
        <v>37.47514</v>
      </c>
      <c r="F4953" t="inlineStr"/>
      <c r="G4953" t="inlineStr"/>
      <c r="H4953" t="inlineStr"/>
    </row>
    <row r="4954">
      <c r="A4954" t="inlineStr">
        <is>
          <t>827b538a-7204-484d-918c-a4ca55325270.jpg</t>
        </is>
      </c>
      <c r="B4954">
        <f>HYPERLINK("Объекты недвижимости, не соответствующие градостроительным нормам_00-022_Август/827b538a-7204-484d-918c-a4ca55325270.jpg","open")</f>
        <v/>
      </c>
      <c r="C4954" t="inlineStr">
        <is>
          <t>dd48f742-b338-42e2-bbaf-b3a9701b437c</t>
        </is>
      </c>
      <c r="D4954" t="n">
        <v>55.85514</v>
      </c>
      <c r="E4954" t="n">
        <v>37.57396</v>
      </c>
      <c r="F4954" t="inlineStr"/>
      <c r="G4954" t="inlineStr"/>
      <c r="H4954" t="inlineStr"/>
    </row>
    <row r="4955">
      <c r="A4955" t="inlineStr">
        <is>
          <t>7abc5161-6861-4160-a632-359923086d14.jpg</t>
        </is>
      </c>
      <c r="B4955">
        <f>HYPERLINK("Объекты недвижимости, не соответствующие градостроительным нормам_00-022_Август/7abc5161-6861-4160-a632-359923086d14.jpg","open")</f>
        <v/>
      </c>
      <c r="C4955" t="inlineStr">
        <is>
          <t>8cde1fd0-eca1-4510-86ab-3c743b65fdfc</t>
        </is>
      </c>
      <c r="D4955" t="n">
        <v>55.86798</v>
      </c>
      <c r="E4955" t="n">
        <v>37.47453</v>
      </c>
      <c r="F4955" t="inlineStr"/>
      <c r="G4955" t="inlineStr"/>
      <c r="H4955" t="inlineStr"/>
    </row>
    <row r="4956">
      <c r="A4956" t="inlineStr">
        <is>
          <t>0ec1d79f-cd88-434b-8654-c6539ee64230.jpg</t>
        </is>
      </c>
      <c r="B4956">
        <f>HYPERLINK("Объекты недвижимости, не соответствующие градостроительным нормам_00-022_Август/0ec1d79f-cd88-434b-8654-c6539ee64230.jpg","open")</f>
        <v/>
      </c>
      <c r="C4956" t="inlineStr">
        <is>
          <t>a1a9db89-3f74-42ef-8fad-ad69705102cd</t>
        </is>
      </c>
      <c r="D4956" t="n">
        <v>55.71685</v>
      </c>
      <c r="E4956" t="n">
        <v>37.60961</v>
      </c>
      <c r="F4956" t="inlineStr"/>
      <c r="G4956" t="inlineStr"/>
      <c r="H4956" t="inlineStr"/>
    </row>
    <row r="4957">
      <c r="A4957" t="inlineStr">
        <is>
          <t>4322fbde-e3be-42e8-8853-c17f9363a602.jpg</t>
        </is>
      </c>
      <c r="B4957">
        <f>HYPERLINK("Объекты недвижимости, не соответствующие градостроительным нормам_00-022_Август/4322fbde-e3be-42e8-8853-c17f9363a602.jpg","open")</f>
        <v/>
      </c>
      <c r="C4957" t="inlineStr">
        <is>
          <t>cbf95b01-f708-45a3-9ec0-3603469b538e</t>
        </is>
      </c>
      <c r="D4957" t="n">
        <v>55.71685</v>
      </c>
      <c r="E4957" t="n">
        <v>37.60961</v>
      </c>
      <c r="F4957" t="inlineStr"/>
      <c r="G4957" t="inlineStr"/>
      <c r="H4957" t="inlineStr"/>
    </row>
    <row r="4958">
      <c r="A4958" t="inlineStr">
        <is>
          <t>a584c97f-3d39-4efb-b9a9-98cf6c62ba83.jpg</t>
        </is>
      </c>
      <c r="B4958">
        <f>HYPERLINK("Объекты недвижимости, не соответствующие градостроительным нормам_00-022_Август/a584c97f-3d39-4efb-b9a9-98cf6c62ba83.jpg","open")</f>
        <v/>
      </c>
      <c r="C4958" t="inlineStr">
        <is>
          <t>8cde1fd0-eca1-4510-86ab-3c743b65fdfc</t>
        </is>
      </c>
      <c r="D4958" t="n">
        <v>55.87458</v>
      </c>
      <c r="E4958" t="n">
        <v>37.46775</v>
      </c>
      <c r="F4958" t="inlineStr"/>
      <c r="G4958" t="inlineStr"/>
      <c r="H4958" t="inlineStr"/>
    </row>
    <row r="4959">
      <c r="A4959" t="inlineStr">
        <is>
          <t>7b25856e-d233-4062-8b64-39f81cd4d01a.jpg</t>
        </is>
      </c>
      <c r="B4959">
        <f>HYPERLINK("Объекты недвижимости, не соответствующие градостроительным нормам_00-022_Август/7b25856e-d233-4062-8b64-39f81cd4d01a.jpg","open")</f>
        <v/>
      </c>
      <c r="C4959" t="inlineStr">
        <is>
          <t>cbf95b01-f708-45a3-9ec0-3603469b538e</t>
        </is>
      </c>
      <c r="D4959" t="n">
        <v>55.71968</v>
      </c>
      <c r="E4959" t="n">
        <v>37.60047</v>
      </c>
      <c r="F4959" t="inlineStr"/>
      <c r="G4959" t="inlineStr"/>
      <c r="H4959" t="inlineStr"/>
    </row>
    <row r="4960">
      <c r="A4960" t="inlineStr">
        <is>
          <t>5b3ae7f8-9fff-44a5-8828-2d847b8e8de4.jpg</t>
        </is>
      </c>
      <c r="B4960">
        <f>HYPERLINK("Объекты недвижимости, не соответствующие градостроительным нормам_00-022_Август/5b3ae7f8-9fff-44a5-8828-2d847b8e8de4.jpg","open")</f>
        <v/>
      </c>
      <c r="C4960" t="inlineStr">
        <is>
          <t>8cde1fd0-eca1-4510-86ab-3c743b65fdfc</t>
        </is>
      </c>
      <c r="D4960" t="n">
        <v>55.87042</v>
      </c>
      <c r="E4960" t="n">
        <v>37.47198</v>
      </c>
      <c r="F4960" t="inlineStr"/>
      <c r="G4960" t="inlineStr"/>
      <c r="H4960" t="inlineStr"/>
    </row>
    <row r="4961">
      <c r="A4961" t="inlineStr">
        <is>
          <t>1d7a33f6-ae60-45ff-90a8-c0e516abb4a9.jpg</t>
        </is>
      </c>
      <c r="B4961">
        <f>HYPERLINK("Объекты недвижимости, не соответствующие градостроительным нормам_00-022_Август/1d7a33f6-ae60-45ff-90a8-c0e516abb4a9.jpg","open")</f>
        <v/>
      </c>
      <c r="C4961" t="inlineStr">
        <is>
          <t>cbf95b01-f708-45a3-9ec0-3603469b538e</t>
        </is>
      </c>
      <c r="D4961" t="n">
        <v>55.73183</v>
      </c>
      <c r="E4961" t="n">
        <v>37.58007</v>
      </c>
      <c r="F4961" t="inlineStr"/>
      <c r="G4961" t="inlineStr"/>
      <c r="H4961" t="inlineStr"/>
    </row>
    <row r="4962">
      <c r="A4962" t="inlineStr">
        <is>
          <t>c251a93d-3aae-423c-a34d-7ed909ab2dd8.jpg</t>
        </is>
      </c>
      <c r="B4962">
        <f>HYPERLINK("Объекты недвижимости, не соответствующие градостроительным нормам_00-022_Август/c251a93d-3aae-423c-a34d-7ed909ab2dd8.jpg","open")</f>
        <v/>
      </c>
      <c r="C4962" t="inlineStr">
        <is>
          <t>cbf95b01-f708-45a3-9ec0-3603469b538e</t>
        </is>
      </c>
      <c r="D4962" t="n">
        <v>55.73183</v>
      </c>
      <c r="E4962" t="n">
        <v>37.58007</v>
      </c>
      <c r="F4962" t="inlineStr"/>
      <c r="G4962" t="inlineStr"/>
      <c r="H4962" t="inlineStr"/>
    </row>
    <row r="4963">
      <c r="A4963" t="inlineStr">
        <is>
          <t>260eebff-e64b-4bf8-a3e2-63bc89bca91c.jpg</t>
        </is>
      </c>
      <c r="B4963">
        <f>HYPERLINK("Объекты недвижимости, не соответствующие градостроительным нормам_00-022_Август/260eebff-e64b-4bf8-a3e2-63bc89bca91c.jpg","open")</f>
        <v/>
      </c>
      <c r="C4963" t="inlineStr">
        <is>
          <t>cbf95b01-f708-45a3-9ec0-3603469b538e</t>
        </is>
      </c>
      <c r="D4963" t="n">
        <v>55.73183</v>
      </c>
      <c r="E4963" t="n">
        <v>37.58007</v>
      </c>
      <c r="F4963" t="inlineStr"/>
      <c r="G4963" t="inlineStr"/>
      <c r="H4963" t="inlineStr"/>
    </row>
    <row r="4964">
      <c r="A4964" t="inlineStr">
        <is>
          <t>23a0f8d9-4360-4d6f-9358-6b48d322c2c5.jpg</t>
        </is>
      </c>
      <c r="B4964">
        <f>HYPERLINK("Объекты недвижимости, не соответствующие градостроительным нормам_00-022_Август/23a0f8d9-4360-4d6f-9358-6b48d322c2c5.jpg","open")</f>
        <v/>
      </c>
      <c r="C4964" t="inlineStr">
        <is>
          <t>cbf95b01-f708-45a3-9ec0-3603469b538e</t>
        </is>
      </c>
      <c r="D4964" t="n">
        <v>55.74722</v>
      </c>
      <c r="E4964" t="n">
        <v>37.48663</v>
      </c>
      <c r="F4964" t="inlineStr"/>
      <c r="G4964" t="inlineStr"/>
      <c r="H4964" t="inlineStr"/>
    </row>
    <row r="4965">
      <c r="A4965" t="inlineStr">
        <is>
          <t>66ee5b4f-7ced-4a45-af96-2c222a2b8e65.jpg</t>
        </is>
      </c>
      <c r="B4965">
        <f>HYPERLINK("Объекты недвижимости, не соответствующие градостроительным нормам_00-022_Август/66ee5b4f-7ced-4a45-af96-2c222a2b8e65.jpg","open")</f>
        <v/>
      </c>
      <c r="C4965" t="inlineStr">
        <is>
          <t>cbf95b01-f708-45a3-9ec0-3603469b538e</t>
        </is>
      </c>
      <c r="D4965" t="n">
        <v>55.75458</v>
      </c>
      <c r="E4965" t="n">
        <v>37.46104</v>
      </c>
      <c r="F4965" t="inlineStr"/>
      <c r="G4965" t="inlineStr"/>
      <c r="H4965" t="inlineStr"/>
    </row>
    <row r="4966">
      <c r="A4966" t="inlineStr">
        <is>
          <t>f69b71e0-2131-4a36-af0e-644fa2c233bc.jpg</t>
        </is>
      </c>
      <c r="B4966">
        <f>HYPERLINK("Объекты недвижимости, не соответствующие градостроительным нормам_00-022_Август/f69b71e0-2131-4a36-af0e-644fa2c233bc.jpg","open")</f>
        <v/>
      </c>
      <c r="C4966" t="inlineStr">
        <is>
          <t>cbf95b01-f708-45a3-9ec0-3603469b538e</t>
        </is>
      </c>
      <c r="D4966" t="n">
        <v>55.7553</v>
      </c>
      <c r="E4966" t="n">
        <v>37.45333</v>
      </c>
      <c r="F4966" t="inlineStr"/>
      <c r="G4966" t="inlineStr"/>
      <c r="H4966" t="inlineStr"/>
    </row>
    <row r="4967">
      <c r="A4967" t="inlineStr">
        <is>
          <t>c3b07c00-b07f-4bad-8449-a4cdd924d7e9.jpg</t>
        </is>
      </c>
      <c r="B4967">
        <f>HYPERLINK("Объекты недвижимости, не соответствующие градостроительным нормам_00-022_Август/c3b07c00-b07f-4bad-8449-a4cdd924d7e9.jpg","open")</f>
        <v/>
      </c>
      <c r="C4967" t="inlineStr">
        <is>
          <t>a1a9db89-3f74-42ef-8fad-ad69705102cd</t>
        </is>
      </c>
      <c r="D4967" t="n">
        <v>55.7553</v>
      </c>
      <c r="E4967" t="n">
        <v>37.45333</v>
      </c>
      <c r="F4967" t="inlineStr"/>
      <c r="G4967" t="inlineStr"/>
      <c r="H4967" t="inlineStr"/>
    </row>
    <row r="4968">
      <c r="A4968" t="inlineStr">
        <is>
          <t>e851f516-f3d1-4881-a871-57f8114e5fc2.jpg</t>
        </is>
      </c>
      <c r="B4968">
        <f>HYPERLINK("Объекты недвижимости, не соответствующие градостроительным нормам_00-022_Август/e851f516-f3d1-4881-a871-57f8114e5fc2.jpg","open")</f>
        <v/>
      </c>
      <c r="C4968" t="inlineStr">
        <is>
          <t>93848fc8-17e7-4748-9ebc-c7e379e11d2f</t>
        </is>
      </c>
      <c r="D4968" t="n">
        <v>55.5292</v>
      </c>
      <c r="E4968" t="n">
        <v>37.58021</v>
      </c>
      <c r="F4968" t="inlineStr"/>
      <c r="G4968" t="inlineStr"/>
      <c r="H4968" t="inlineStr"/>
    </row>
    <row r="4969">
      <c r="A4969" t="inlineStr">
        <is>
          <t>35b6704e-8f33-460e-add8-50ec8ce0ac0b.jpg</t>
        </is>
      </c>
      <c r="B4969">
        <f>HYPERLINK("Объекты недвижимости, не соответствующие градостроительным нормам_00-022_Август/35b6704e-8f33-460e-add8-50ec8ce0ac0b.jpg","open")</f>
        <v/>
      </c>
      <c r="C4969" t="inlineStr">
        <is>
          <t>8cde1fd0-eca1-4510-86ab-3c743b65fdfc</t>
        </is>
      </c>
      <c r="D4969" t="n">
        <v>55.87313</v>
      </c>
      <c r="E4969" t="n">
        <v>37.4725</v>
      </c>
      <c r="F4969" t="inlineStr"/>
      <c r="G4969" t="inlineStr"/>
      <c r="H4969" t="inlineStr"/>
    </row>
    <row r="4970">
      <c r="A4970" t="inlineStr">
        <is>
          <t>d9950059-0f81-4284-87d3-1e5e8b41535b.jpg</t>
        </is>
      </c>
      <c r="B4970">
        <f>HYPERLINK("Объекты недвижимости, не соответствующие градостроительным нормам_00-022_Август/d9950059-0f81-4284-87d3-1e5e8b41535b.jpg","open")</f>
        <v/>
      </c>
      <c r="C4970" t="inlineStr">
        <is>
          <t>8cde1fd0-eca1-4510-86ab-3c743b65fdfc</t>
        </is>
      </c>
      <c r="D4970" t="n">
        <v>55.8733</v>
      </c>
      <c r="E4970" t="n">
        <v>37.47232</v>
      </c>
      <c r="F4970" t="inlineStr"/>
      <c r="G4970" t="inlineStr"/>
      <c r="H4970" t="inlineStr"/>
    </row>
    <row r="4971">
      <c r="A4971" t="inlineStr">
        <is>
          <t>b6f701f2-8687-448f-8985-e6afddebd9cc.jpg</t>
        </is>
      </c>
      <c r="B4971">
        <f>HYPERLINK("Объекты недвижимости, не соответствующие градостроительным нормам_00-022_Август/b6f701f2-8687-448f-8985-e6afddebd9cc.jpg","open")</f>
        <v/>
      </c>
      <c r="C4971" t="inlineStr">
        <is>
          <t>93848fc8-17e7-4748-9ebc-c7e379e11d2f</t>
        </is>
      </c>
      <c r="D4971" t="n">
        <v>55.52914</v>
      </c>
      <c r="E4971" t="n">
        <v>37.58015</v>
      </c>
      <c r="F4971" t="inlineStr"/>
      <c r="G4971" t="inlineStr"/>
      <c r="H4971" t="inlineStr"/>
    </row>
    <row r="4972">
      <c r="A4972" t="inlineStr">
        <is>
          <t>45db6ef1-09c4-4acd-987b-822142221ae0.jpg</t>
        </is>
      </c>
      <c r="B4972">
        <f>HYPERLINK("Объекты недвижимости, не соответствующие градостроительным нормам_00-022_Август/45db6ef1-09c4-4acd-987b-822142221ae0.jpg","open")</f>
        <v/>
      </c>
      <c r="C4972" t="inlineStr">
        <is>
          <t>8cde1fd0-eca1-4510-86ab-3c743b65fdfc</t>
        </is>
      </c>
      <c r="D4972" t="n">
        <v>55.87335</v>
      </c>
      <c r="E4972" t="n">
        <v>37.47227</v>
      </c>
      <c r="F4972" t="inlineStr"/>
      <c r="G4972" t="inlineStr"/>
      <c r="H4972" t="inlineStr"/>
    </row>
    <row r="4973">
      <c r="A4973" t="inlineStr">
        <is>
          <t>afe772d4-0bf2-431d-a5ba-48da282f7617.jpg</t>
        </is>
      </c>
      <c r="B4973">
        <f>HYPERLINK("Объекты недвижимости, не соответствующие градостроительным нормам_00-022_Август/afe772d4-0bf2-431d-a5ba-48da282f7617.jpg","open")</f>
        <v/>
      </c>
      <c r="C4973" t="inlineStr">
        <is>
          <t>8cde1fd0-eca1-4510-86ab-3c743b65fdfc</t>
        </is>
      </c>
      <c r="D4973" t="n">
        <v>55.87342</v>
      </c>
      <c r="E4973" t="n">
        <v>37.4722</v>
      </c>
      <c r="F4973" t="inlineStr"/>
      <c r="G4973" t="inlineStr"/>
      <c r="H4973" t="inlineStr"/>
    </row>
    <row r="4974">
      <c r="A4974" t="inlineStr">
        <is>
          <t>9ad93fe6-e650-4fbb-be75-ab0b24aeb1ab.jpg</t>
        </is>
      </c>
      <c r="B4974">
        <f>HYPERLINK("Объекты недвижимости, не соответствующие градостроительным нормам_00-022_Август/9ad93fe6-e650-4fbb-be75-ab0b24aeb1ab.jpg","open")</f>
        <v/>
      </c>
      <c r="C4974" t="inlineStr">
        <is>
          <t>8cde1fd0-eca1-4510-86ab-3c743b65fdfc</t>
        </is>
      </c>
      <c r="D4974" t="n">
        <v>55.87345</v>
      </c>
      <c r="E4974" t="n">
        <v>37.47218</v>
      </c>
      <c r="F4974" t="inlineStr"/>
      <c r="G4974" t="inlineStr"/>
      <c r="H4974" t="inlineStr"/>
    </row>
    <row r="4975">
      <c r="A4975" t="inlineStr">
        <is>
          <t>243f57c9-92ec-48a5-9ae9-fd60c2ec528c.jpg</t>
        </is>
      </c>
      <c r="B4975">
        <f>HYPERLINK("Объекты недвижимости, не соответствующие градостроительным нормам_00-022_Август/243f57c9-92ec-48a5-9ae9-fd60c2ec528c.jpg","open")</f>
        <v/>
      </c>
      <c r="C4975" t="inlineStr">
        <is>
          <t>cbf95b01-f708-45a3-9ec0-3603469b538e</t>
        </is>
      </c>
      <c r="D4975" t="n">
        <v>55.7553</v>
      </c>
      <c r="E4975" t="n">
        <v>37.45333</v>
      </c>
      <c r="F4975" t="inlineStr"/>
      <c r="G4975" t="inlineStr"/>
      <c r="H4975" t="inlineStr"/>
    </row>
    <row r="4976">
      <c r="A4976" t="inlineStr">
        <is>
          <t>1424a00c-f57a-4517-a621-6c5dd3effa2d.jpg</t>
        </is>
      </c>
      <c r="B4976">
        <f>HYPERLINK("Объекты недвижимости, не соответствующие градостроительным нормам_00-022_Август/1424a00c-f57a-4517-a621-6c5dd3effa2d.jpg","open")</f>
        <v/>
      </c>
      <c r="C4976" t="inlineStr">
        <is>
          <t>1c951e11-4940-43c6-a447-394097e5609a</t>
        </is>
      </c>
      <c r="D4976" t="n">
        <v>55.87379</v>
      </c>
      <c r="E4976" t="n">
        <v>37.47182</v>
      </c>
      <c r="F4976" t="inlineStr"/>
      <c r="G4976" t="inlineStr"/>
      <c r="H4976" t="inlineStr"/>
    </row>
    <row r="4977">
      <c r="A4977" t="inlineStr">
        <is>
          <t>a85aab89-e1bc-4610-b50b-3cbd89fd41e4.jpg</t>
        </is>
      </c>
      <c r="B4977">
        <f>HYPERLINK("Объекты недвижимости, не соответствующие градостроительным нормам_00-022_Август/a85aab89-e1bc-4610-b50b-3cbd89fd41e4.jpg","open")</f>
        <v/>
      </c>
      <c r="C4977" t="inlineStr">
        <is>
          <t>8cde1fd0-eca1-4510-86ab-3c743b65fdfc</t>
        </is>
      </c>
      <c r="D4977" t="n">
        <v>55.87397</v>
      </c>
      <c r="E4977" t="n">
        <v>37.47163</v>
      </c>
      <c r="F4977" t="inlineStr"/>
      <c r="G4977" t="inlineStr"/>
      <c r="H4977" t="inlineStr"/>
    </row>
    <row r="4978">
      <c r="A4978" t="inlineStr">
        <is>
          <t>79909f9a-c671-40ee-b09f-99b7a79e798b.jpg</t>
        </is>
      </c>
      <c r="B4978">
        <f>HYPERLINK("Объекты недвижимости, не соответствующие градостроительным нормам_00-022_Август/79909f9a-c671-40ee-b09f-99b7a79e798b.jpg","open")</f>
        <v/>
      </c>
      <c r="C4978" t="inlineStr">
        <is>
          <t>93848fc8-17e7-4748-9ebc-c7e379e11d2f</t>
        </is>
      </c>
      <c r="D4978" t="n">
        <v>55.52909</v>
      </c>
      <c r="E4978" t="n">
        <v>37.58009</v>
      </c>
      <c r="F4978" t="inlineStr"/>
      <c r="G4978" t="inlineStr"/>
      <c r="H4978" t="inlineStr"/>
    </row>
    <row r="4979">
      <c r="A4979" t="inlineStr">
        <is>
          <t>957f9c9f-6ea6-400f-bb84-d06394048f99.jpg</t>
        </is>
      </c>
      <c r="B4979">
        <f>HYPERLINK("Объекты недвижимости, не соответствующие градостроительным нормам_00-022_Август/957f9c9f-6ea6-400f-bb84-d06394048f99.jpg","open")</f>
        <v/>
      </c>
      <c r="C4979" t="inlineStr">
        <is>
          <t>a1a9db89-3f74-42ef-8fad-ad69705102cd</t>
        </is>
      </c>
      <c r="D4979" t="n">
        <v>55.7553</v>
      </c>
      <c r="E4979" t="n">
        <v>37.45333</v>
      </c>
      <c r="F4979" t="inlineStr"/>
      <c r="G4979" t="inlineStr"/>
      <c r="H4979" t="inlineStr"/>
    </row>
    <row r="4980">
      <c r="A4980" t="inlineStr">
        <is>
          <t>e594f1b5-4d18-41ec-a055-c53c3cfbd41f.jpg</t>
        </is>
      </c>
      <c r="B4980">
        <f>HYPERLINK("Объекты недвижимости, не соответствующие градостроительным нормам_00-022_Август/e594f1b5-4d18-41ec-a055-c53c3cfbd41f.jpg","open")</f>
        <v/>
      </c>
      <c r="C4980" t="inlineStr">
        <is>
          <t>cbf95b01-f708-45a3-9ec0-3603469b538e</t>
        </is>
      </c>
      <c r="D4980" t="n">
        <v>55.7553</v>
      </c>
      <c r="E4980" t="n">
        <v>37.45333</v>
      </c>
      <c r="F4980" t="inlineStr"/>
      <c r="G4980" t="inlineStr"/>
      <c r="H4980" t="inlineStr"/>
    </row>
    <row r="4981">
      <c r="A4981" t="inlineStr">
        <is>
          <t>c4fa36ff-f3c0-4f77-8c30-e60180042085.jpg</t>
        </is>
      </c>
      <c r="B4981">
        <f>HYPERLINK("Объекты недвижимости, не соответствующие градостроительным нормам_00-022_Август/c4fa36ff-f3c0-4f77-8c30-e60180042085.jpg","open")</f>
        <v/>
      </c>
      <c r="C4981" t="inlineStr">
        <is>
          <t>a1a9db89-3f74-42ef-8fad-ad69705102cd</t>
        </is>
      </c>
      <c r="D4981" t="n">
        <v>55.7553</v>
      </c>
      <c r="E4981" t="n">
        <v>37.45333</v>
      </c>
      <c r="F4981" t="inlineStr"/>
      <c r="G4981" t="inlineStr"/>
      <c r="H4981" t="inlineStr"/>
    </row>
    <row r="4982">
      <c r="A4982" t="inlineStr">
        <is>
          <t>1a877988-6a5f-45ad-a601-7861c39e5d8c.jpg</t>
        </is>
      </c>
      <c r="B4982">
        <f>HYPERLINK("Объекты недвижимости, не соответствующие градостроительным нормам_00-022_Август/1a877988-6a5f-45ad-a601-7861c39e5d8c.jpg","open")</f>
        <v/>
      </c>
      <c r="C4982" t="inlineStr">
        <is>
          <t>cbf95b01-f708-45a3-9ec0-3603469b538e</t>
        </is>
      </c>
      <c r="D4982" t="n">
        <v>55.7553</v>
      </c>
      <c r="E4982" t="n">
        <v>37.45333</v>
      </c>
      <c r="F4982" t="inlineStr"/>
      <c r="G4982" t="inlineStr"/>
      <c r="H4982" t="inlineStr"/>
    </row>
    <row r="4983">
      <c r="A4983" t="inlineStr">
        <is>
          <t>6406e3ae-328c-41a2-b17f-25b812aff574.jpg</t>
        </is>
      </c>
      <c r="B4983">
        <f>HYPERLINK("Объекты недвижимости, не соответствующие градостроительным нормам_00-022_Август/6406e3ae-328c-41a2-b17f-25b812aff574.jpg","open")</f>
        <v/>
      </c>
      <c r="C4983" t="inlineStr">
        <is>
          <t>a1a9db89-3f74-42ef-8fad-ad69705102cd</t>
        </is>
      </c>
      <c r="D4983" t="n">
        <v>55.7553</v>
      </c>
      <c r="E4983" t="n">
        <v>37.45333</v>
      </c>
      <c r="F4983" t="inlineStr"/>
      <c r="G4983" t="inlineStr"/>
      <c r="H4983" t="inlineStr"/>
    </row>
    <row r="4984">
      <c r="A4984" t="inlineStr">
        <is>
          <t>b49ffa03-c7c0-496f-8f1d-771cefc12517.jpg</t>
        </is>
      </c>
      <c r="B4984">
        <f>HYPERLINK("Объекты недвижимости, не соответствующие градостроительным нормам_00-022_Август/b49ffa03-c7c0-496f-8f1d-771cefc12517.jpg","open")</f>
        <v/>
      </c>
      <c r="C4984" t="inlineStr">
        <is>
          <t>cbf95b01-f708-45a3-9ec0-3603469b538e</t>
        </is>
      </c>
      <c r="D4984" t="n">
        <v>55.7553</v>
      </c>
      <c r="E4984" t="n">
        <v>37.45333</v>
      </c>
      <c r="F4984" t="inlineStr"/>
      <c r="G4984" t="inlineStr"/>
      <c r="H4984" t="inlineStr"/>
    </row>
    <row r="4985">
      <c r="A4985" t="inlineStr">
        <is>
          <t>72ef1b23-02fe-423e-b55f-3aaa9a505848.jpg</t>
        </is>
      </c>
      <c r="B4985">
        <f>HYPERLINK("Объекты недвижимости, не соответствующие градостроительным нормам_00-022_Август/72ef1b23-02fe-423e-b55f-3aaa9a505848.jpg","open")</f>
        <v/>
      </c>
      <c r="C4985" t="inlineStr">
        <is>
          <t>8cde1fd0-eca1-4510-86ab-3c743b65fdfc</t>
        </is>
      </c>
      <c r="D4985" t="n">
        <v>55.87552</v>
      </c>
      <c r="E4985" t="n">
        <v>37.47002</v>
      </c>
      <c r="F4985" t="inlineStr"/>
      <c r="G4985" t="inlineStr"/>
      <c r="H4985" t="inlineStr"/>
    </row>
    <row r="4986">
      <c r="A4986" t="inlineStr">
        <is>
          <t>6d2cd906-a587-431f-a129-6bf5cbfcf8b7.jpg</t>
        </is>
      </c>
      <c r="B4986">
        <f>HYPERLINK("Объекты недвижимости, не соответствующие градостроительным нормам_00-022_Август/6d2cd906-a587-431f-a129-6bf5cbfcf8b7.jpg","open")</f>
        <v/>
      </c>
      <c r="C4986" t="inlineStr">
        <is>
          <t>8cde1fd0-eca1-4510-86ab-3c743b65fdfc</t>
        </is>
      </c>
      <c r="D4986" t="n">
        <v>55.87577</v>
      </c>
      <c r="E4986" t="n">
        <v>37.46974</v>
      </c>
      <c r="F4986" t="inlineStr"/>
      <c r="G4986" t="inlineStr"/>
      <c r="H4986" t="inlineStr"/>
    </row>
    <row r="4987">
      <c r="A4987" t="inlineStr">
        <is>
          <t>4fa94ebd-1b2d-4258-9955-3837bc172e07.jpg</t>
        </is>
      </c>
      <c r="B4987">
        <f>HYPERLINK("Объекты недвижимости, не соответствующие градостроительным нормам_00-022_Август/4fa94ebd-1b2d-4258-9955-3837bc172e07.jpg","open")</f>
        <v/>
      </c>
      <c r="C4987" t="inlineStr">
        <is>
          <t>cbf95b01-f708-45a3-9ec0-3603469b538e</t>
        </is>
      </c>
      <c r="D4987" t="n">
        <v>55.73485</v>
      </c>
      <c r="E4987" t="n">
        <v>37.47676</v>
      </c>
      <c r="F4987" t="inlineStr"/>
      <c r="G4987" t="inlineStr"/>
      <c r="H4987" t="inlineStr"/>
    </row>
    <row r="4988">
      <c r="A4988" t="inlineStr">
        <is>
          <t>2d049d48-17cd-4062-b2f9-b2ea1eff602e.jpg</t>
        </is>
      </c>
      <c r="B4988">
        <f>HYPERLINK("Объекты недвижимости, не соответствующие градостроительным нормам_00-022_Август/2d049d48-17cd-4062-b2f9-b2ea1eff602e.jpg","open")</f>
        <v/>
      </c>
      <c r="C4988" t="inlineStr">
        <is>
          <t>a1a9db89-3f74-42ef-8fad-ad69705102cd</t>
        </is>
      </c>
      <c r="D4988" t="n">
        <v>55.7553</v>
      </c>
      <c r="E4988" t="n">
        <v>37.45333</v>
      </c>
      <c r="F4988" t="inlineStr"/>
      <c r="G4988" t="inlineStr"/>
      <c r="H4988" t="inlineStr"/>
    </row>
    <row r="4989">
      <c r="A4989" t="inlineStr">
        <is>
          <t>bf8c831d-5d52-475c-ab1b-a39b34d33e25.jpg</t>
        </is>
      </c>
      <c r="B4989">
        <f>HYPERLINK("Объекты недвижимости, не соответствующие градостроительным нормам_00-022_Август/bf8c831d-5d52-475c-ab1b-a39b34d33e25.jpg","open")</f>
        <v/>
      </c>
      <c r="C4989" t="inlineStr">
        <is>
          <t>8cde1fd0-eca1-4510-86ab-3c743b65fdfc</t>
        </is>
      </c>
      <c r="D4989" t="n">
        <v>55.87592</v>
      </c>
      <c r="E4989" t="n">
        <v>37.46958</v>
      </c>
      <c r="F4989" t="inlineStr"/>
      <c r="G4989" t="inlineStr"/>
      <c r="H4989" t="inlineStr"/>
    </row>
    <row r="4990">
      <c r="A4990" t="inlineStr">
        <is>
          <t>912a575a-ac61-4161-a92c-e9227376dda2.jpg</t>
        </is>
      </c>
      <c r="B4990">
        <f>HYPERLINK("Объекты недвижимости, не соответствующие градостроительным нормам_00-022_Август/912a575a-ac61-4161-a92c-e9227376dda2.jpg","open")</f>
        <v/>
      </c>
      <c r="C4990" t="inlineStr">
        <is>
          <t>8cde1fd0-eca1-4510-86ab-3c743b65fdfc</t>
        </is>
      </c>
      <c r="D4990" t="n">
        <v>55.87657</v>
      </c>
      <c r="E4990" t="n">
        <v>37.46937</v>
      </c>
      <c r="F4990" t="inlineStr"/>
      <c r="G4990" t="inlineStr"/>
      <c r="H4990" t="inlineStr"/>
    </row>
    <row r="4991">
      <c r="A4991" t="inlineStr">
        <is>
          <t>ea5c916f-466e-416c-8479-7446c62b314c.jpg</t>
        </is>
      </c>
      <c r="B4991">
        <f>HYPERLINK("Объекты недвижимости, не соответствующие градостроительным нормам_00-022_Август/ea5c916f-466e-416c-8479-7446c62b314c.jpg","open")</f>
        <v/>
      </c>
      <c r="C4991" t="inlineStr">
        <is>
          <t>a1a9db89-3f74-42ef-8fad-ad69705102cd</t>
        </is>
      </c>
      <c r="D4991" t="n">
        <v>55.73464</v>
      </c>
      <c r="E4991" t="n">
        <v>37.47747</v>
      </c>
      <c r="F4991" t="inlineStr"/>
      <c r="G4991" t="inlineStr"/>
      <c r="H4991" t="inlineStr"/>
    </row>
    <row r="4992">
      <c r="A4992" t="inlineStr">
        <is>
          <t>13e827fb-06a7-4806-b316-a2d24b720d5f.jpg</t>
        </is>
      </c>
      <c r="B4992">
        <f>HYPERLINK("Объекты недвижимости, не соответствующие градостроительным нормам_00-022_Август/13e827fb-06a7-4806-b316-a2d24b720d5f.jpg","open")</f>
        <v/>
      </c>
      <c r="C4992" t="inlineStr">
        <is>
          <t>cbf95b01-f708-45a3-9ec0-3603469b538e</t>
        </is>
      </c>
      <c r="D4992" t="n">
        <v>55.73427</v>
      </c>
      <c r="E4992" t="n">
        <v>37.47785</v>
      </c>
      <c r="F4992" t="inlineStr"/>
      <c r="G4992" t="inlineStr"/>
      <c r="H4992" t="inlineStr"/>
    </row>
    <row r="4993">
      <c r="A4993" t="inlineStr">
        <is>
          <t>8e3b04d7-2c3a-4233-95ef-ff25de8aadb7.jpg</t>
        </is>
      </c>
      <c r="B4993">
        <f>HYPERLINK("Объекты недвижимости, не соответствующие градостроительным нормам_00-022_Август/8e3b04d7-2c3a-4233-95ef-ff25de8aadb7.jpg","open")</f>
        <v/>
      </c>
      <c r="C4993" t="inlineStr">
        <is>
          <t>a1a9db89-3f74-42ef-8fad-ad69705102cd</t>
        </is>
      </c>
      <c r="D4993" t="n">
        <v>55.73398</v>
      </c>
      <c r="E4993" t="n">
        <v>37.47752</v>
      </c>
      <c r="F4993" t="inlineStr"/>
      <c r="G4993" t="inlineStr"/>
      <c r="H4993" t="inlineStr"/>
    </row>
    <row r="4994">
      <c r="A4994" t="inlineStr">
        <is>
          <t>ea4b0bfb-8274-4206-b06e-ae3dca1989d7.jpg</t>
        </is>
      </c>
      <c r="B4994">
        <f>HYPERLINK("Объекты недвижимости, не соответствующие градостроительным нормам_00-022_Август/ea4b0bfb-8274-4206-b06e-ae3dca1989d7.jpg","open")</f>
        <v/>
      </c>
      <c r="C4994" t="inlineStr">
        <is>
          <t>a1a9db89-3f74-42ef-8fad-ad69705102cd</t>
        </is>
      </c>
      <c r="D4994" t="n">
        <v>55.73398</v>
      </c>
      <c r="E4994" t="n">
        <v>37.47752</v>
      </c>
      <c r="F4994" t="inlineStr"/>
      <c r="G4994" t="inlineStr"/>
      <c r="H4994" t="inlineStr"/>
    </row>
    <row r="4995">
      <c r="A4995" t="inlineStr">
        <is>
          <t>9411d5dc-e8c0-4c87-a6f5-075fea9e49d0.jpg</t>
        </is>
      </c>
      <c r="B4995">
        <f>HYPERLINK("Объекты недвижимости, не соответствующие градостроительным нормам_00-022_Август/9411d5dc-e8c0-4c87-a6f5-075fea9e49d0.jpg","open")</f>
        <v/>
      </c>
      <c r="C4995" t="inlineStr">
        <is>
          <t>cbf95b01-f708-45a3-9ec0-3603469b538e</t>
        </is>
      </c>
      <c r="D4995" t="n">
        <v>55.73398</v>
      </c>
      <c r="E4995" t="n">
        <v>37.47752</v>
      </c>
      <c r="F4995" t="inlineStr"/>
      <c r="G4995" t="inlineStr"/>
      <c r="H4995" t="inlineStr"/>
    </row>
    <row r="4996">
      <c r="A4996" t="inlineStr">
        <is>
          <t>e8156214-730e-42e4-9b7b-bfb1fc4a4d04.jpg</t>
        </is>
      </c>
      <c r="B4996">
        <f>HYPERLINK("Объекты недвижимости, не соответствующие градостроительным нормам_00-022_Август/e8156214-730e-42e4-9b7b-bfb1fc4a4d04.jpg","open")</f>
        <v/>
      </c>
      <c r="C4996" t="inlineStr">
        <is>
          <t>cbf95b01-f708-45a3-9ec0-3603469b538e</t>
        </is>
      </c>
      <c r="D4996" t="n">
        <v>55.73398</v>
      </c>
      <c r="E4996" t="n">
        <v>37.47752</v>
      </c>
      <c r="F4996" t="inlineStr"/>
      <c r="G4996" t="inlineStr"/>
      <c r="H4996" t="inlineStr"/>
    </row>
    <row r="4997">
      <c r="A4997" t="inlineStr">
        <is>
          <t>56084b30-0fed-498a-bcff-057964f65884.jpg</t>
        </is>
      </c>
      <c r="B4997">
        <f>HYPERLINK("Объекты недвижимости, не соответствующие градостроительным нормам_00-022_Август/56084b30-0fed-498a-bcff-057964f65884.jpg","open")</f>
        <v/>
      </c>
      <c r="C4997" t="inlineStr">
        <is>
          <t>cbf95b01-f708-45a3-9ec0-3603469b538e</t>
        </is>
      </c>
      <c r="D4997" t="n">
        <v>55.73398</v>
      </c>
      <c r="E4997" t="n">
        <v>37.47752</v>
      </c>
      <c r="F4997" t="inlineStr"/>
      <c r="G4997" t="inlineStr"/>
      <c r="H4997" t="inlineStr"/>
    </row>
    <row r="4998">
      <c r="A4998" t="inlineStr">
        <is>
          <t>d7714064-886a-4bad-8ced-9a014a8b604e.jpg</t>
        </is>
      </c>
      <c r="B4998">
        <f>HYPERLINK("Объекты недвижимости, не соответствующие градостроительным нормам_00-022_Август/d7714064-886a-4bad-8ced-9a014a8b604e.jpg","open")</f>
        <v/>
      </c>
      <c r="C4998" t="inlineStr">
        <is>
          <t>cbf95b01-f708-45a3-9ec0-3603469b538e</t>
        </is>
      </c>
      <c r="D4998" t="n">
        <v>55.73398</v>
      </c>
      <c r="E4998" t="n">
        <v>37.47752</v>
      </c>
      <c r="F4998" t="inlineStr"/>
      <c r="G4998" t="inlineStr"/>
      <c r="H4998" t="inlineStr"/>
    </row>
    <row r="4999">
      <c r="A4999" t="inlineStr">
        <is>
          <t>b47fd70b-cfee-41f4-9e42-f4533b879c54.jpg</t>
        </is>
      </c>
      <c r="B4999">
        <f>HYPERLINK("Объекты недвижимости, не соответствующие градостроительным нормам_00-022_Август/b47fd70b-cfee-41f4-9e42-f4533b879c54.jpg","open")</f>
        <v/>
      </c>
      <c r="C4999" t="inlineStr">
        <is>
          <t>cbf95b01-f708-45a3-9ec0-3603469b538e</t>
        </is>
      </c>
      <c r="D4999" t="n">
        <v>55.73398</v>
      </c>
      <c r="E4999" t="n">
        <v>37.47752</v>
      </c>
      <c r="F4999" t="inlineStr"/>
      <c r="G4999" t="inlineStr"/>
      <c r="H4999" t="inlineStr"/>
    </row>
    <row r="5000">
      <c r="A5000" t="inlineStr">
        <is>
          <t>3b8c6594-8b45-4834-8faa-ca2e7957d44c.jpg</t>
        </is>
      </c>
      <c r="B5000">
        <f>HYPERLINK("Объекты недвижимости, не соответствующие градостроительным нормам_00-022_Август/3b8c6594-8b45-4834-8faa-ca2e7957d44c.jpg","open")</f>
        <v/>
      </c>
      <c r="C5000" t="inlineStr">
        <is>
          <t>a1a9db89-3f74-42ef-8fad-ad69705102cd</t>
        </is>
      </c>
      <c r="D5000" t="n">
        <v>55.73398</v>
      </c>
      <c r="E5000" t="n">
        <v>37.47752</v>
      </c>
      <c r="F5000" t="inlineStr"/>
      <c r="G5000" t="inlineStr"/>
      <c r="H5000" t="inlineStr"/>
    </row>
    <row r="5001">
      <c r="A5001" t="inlineStr">
        <is>
          <t>83e95853-1063-4f11-8435-5abe9fdcbca6.jpg</t>
        </is>
      </c>
      <c r="B5001">
        <f>HYPERLINK("Объекты недвижимости, не соответствующие градостроительным нормам_00-022_Август/83e95853-1063-4f11-8435-5abe9fdcbca6.jpg","open")</f>
        <v/>
      </c>
      <c r="C5001" t="inlineStr">
        <is>
          <t>cbf95b01-f708-45a3-9ec0-3603469b538e</t>
        </is>
      </c>
      <c r="D5001" t="n">
        <v>55.73398</v>
      </c>
      <c r="E5001" t="n">
        <v>37.47752</v>
      </c>
      <c r="F5001" t="inlineStr"/>
      <c r="G5001" t="inlineStr"/>
      <c r="H5001" t="inlineStr"/>
    </row>
    <row r="5002">
      <c r="A5002" t="inlineStr">
        <is>
          <t>ae59ebf5-e109-4b96-b953-ef8b6b84d8f9.jpg</t>
        </is>
      </c>
      <c r="B5002">
        <f>HYPERLINK("Объекты недвижимости, не соответствующие градостроительным нормам_00-022_Август/ae59ebf5-e109-4b96-b953-ef8b6b84d8f9.jpg","open")</f>
        <v/>
      </c>
      <c r="C5002" t="inlineStr">
        <is>
          <t>cbf95b01-f708-45a3-9ec0-3603469b538e</t>
        </is>
      </c>
      <c r="D5002" t="n">
        <v>55.73398</v>
      </c>
      <c r="E5002" t="n">
        <v>37.47752</v>
      </c>
      <c r="F5002" t="inlineStr"/>
      <c r="G5002" t="inlineStr"/>
      <c r="H5002" t="inlineStr"/>
    </row>
    <row r="5003">
      <c r="A5003" t="inlineStr">
        <is>
          <t>47ec92e2-30f3-4c55-ac02-ecfa4d2e818f.jpg</t>
        </is>
      </c>
      <c r="B5003">
        <f>HYPERLINK("Объекты недвижимости, не соответствующие градостроительным нормам_00-022_Август/47ec92e2-30f3-4c55-ac02-ecfa4d2e818f.jpg","open")</f>
        <v/>
      </c>
      <c r="C5003" t="inlineStr">
        <is>
          <t>ab4e767f-65c0-455b-af20-a5527124fd21</t>
        </is>
      </c>
      <c r="D5003" t="n">
        <v>55.76877</v>
      </c>
      <c r="E5003" t="n">
        <v>37.4736</v>
      </c>
      <c r="F5003" t="inlineStr"/>
      <c r="G5003" t="inlineStr"/>
      <c r="H5003" t="inlineStr"/>
    </row>
    <row r="5004">
      <c r="A5004" t="inlineStr">
        <is>
          <t>cf3eb2bf-6f90-4ef0-aa50-0ea692bbfe7e.jpg</t>
        </is>
      </c>
      <c r="B5004">
        <f>HYPERLINK("Объекты недвижимости, не соответствующие градостроительным нормам_00-022_Август/cf3eb2bf-6f90-4ef0-aa50-0ea692bbfe7e.jpg","open")</f>
        <v/>
      </c>
      <c r="C5004" t="inlineStr">
        <is>
          <t>a1a9db89-3f74-42ef-8fad-ad69705102cd</t>
        </is>
      </c>
      <c r="D5004" t="n">
        <v>55.73398</v>
      </c>
      <c r="E5004" t="n">
        <v>37.47752</v>
      </c>
      <c r="F5004" t="inlineStr"/>
      <c r="G5004" t="inlineStr"/>
      <c r="H5004" t="inlineStr"/>
    </row>
    <row r="5005">
      <c r="A5005" t="inlineStr">
        <is>
          <t>631427aa-bb96-4438-a283-05c935346aa0.jpg</t>
        </is>
      </c>
      <c r="B5005">
        <f>HYPERLINK("Объекты недвижимости, не соответствующие градостроительным нормам_00-022_Август/631427aa-bb96-4438-a283-05c935346aa0.jpg","open")</f>
        <v/>
      </c>
      <c r="C5005" t="inlineStr">
        <is>
          <t>cbf95b01-f708-45a3-9ec0-3603469b538e</t>
        </is>
      </c>
      <c r="D5005" t="n">
        <v>55.73398</v>
      </c>
      <c r="E5005" t="n">
        <v>37.47752</v>
      </c>
      <c r="F5005" t="inlineStr"/>
      <c r="G5005" t="inlineStr"/>
      <c r="H5005" t="inlineStr"/>
    </row>
    <row r="5006">
      <c r="A5006" t="inlineStr">
        <is>
          <t>018d0c26-d2e0-400a-ba46-fa0156473a9d.jpg</t>
        </is>
      </c>
      <c r="B5006">
        <f>HYPERLINK("Объекты недвижимости, не соответствующие градостроительным нормам_00-022_Август/018d0c26-d2e0-400a-ba46-fa0156473a9d.jpg","open")</f>
        <v/>
      </c>
      <c r="C5006" t="inlineStr">
        <is>
          <t>cbf95b01-f708-45a3-9ec0-3603469b538e</t>
        </is>
      </c>
      <c r="D5006" t="n">
        <v>55.73398</v>
      </c>
      <c r="E5006" t="n">
        <v>37.47752</v>
      </c>
      <c r="F5006" t="inlineStr"/>
      <c r="G5006" t="inlineStr"/>
      <c r="H5006" t="inlineStr"/>
    </row>
    <row r="5007">
      <c r="A5007" t="inlineStr">
        <is>
          <t>62c8d275-44be-4087-80d6-2e7dc88a6b10.jpg</t>
        </is>
      </c>
      <c r="B5007">
        <f>HYPERLINK("Объекты недвижимости, не соответствующие градостроительным нормам_00-022_Август/62c8d275-44be-4087-80d6-2e7dc88a6b10.jpg","open")</f>
        <v/>
      </c>
      <c r="C5007" t="inlineStr">
        <is>
          <t>a1a9db89-3f74-42ef-8fad-ad69705102cd</t>
        </is>
      </c>
      <c r="D5007" t="n">
        <v>55.73398</v>
      </c>
      <c r="E5007" t="n">
        <v>37.47752</v>
      </c>
      <c r="F5007" t="inlineStr"/>
      <c r="G5007" t="inlineStr"/>
      <c r="H5007" t="inlineStr"/>
    </row>
    <row r="5008">
      <c r="A5008" t="inlineStr">
        <is>
          <t>43fd1cd9-a8d9-4a77-8186-ff82469452f7.jpg</t>
        </is>
      </c>
      <c r="B5008">
        <f>HYPERLINK("Объекты недвижимости, не соответствующие градостроительным нормам_00-022_Август/43fd1cd9-a8d9-4a77-8186-ff82469452f7.jpg","open")</f>
        <v/>
      </c>
      <c r="C5008" t="inlineStr">
        <is>
          <t>cbf95b01-f708-45a3-9ec0-3603469b538e</t>
        </is>
      </c>
      <c r="D5008" t="n">
        <v>55.73398</v>
      </c>
      <c r="E5008" t="n">
        <v>37.47752</v>
      </c>
      <c r="F5008" t="inlineStr"/>
      <c r="G5008" t="inlineStr"/>
      <c r="H5008" t="inlineStr"/>
    </row>
    <row r="5009">
      <c r="A5009" t="inlineStr">
        <is>
          <t>3e32818a-0771-46cd-b615-950d8825acb2.jpg</t>
        </is>
      </c>
      <c r="B5009">
        <f>HYPERLINK("Объекты недвижимости, не соответствующие градостроительным нормам_00-022_Август/3e32818a-0771-46cd-b615-950d8825acb2.jpg","open")</f>
        <v/>
      </c>
      <c r="C5009" t="inlineStr">
        <is>
          <t>a1a9db89-3f74-42ef-8fad-ad69705102cd</t>
        </is>
      </c>
      <c r="D5009" t="n">
        <v>55.73398</v>
      </c>
      <c r="E5009" t="n">
        <v>37.47752</v>
      </c>
      <c r="F5009" t="inlineStr"/>
      <c r="G5009" t="inlineStr"/>
      <c r="H5009" t="inlineStr"/>
    </row>
    <row r="5010">
      <c r="A5010" t="inlineStr">
        <is>
          <t>69704063-08a5-4ee0-88da-4d09e371abfa.jpg</t>
        </is>
      </c>
      <c r="B5010">
        <f>HYPERLINK("Объекты недвижимости, не соответствующие градостроительным нормам_00-022_Август/69704063-08a5-4ee0-88da-4d09e371abfa.jpg","open")</f>
        <v/>
      </c>
      <c r="C5010" t="inlineStr">
        <is>
          <t>a1a9db89-3f74-42ef-8fad-ad69705102cd</t>
        </is>
      </c>
      <c r="D5010" t="n">
        <v>55.73398</v>
      </c>
      <c r="E5010" t="n">
        <v>37.47752</v>
      </c>
      <c r="F5010" t="inlineStr"/>
      <c r="G5010" t="inlineStr"/>
      <c r="H5010" t="inlineStr"/>
    </row>
    <row r="5011">
      <c r="A5011" t="inlineStr">
        <is>
          <t>3c283429-6ca0-4d77-bf4e-f32504db4c33.jpg</t>
        </is>
      </c>
      <c r="B5011">
        <f>HYPERLINK("Объекты недвижимости, не соответствующие градостроительным нормам_00-022_Август/3c283429-6ca0-4d77-bf4e-f32504db4c33.jpg","open")</f>
        <v/>
      </c>
      <c r="C5011" t="inlineStr">
        <is>
          <t>cbf95b01-f708-45a3-9ec0-3603469b538e</t>
        </is>
      </c>
      <c r="D5011" t="n">
        <v>55.73398</v>
      </c>
      <c r="E5011" t="n">
        <v>37.47752</v>
      </c>
      <c r="F5011" t="inlineStr"/>
      <c r="G5011" t="inlineStr"/>
      <c r="H5011" t="inlineStr"/>
    </row>
    <row r="5012">
      <c r="A5012" t="inlineStr">
        <is>
          <t>e86cc857-b190-45fb-a46d-0c58ffe3dad1.jpg</t>
        </is>
      </c>
      <c r="B5012">
        <f>HYPERLINK("Объекты недвижимости, не соответствующие градостроительным нормам_00-022_Август/e86cc857-b190-45fb-a46d-0c58ffe3dad1.jpg","open")</f>
        <v/>
      </c>
      <c r="C5012" t="inlineStr">
        <is>
          <t>cbf95b01-f708-45a3-9ec0-3603469b538e</t>
        </is>
      </c>
      <c r="D5012" t="n">
        <v>55.73398</v>
      </c>
      <c r="E5012" t="n">
        <v>37.47752</v>
      </c>
      <c r="F5012" t="inlineStr"/>
      <c r="G5012" t="inlineStr"/>
      <c r="H5012" t="inlineStr"/>
    </row>
    <row r="5013">
      <c r="A5013" t="inlineStr">
        <is>
          <t>26e7b0de-aff5-4b53-a00c-d0f2cf3ad38a.jpg</t>
        </is>
      </c>
      <c r="B5013">
        <f>HYPERLINK("Объекты недвижимости, не соответствующие градостроительным нормам_00-022_Август/26e7b0de-aff5-4b53-a00c-d0f2cf3ad38a.jpg","open")</f>
        <v/>
      </c>
      <c r="C5013" t="inlineStr">
        <is>
          <t>cbf95b01-f708-45a3-9ec0-3603469b538e</t>
        </is>
      </c>
      <c r="D5013" t="n">
        <v>55.73398</v>
      </c>
      <c r="E5013" t="n">
        <v>37.47752</v>
      </c>
      <c r="F5013" t="inlineStr"/>
      <c r="G5013" t="inlineStr"/>
      <c r="H5013" t="inlineStr"/>
    </row>
    <row r="5014">
      <c r="A5014" t="inlineStr">
        <is>
          <t>117a2b13-6ba3-4b1c-a5b3-44ab8d197c04.jpg</t>
        </is>
      </c>
      <c r="B5014">
        <f>HYPERLINK("Объекты недвижимости, не соответствующие градостроительным нормам_00-022_Август/117a2b13-6ba3-4b1c-a5b3-44ab8d197c04.jpg","open")</f>
        <v/>
      </c>
      <c r="C5014" t="inlineStr">
        <is>
          <t>cbf95b01-f708-45a3-9ec0-3603469b538e</t>
        </is>
      </c>
      <c r="D5014" t="n">
        <v>55.73398</v>
      </c>
      <c r="E5014" t="n">
        <v>37.47752</v>
      </c>
      <c r="F5014" t="inlineStr"/>
      <c r="G5014" t="inlineStr"/>
      <c r="H5014" t="inlineStr"/>
    </row>
    <row r="5015">
      <c r="A5015" t="inlineStr">
        <is>
          <t>9a2ad886-da6f-40b6-a617-1397d5d30250.jpg</t>
        </is>
      </c>
      <c r="B5015">
        <f>HYPERLINK("Объекты недвижимости, не соответствующие градостроительным нормам_00-022_Август/9a2ad886-da6f-40b6-a617-1397d5d30250.jpg","open")</f>
        <v/>
      </c>
      <c r="C5015" t="inlineStr">
        <is>
          <t>cbf95b01-f708-45a3-9ec0-3603469b538e</t>
        </is>
      </c>
      <c r="D5015" t="n">
        <v>55.73398</v>
      </c>
      <c r="E5015" t="n">
        <v>37.47752</v>
      </c>
      <c r="F5015" t="inlineStr"/>
      <c r="G5015" t="inlineStr"/>
      <c r="H5015" t="inlineStr"/>
    </row>
    <row r="5016">
      <c r="A5016" t="inlineStr">
        <is>
          <t>6cca8eef-6c11-436b-8acd-7ecbc13c742c.jpg</t>
        </is>
      </c>
      <c r="B5016">
        <f>HYPERLINK("Объекты недвижимости, не соответствующие градостроительным нормам_00-022_Август/6cca8eef-6c11-436b-8acd-7ecbc13c742c.jpg","open")</f>
        <v/>
      </c>
      <c r="C5016" t="inlineStr">
        <is>
          <t>cbf95b01-f708-45a3-9ec0-3603469b538e</t>
        </is>
      </c>
      <c r="D5016" t="n">
        <v>55.73398</v>
      </c>
      <c r="E5016" t="n">
        <v>37.47752</v>
      </c>
      <c r="F5016" t="inlineStr"/>
      <c r="G5016" t="inlineStr"/>
      <c r="H5016" t="inlineStr"/>
    </row>
    <row r="5017">
      <c r="A5017" t="inlineStr">
        <is>
          <t>c138d389-9e97-49bc-b032-239eb1f7f368.jpg</t>
        </is>
      </c>
      <c r="B5017">
        <f>HYPERLINK("Объекты недвижимости, не соответствующие градостроительным нормам_00-022_Август/c138d389-9e97-49bc-b032-239eb1f7f368.jpg","open")</f>
        <v/>
      </c>
      <c r="C5017" t="inlineStr">
        <is>
          <t>cbf95b01-f708-45a3-9ec0-3603469b538e</t>
        </is>
      </c>
      <c r="D5017" t="n">
        <v>55.73398</v>
      </c>
      <c r="E5017" t="n">
        <v>37.47752</v>
      </c>
      <c r="F5017" t="inlineStr"/>
      <c r="G5017" t="inlineStr"/>
      <c r="H5017" t="inlineStr"/>
    </row>
    <row r="5018">
      <c r="A5018" t="inlineStr">
        <is>
          <t>6c1af5f2-bf96-4a6a-93e6-0a13b6b4c3de.jpg</t>
        </is>
      </c>
      <c r="B5018">
        <f>HYPERLINK("Объекты недвижимости, не соответствующие градостроительным нормам_00-022_Август/6c1af5f2-bf96-4a6a-93e6-0a13b6b4c3de.jpg","open")</f>
        <v/>
      </c>
      <c r="C5018" t="inlineStr">
        <is>
          <t>cbf95b01-f708-45a3-9ec0-3603469b538e</t>
        </is>
      </c>
      <c r="D5018" t="n">
        <v>55.73398</v>
      </c>
      <c r="E5018" t="n">
        <v>37.47752</v>
      </c>
      <c r="F5018" t="inlineStr"/>
      <c r="G5018" t="inlineStr"/>
      <c r="H5018" t="inlineStr"/>
    </row>
    <row r="5019">
      <c r="A5019" t="inlineStr">
        <is>
          <t>0e0b3f83-e7f8-4a34-a628-ac16523cba22.jpg</t>
        </is>
      </c>
      <c r="B5019">
        <f>HYPERLINK("Объекты недвижимости, не соответствующие градостроительным нормам_00-022_Август/0e0b3f83-e7f8-4a34-a628-ac16523cba22.jpg","open")</f>
        <v/>
      </c>
      <c r="C5019" t="inlineStr">
        <is>
          <t>cbf95b01-f708-45a3-9ec0-3603469b538e</t>
        </is>
      </c>
      <c r="D5019" t="n">
        <v>55.73398</v>
      </c>
      <c r="E5019" t="n">
        <v>37.47752</v>
      </c>
      <c r="F5019" t="inlineStr"/>
      <c r="G5019" t="inlineStr"/>
      <c r="H5019" t="inlineStr"/>
    </row>
    <row r="5020">
      <c r="A5020" t="inlineStr">
        <is>
          <t>45d75926-022d-4ea6-b30c-a7e92303c9ce.jpg</t>
        </is>
      </c>
      <c r="B5020">
        <f>HYPERLINK("Объекты недвижимости, не соответствующие градостроительным нормам_00-022_Август/45d75926-022d-4ea6-b30c-a7e92303c9ce.jpg","open")</f>
        <v/>
      </c>
      <c r="C5020" t="inlineStr">
        <is>
          <t>cbf95b01-f708-45a3-9ec0-3603469b538e</t>
        </is>
      </c>
      <c r="D5020" t="n">
        <v>55.73398</v>
      </c>
      <c r="E5020" t="n">
        <v>37.47752</v>
      </c>
      <c r="F5020" t="inlineStr"/>
      <c r="G5020" t="inlineStr"/>
      <c r="H5020" t="inlineStr"/>
    </row>
    <row r="5021">
      <c r="A5021" t="inlineStr">
        <is>
          <t>a9f356a7-77fe-43f0-98e4-06b142f38f5d.jpg</t>
        </is>
      </c>
      <c r="B5021">
        <f>HYPERLINK("Объекты недвижимости, не соответствующие градостроительным нормам_00-022_Август/a9f356a7-77fe-43f0-98e4-06b142f38f5d.jpg","open")</f>
        <v/>
      </c>
      <c r="C5021" t="inlineStr">
        <is>
          <t>cbf95b01-f708-45a3-9ec0-3603469b538e</t>
        </is>
      </c>
      <c r="D5021" t="n">
        <v>55.73398</v>
      </c>
      <c r="E5021" t="n">
        <v>37.47752</v>
      </c>
      <c r="F5021" t="inlineStr"/>
      <c r="G5021" t="inlineStr"/>
      <c r="H5021" t="inlineStr"/>
    </row>
    <row r="5022">
      <c r="A5022" t="inlineStr">
        <is>
          <t>edd75acf-f710-4aae-a7d3-311babc22884.jpg</t>
        </is>
      </c>
      <c r="B5022">
        <f>HYPERLINK("Объекты недвижимости, не соответствующие градостроительным нормам_00-022_Август/edd75acf-f710-4aae-a7d3-311babc22884.jpg","open")</f>
        <v/>
      </c>
      <c r="C5022" t="inlineStr">
        <is>
          <t>a1a9db89-3f74-42ef-8fad-ad69705102cd</t>
        </is>
      </c>
      <c r="D5022" t="n">
        <v>55.73398</v>
      </c>
      <c r="E5022" t="n">
        <v>37.47752</v>
      </c>
      <c r="F5022" t="inlineStr"/>
      <c r="G5022" t="inlineStr"/>
      <c r="H5022" t="inlineStr"/>
    </row>
    <row r="5023">
      <c r="A5023" t="inlineStr">
        <is>
          <t>c26f4881-6ea9-41e5-a689-b220305eb5da.jpg</t>
        </is>
      </c>
      <c r="B5023">
        <f>HYPERLINK("Объекты недвижимости, не соответствующие градостроительным нормам_00-022_Август/c26f4881-6ea9-41e5-a689-b220305eb5da.jpg","open")</f>
        <v/>
      </c>
      <c r="C5023" t="inlineStr">
        <is>
          <t>cbf95b01-f708-45a3-9ec0-3603469b538e</t>
        </is>
      </c>
      <c r="D5023" t="n">
        <v>55.73398</v>
      </c>
      <c r="E5023" t="n">
        <v>37.47752</v>
      </c>
      <c r="F5023" t="inlineStr"/>
      <c r="G5023" t="inlineStr"/>
      <c r="H5023" t="inlineStr"/>
    </row>
    <row r="5024">
      <c r="A5024" t="inlineStr">
        <is>
          <t>6c3b6da2-1b0d-4a33-89dc-6492b64aa440.jpg</t>
        </is>
      </c>
      <c r="B5024">
        <f>HYPERLINK("Объекты недвижимости, не соответствующие градостроительным нормам_00-022_Август/6c3b6da2-1b0d-4a33-89dc-6492b64aa440.jpg","open")</f>
        <v/>
      </c>
      <c r="C5024" t="inlineStr">
        <is>
          <t>93848fc8-17e7-4748-9ebc-c7e379e11d2f</t>
        </is>
      </c>
      <c r="D5024" t="n">
        <v>55.53731</v>
      </c>
      <c r="E5024" t="n">
        <v>37.5756</v>
      </c>
      <c r="F5024" t="inlineStr"/>
      <c r="G5024" t="inlineStr"/>
      <c r="H5024" t="inlineStr"/>
    </row>
    <row r="5025">
      <c r="A5025" t="inlineStr">
        <is>
          <t>b6a3c2b6-be7c-458d-98b2-2e742d1bbd20.jpg</t>
        </is>
      </c>
      <c r="B5025">
        <f>HYPERLINK("Объекты недвижимости, не соответствующие градостроительным нормам_00-022_Август/b6a3c2b6-be7c-458d-98b2-2e742d1bbd20.jpg","open")</f>
        <v/>
      </c>
      <c r="C5025" t="inlineStr">
        <is>
          <t>1a55986c-2c3f-40c0-b3d1-014dce77832e</t>
        </is>
      </c>
      <c r="D5025" t="n">
        <v>55.29773</v>
      </c>
      <c r="E5025" t="n">
        <v>37.38258</v>
      </c>
      <c r="F5025" t="inlineStr"/>
      <c r="G5025" t="inlineStr"/>
      <c r="H5025" t="inlineStr"/>
    </row>
    <row r="5026">
      <c r="A5026" t="inlineStr">
        <is>
          <t>0bb94951-4772-489d-8021-fb9d54993864.jpg</t>
        </is>
      </c>
      <c r="B5026">
        <f>HYPERLINK("Объекты недвижимости, не соответствующие градостроительным нормам_00-022_Август/0bb94951-4772-489d-8021-fb9d54993864.jpg","open")</f>
        <v/>
      </c>
      <c r="C5026" t="inlineStr">
        <is>
          <t>cbf95b01-f708-45a3-9ec0-3603469b538e</t>
        </is>
      </c>
      <c r="D5026" t="n">
        <v>55.73398</v>
      </c>
      <c r="E5026" t="n">
        <v>37.47752</v>
      </c>
      <c r="F5026" t="inlineStr"/>
      <c r="G5026" t="inlineStr"/>
      <c r="H5026" t="inlineStr"/>
    </row>
    <row r="5027">
      <c r="A5027" t="inlineStr">
        <is>
          <t>f50336e1-a876-453c-96a2-46900c2d289c.jpg</t>
        </is>
      </c>
      <c r="B5027">
        <f>HYPERLINK("Объекты недвижимости, не соответствующие градостроительным нормам_00-022_Август/f50336e1-a876-453c-96a2-46900c2d289c.jpg","open")</f>
        <v/>
      </c>
      <c r="C5027" t="inlineStr">
        <is>
          <t>cbf95b01-f708-45a3-9ec0-3603469b538e</t>
        </is>
      </c>
      <c r="D5027" t="n">
        <v>55.73398</v>
      </c>
      <c r="E5027" t="n">
        <v>37.47752</v>
      </c>
      <c r="F5027" t="inlineStr"/>
      <c r="G5027" t="inlineStr"/>
      <c r="H5027" t="inlineStr"/>
    </row>
    <row r="5028">
      <c r="A5028" t="inlineStr">
        <is>
          <t>2629860c-1000-4043-b357-246c01bcf505.jpg</t>
        </is>
      </c>
      <c r="B5028">
        <f>HYPERLINK("Объекты недвижимости, не соответствующие градостроительным нормам_00-022_Август/2629860c-1000-4043-b357-246c01bcf505.jpg","open")</f>
        <v/>
      </c>
      <c r="C5028" t="inlineStr">
        <is>
          <t>ed2bf0f1-3a66-4913-896e-4420a9796c0b</t>
        </is>
      </c>
      <c r="D5028" t="n">
        <v>55.30682</v>
      </c>
      <c r="E5028" t="n">
        <v>37.37969</v>
      </c>
      <c r="F5028" t="inlineStr"/>
      <c r="G5028" t="inlineStr"/>
      <c r="H5028" t="inlineStr"/>
    </row>
    <row r="5029">
      <c r="A5029" t="inlineStr">
        <is>
          <t>0a8f0ba7-f457-4c84-9dad-4bc82483ab45.jpg</t>
        </is>
      </c>
      <c r="B5029">
        <f>HYPERLINK("Объекты недвижимости, не соответствующие градостроительным нормам_00-022_Август/0a8f0ba7-f457-4c84-9dad-4bc82483ab45.jpg","open")</f>
        <v/>
      </c>
      <c r="C5029" t="inlineStr">
        <is>
          <t>cbf95b01-f708-45a3-9ec0-3603469b538e</t>
        </is>
      </c>
      <c r="D5029" t="n">
        <v>55.73398</v>
      </c>
      <c r="E5029" t="n">
        <v>37.47752</v>
      </c>
      <c r="F5029" t="inlineStr"/>
      <c r="G5029" t="inlineStr"/>
      <c r="H5029" t="inlineStr"/>
    </row>
    <row r="5030">
      <c r="A5030" t="inlineStr">
        <is>
          <t>cf7a4045-30c8-4e01-8bb0-53c58dcedc92.jpg</t>
        </is>
      </c>
      <c r="B5030">
        <f>HYPERLINK("Объекты недвижимости, не соответствующие градостроительным нормам_00-022_Август/cf7a4045-30c8-4e01-8bb0-53c58dcedc92.jpg","open")</f>
        <v/>
      </c>
      <c r="C5030" t="inlineStr">
        <is>
          <t>a1a9db89-3f74-42ef-8fad-ad69705102cd</t>
        </is>
      </c>
      <c r="D5030" t="n">
        <v>55.73398</v>
      </c>
      <c r="E5030" t="n">
        <v>37.47752</v>
      </c>
      <c r="F5030" t="inlineStr"/>
      <c r="G5030" t="inlineStr"/>
      <c r="H5030" t="inlineStr"/>
    </row>
    <row r="5031">
      <c r="A5031" t="inlineStr">
        <is>
          <t>adc78aef-b9a9-49c1-9c2c-e597ae769678.jpg</t>
        </is>
      </c>
      <c r="B5031">
        <f>HYPERLINK("Объекты недвижимости, не соответствующие градостроительным нормам_00-022_Август/adc78aef-b9a9-49c1-9c2c-e597ae769678.jpg","open")</f>
        <v/>
      </c>
      <c r="C5031" t="inlineStr">
        <is>
          <t>cbf95b01-f708-45a3-9ec0-3603469b538e</t>
        </is>
      </c>
      <c r="D5031" t="n">
        <v>55.73398</v>
      </c>
      <c r="E5031" t="n">
        <v>37.47752</v>
      </c>
      <c r="F5031" t="inlineStr"/>
      <c r="G5031" t="inlineStr"/>
      <c r="H5031" t="inlineStr"/>
    </row>
    <row r="5032">
      <c r="A5032" t="inlineStr">
        <is>
          <t>d96b725c-bce0-48fc-9cb6-bbd87aaf3d65.jpg</t>
        </is>
      </c>
      <c r="B5032">
        <f>HYPERLINK("Объекты недвижимости, не соответствующие градостроительным нормам_00-022_Август/d96b725c-bce0-48fc-9cb6-bbd87aaf3d65.jpg","open")</f>
        <v/>
      </c>
      <c r="C5032" t="inlineStr">
        <is>
          <t>8cde1fd0-eca1-4510-86ab-3c743b65fdfc</t>
        </is>
      </c>
      <c r="D5032" t="n">
        <v>55.87496</v>
      </c>
      <c r="E5032" t="n">
        <v>37.46786</v>
      </c>
      <c r="F5032" t="inlineStr"/>
      <c r="G5032" t="inlineStr"/>
      <c r="H5032" t="inlineStr"/>
    </row>
    <row r="5033">
      <c r="A5033" t="inlineStr">
        <is>
          <t>6baf2d3f-faa0-4d8b-8a04-0d7b861090cb.jpg</t>
        </is>
      </c>
      <c r="B5033">
        <f>HYPERLINK("Объекты недвижимости, не соответствующие градостроительным нормам_00-022_Август/6baf2d3f-faa0-4d8b-8a04-0d7b861090cb.jpg","open")</f>
        <v/>
      </c>
      <c r="C5033" t="inlineStr">
        <is>
          <t>8cde1fd0-eca1-4510-86ab-3c743b65fdfc</t>
        </is>
      </c>
      <c r="D5033" t="n">
        <v>55.8713</v>
      </c>
      <c r="E5033" t="n">
        <v>37.45867</v>
      </c>
      <c r="F5033" t="inlineStr"/>
      <c r="G5033" t="inlineStr"/>
      <c r="H5033" t="inlineStr"/>
    </row>
    <row r="5034">
      <c r="A5034" t="inlineStr">
        <is>
          <t>dbf8f8cc-1bcc-4bbe-8f37-b6563a530ac5.jpg</t>
        </is>
      </c>
      <c r="B5034">
        <f>HYPERLINK("Объекты недвижимости, не соответствующие градостроительным нормам_00-022_Август/dbf8f8cc-1bcc-4bbe-8f37-b6563a530ac5.jpg","open")</f>
        <v/>
      </c>
      <c r="C5034" t="inlineStr">
        <is>
          <t>cbf95b01-f708-45a3-9ec0-3603469b538e</t>
        </is>
      </c>
      <c r="D5034" t="n">
        <v>55.74102</v>
      </c>
      <c r="E5034" t="n">
        <v>37.63923</v>
      </c>
      <c r="F5034" t="inlineStr"/>
      <c r="G5034" t="inlineStr"/>
      <c r="H5034" t="inlineStr"/>
    </row>
    <row r="5035">
      <c r="A5035" t="inlineStr">
        <is>
          <t>808896bf-ec3b-473e-8dd0-a770c21a80fa.jpg</t>
        </is>
      </c>
      <c r="B5035">
        <f>HYPERLINK("Объекты недвижимости, не соответствующие градостроительным нормам_00-022_Август/808896bf-ec3b-473e-8dd0-a770c21a80fa.jpg","open")</f>
        <v/>
      </c>
      <c r="C5035" t="inlineStr">
        <is>
          <t>8cde1fd0-eca1-4510-86ab-3c743b65fdfc</t>
        </is>
      </c>
      <c r="D5035" t="n">
        <v>55.87514</v>
      </c>
      <c r="E5035" t="n">
        <v>37.4688</v>
      </c>
      <c r="F5035" t="inlineStr"/>
      <c r="G5035" t="inlineStr"/>
      <c r="H5035" t="inlineStr"/>
    </row>
    <row r="5036">
      <c r="A5036" t="inlineStr">
        <is>
          <t>8bb66465-a2e1-4de0-86dc-f7924571b849.jpg</t>
        </is>
      </c>
      <c r="B5036">
        <f>HYPERLINK("Объекты недвижимости, не соответствующие градостроительным нормам_00-022_Август/8bb66465-a2e1-4de0-86dc-f7924571b849.jpg","open")</f>
        <v/>
      </c>
      <c r="C5036" t="inlineStr">
        <is>
          <t>8cde1fd0-eca1-4510-86ab-3c743b65fdfc</t>
        </is>
      </c>
      <c r="D5036" t="n">
        <v>55.87539</v>
      </c>
      <c r="E5036" t="n">
        <v>37.46951</v>
      </c>
      <c r="F5036" t="inlineStr"/>
      <c r="G5036" t="inlineStr"/>
      <c r="H5036" t="inlineStr"/>
    </row>
    <row r="5037">
      <c r="A5037" t="inlineStr">
        <is>
          <t>3ea49ebb-5c63-42fc-a6fc-710771a63e6e.jpg</t>
        </is>
      </c>
      <c r="B5037">
        <f>HYPERLINK("Объекты недвижимости, не соответствующие градостроительным нормам_00-022_Август/3ea49ebb-5c63-42fc-a6fc-710771a63e6e.jpg","open")</f>
        <v/>
      </c>
      <c r="C5037" t="inlineStr">
        <is>
          <t>f6f80c84-5569-48fd-b627-6f41ce4c61c4</t>
        </is>
      </c>
      <c r="D5037" t="n">
        <v>55.7064</v>
      </c>
      <c r="E5037" t="n">
        <v>37.89677</v>
      </c>
      <c r="F5037" t="inlineStr"/>
      <c r="G5037" t="inlineStr"/>
      <c r="H5037" t="inlineStr"/>
    </row>
    <row r="5038">
      <c r="A5038" t="inlineStr">
        <is>
          <t>cf186b20-e6a8-4746-b3c9-06f9c06ba0e9.jpg</t>
        </is>
      </c>
      <c r="B5038">
        <f>HYPERLINK("Объекты недвижимости, не соответствующие градостроительным нормам_00-022_Август/cf186b20-e6a8-4746-b3c9-06f9c06ba0e9.jpg","open")</f>
        <v/>
      </c>
      <c r="C5038" t="inlineStr">
        <is>
          <t>1c951e11-4940-43c6-a447-394097e5609a</t>
        </is>
      </c>
      <c r="D5038" t="n">
        <v>55.87547</v>
      </c>
      <c r="E5038" t="n">
        <v>37.46969</v>
      </c>
      <c r="F5038" t="inlineStr"/>
      <c r="G5038" t="inlineStr"/>
      <c r="H5038" t="inlineStr"/>
    </row>
    <row r="5039">
      <c r="A5039" t="inlineStr">
        <is>
          <t>a6e44f8c-6063-4864-b59f-ab59722fd8df.jpg</t>
        </is>
      </c>
      <c r="B5039">
        <f>HYPERLINK("Объекты недвижимости, не соответствующие градостроительным нормам_00-022_Август/a6e44f8c-6063-4864-b59f-ab59722fd8df.jpg","open")</f>
        <v/>
      </c>
      <c r="C5039" t="inlineStr">
        <is>
          <t>8cde1fd0-eca1-4510-86ab-3c743b65fdfc</t>
        </is>
      </c>
      <c r="D5039" t="n">
        <v>55.87464</v>
      </c>
      <c r="E5039" t="n">
        <v>37.47089</v>
      </c>
      <c r="F5039" t="inlineStr"/>
      <c r="G5039" t="inlineStr"/>
      <c r="H5039" t="inlineStr"/>
    </row>
    <row r="5040">
      <c r="A5040" t="inlineStr">
        <is>
          <t>d30ef887-fc94-4359-b3b9-eede7baa81ec.jpg</t>
        </is>
      </c>
      <c r="B5040">
        <f>HYPERLINK("Объекты недвижимости, не соответствующие градостроительным нормам_00-022_Август/d30ef887-fc94-4359-b3b9-eede7baa81ec.jpg","open")</f>
        <v/>
      </c>
      <c r="C5040" t="inlineStr">
        <is>
          <t>8cde1fd0-eca1-4510-86ab-3c743b65fdfc</t>
        </is>
      </c>
      <c r="D5040" t="n">
        <v>55.87442</v>
      </c>
      <c r="E5040" t="n">
        <v>37.47112</v>
      </c>
      <c r="F5040" t="inlineStr"/>
      <c r="G5040" t="inlineStr"/>
      <c r="H5040" t="inlineStr"/>
    </row>
    <row r="5041">
      <c r="A5041" t="inlineStr">
        <is>
          <t>e3890db3-cabe-4043-ba82-6ac520794b60.jpg</t>
        </is>
      </c>
      <c r="B5041">
        <f>HYPERLINK("Объекты недвижимости, не соответствующие градостроительным нормам_00-022_Август/e3890db3-cabe-4043-ba82-6ac520794b60.jpg","open")</f>
        <v/>
      </c>
      <c r="C5041" t="inlineStr">
        <is>
          <t>f6f80c84-5569-48fd-b627-6f41ce4c61c4</t>
        </is>
      </c>
      <c r="D5041" t="n">
        <v>55.7064</v>
      </c>
      <c r="E5041" t="n">
        <v>37.89677</v>
      </c>
      <c r="F5041" t="inlineStr"/>
      <c r="G5041" t="inlineStr"/>
      <c r="H5041" t="inlineStr"/>
    </row>
    <row r="5042">
      <c r="A5042" t="inlineStr">
        <is>
          <t>aeea60f0-dc55-416b-befc-6b056d8e0019.jpg</t>
        </is>
      </c>
      <c r="B5042">
        <f>HYPERLINK("Объекты недвижимости, не соответствующие градостроительным нормам_00-022_Август/aeea60f0-dc55-416b-befc-6b056d8e0019.jpg","open")</f>
        <v/>
      </c>
      <c r="C5042" t="inlineStr">
        <is>
          <t>8cde1fd0-eca1-4510-86ab-3c743b65fdfc</t>
        </is>
      </c>
      <c r="D5042" t="n">
        <v>55.87425</v>
      </c>
      <c r="E5042" t="n">
        <v>37.47131</v>
      </c>
      <c r="F5042" t="inlineStr"/>
      <c r="G5042" t="inlineStr"/>
      <c r="H5042" t="inlineStr"/>
    </row>
    <row r="5043">
      <c r="A5043" t="inlineStr">
        <is>
          <t>70277e7d-91e4-44d8-a567-ef7e9f672e5e.jpg</t>
        </is>
      </c>
      <c r="B5043">
        <f>HYPERLINK("Объекты недвижимости, не соответствующие градостроительным нормам_00-022_Август/70277e7d-91e4-44d8-a567-ef7e9f672e5e.jpg","open")</f>
        <v/>
      </c>
      <c r="C5043" t="inlineStr">
        <is>
          <t>8cde1fd0-eca1-4510-86ab-3c743b65fdfc</t>
        </is>
      </c>
      <c r="D5043" t="n">
        <v>55.87335</v>
      </c>
      <c r="E5043" t="n">
        <v>37.47223</v>
      </c>
      <c r="F5043" t="inlineStr"/>
      <c r="G5043" t="inlineStr"/>
      <c r="H5043" t="inlineStr"/>
    </row>
    <row r="5044">
      <c r="A5044" t="inlineStr">
        <is>
          <t>42ca91bb-11a4-4025-916b-1a04efabed12.jpg</t>
        </is>
      </c>
      <c r="B5044">
        <f>HYPERLINK("Объекты недвижимости, не соответствующие градостроительным нормам_00-022_Август/42ca91bb-11a4-4025-916b-1a04efabed12.jpg","open")</f>
        <v/>
      </c>
      <c r="C5044" t="inlineStr">
        <is>
          <t>8cde1fd0-eca1-4510-86ab-3c743b65fdfc</t>
        </is>
      </c>
      <c r="D5044" t="n">
        <v>55.87204</v>
      </c>
      <c r="E5044" t="n">
        <v>37.47175</v>
      </c>
      <c r="F5044" t="inlineStr"/>
      <c r="G5044" t="inlineStr"/>
      <c r="H5044" t="inlineStr"/>
    </row>
    <row r="5045">
      <c r="A5045" t="inlineStr">
        <is>
          <t>07126fe8-a39f-4e66-b4e3-6722ac42da9e.jpg</t>
        </is>
      </c>
      <c r="B5045">
        <f>HYPERLINK("Объекты недвижимости, не соответствующие градостроительным нормам_00-022_Август/07126fe8-a39f-4e66-b4e3-6722ac42da9e.jpg","open")</f>
        <v/>
      </c>
      <c r="C5045" t="inlineStr">
        <is>
          <t>cbf95b01-f708-45a3-9ec0-3603469b538e</t>
        </is>
      </c>
      <c r="D5045" t="n">
        <v>55.68419</v>
      </c>
      <c r="E5045" t="n">
        <v>37.63233</v>
      </c>
      <c r="F5045" t="inlineStr"/>
      <c r="G5045" t="inlineStr"/>
      <c r="H5045" t="inlineStr"/>
    </row>
    <row r="5046">
      <c r="A5046" t="inlineStr">
        <is>
          <t>6cede287-7b61-4f29-bc63-d6eca432242f.jpg</t>
        </is>
      </c>
      <c r="B5046">
        <f>HYPERLINK("Объекты недвижимости, не соответствующие градостроительным нормам_00-022_Август/6cede287-7b61-4f29-bc63-d6eca432242f.jpg","open")</f>
        <v/>
      </c>
      <c r="C5046" t="inlineStr">
        <is>
          <t>8cde1fd0-eca1-4510-86ab-3c743b65fdfc</t>
        </is>
      </c>
      <c r="D5046" t="n">
        <v>55.86757</v>
      </c>
      <c r="E5046" t="n">
        <v>37.47454</v>
      </c>
      <c r="F5046" t="inlineStr"/>
      <c r="G5046" t="inlineStr"/>
      <c r="H5046" t="inlineStr"/>
    </row>
    <row r="5047">
      <c r="A5047" t="inlineStr">
        <is>
          <t>39f5a936-8fca-4a30-aad1-ee44251fbc7d.jpg</t>
        </is>
      </c>
      <c r="B5047">
        <f>HYPERLINK("Объекты недвижимости, не соответствующие градостроительным нормам_00-022_Август/39f5a936-8fca-4a30-aad1-ee44251fbc7d.jpg","open")</f>
        <v/>
      </c>
      <c r="C5047" t="inlineStr">
        <is>
          <t>8cde1fd0-eca1-4510-86ab-3c743b65fdfc</t>
        </is>
      </c>
      <c r="D5047" t="n">
        <v>55.86865</v>
      </c>
      <c r="E5047" t="n">
        <v>37.46701</v>
      </c>
      <c r="F5047" t="inlineStr"/>
      <c r="G5047" t="inlineStr"/>
      <c r="H5047" t="inlineStr"/>
    </row>
    <row r="5048">
      <c r="A5048" t="inlineStr">
        <is>
          <t>13df9091-efa3-4367-b2df-10f24af15523.jpg</t>
        </is>
      </c>
      <c r="B5048">
        <f>HYPERLINK("Объекты недвижимости, не соответствующие градостроительным нормам_00-022_Август/13df9091-efa3-4367-b2df-10f24af15523.jpg","open")</f>
        <v/>
      </c>
      <c r="C5048" t="inlineStr">
        <is>
          <t>cbf95b01-f708-45a3-9ec0-3603469b538e</t>
        </is>
      </c>
      <c r="D5048" t="n">
        <v>55.68608</v>
      </c>
      <c r="E5048" t="n">
        <v>37.67159</v>
      </c>
      <c r="F5048" t="inlineStr"/>
      <c r="G5048" t="inlineStr"/>
      <c r="H5048" t="inlineStr"/>
    </row>
    <row r="5049">
      <c r="A5049" t="inlineStr">
        <is>
          <t>63916c72-bc97-4313-a166-33cad85766c5.jpg</t>
        </is>
      </c>
      <c r="B5049">
        <f>HYPERLINK("Объекты недвижимости, не соответствующие градостроительным нормам_00-022_Август/63916c72-bc97-4313-a166-33cad85766c5.jpg","open")</f>
        <v/>
      </c>
      <c r="C5049" t="inlineStr">
        <is>
          <t>8cde1fd0-eca1-4510-86ab-3c743b65fdfc</t>
        </is>
      </c>
      <c r="D5049" t="n">
        <v>55.86245</v>
      </c>
      <c r="E5049" t="n">
        <v>37.46589</v>
      </c>
      <c r="F5049" t="inlineStr"/>
      <c r="G5049" t="inlineStr"/>
      <c r="H5049" t="inlineStr"/>
    </row>
    <row r="5050">
      <c r="A5050" t="inlineStr">
        <is>
          <t>4f766eea-fb13-4ca8-a82b-773be099fcfd.jpg</t>
        </is>
      </c>
      <c r="B5050">
        <f>HYPERLINK("Объекты недвижимости, не соответствующие градостроительным нормам_00-022_Август/4f766eea-fb13-4ca8-a82b-773be099fcfd.jpg","open")</f>
        <v/>
      </c>
      <c r="C5050" t="inlineStr">
        <is>
          <t>cbf95b01-f708-45a3-9ec0-3603469b538e</t>
        </is>
      </c>
      <c r="D5050" t="n">
        <v>55.68549</v>
      </c>
      <c r="E5050" t="n">
        <v>37.66734</v>
      </c>
      <c r="F5050" t="inlineStr"/>
      <c r="G5050" t="inlineStr"/>
      <c r="H5050" t="inlineStr"/>
    </row>
    <row r="5051">
      <c r="A5051" t="inlineStr">
        <is>
          <t>1724377a-8101-4d46-8c66-05e940376091.jpg</t>
        </is>
      </c>
      <c r="B5051">
        <f>HYPERLINK("Объекты недвижимости, не соответствующие градостроительным нормам_00-022_Август/1724377a-8101-4d46-8c66-05e940376091.jpg","open")</f>
        <v/>
      </c>
      <c r="C5051" t="inlineStr">
        <is>
          <t>a1a9db89-3f74-42ef-8fad-ad69705102cd</t>
        </is>
      </c>
      <c r="D5051" t="n">
        <v>55.68517</v>
      </c>
      <c r="E5051" t="n">
        <v>37.6657</v>
      </c>
      <c r="F5051" t="inlineStr"/>
      <c r="G5051" t="inlineStr"/>
      <c r="H5051" t="inlineStr"/>
    </row>
    <row r="5052">
      <c r="A5052" t="inlineStr">
        <is>
          <t>502b9a08-e1ef-45c0-96c0-1a264b0ec67e.jpg</t>
        </is>
      </c>
      <c r="B5052">
        <f>HYPERLINK("Объекты недвижимости, не соответствующие градостроительным нормам_00-022_Август/502b9a08-e1ef-45c0-96c0-1a264b0ec67e.jpg","open")</f>
        <v/>
      </c>
      <c r="C5052" t="inlineStr">
        <is>
          <t>cbf95b01-f708-45a3-9ec0-3603469b538e</t>
        </is>
      </c>
      <c r="D5052" t="n">
        <v>55.68503</v>
      </c>
      <c r="E5052" t="n">
        <v>37.66569</v>
      </c>
      <c r="F5052" t="inlineStr"/>
      <c r="G5052" t="inlineStr"/>
      <c r="H5052" t="inlineStr"/>
    </row>
    <row r="5053">
      <c r="A5053" t="inlineStr">
        <is>
          <t>4059b78a-c448-416f-a14b-46712a58c185.jpg</t>
        </is>
      </c>
      <c r="B5053">
        <f>HYPERLINK("Объекты недвижимости, не соответствующие градостроительным нормам_00-022_Август/4059b78a-c448-416f-a14b-46712a58c185.jpg","open")</f>
        <v/>
      </c>
      <c r="C5053" t="inlineStr">
        <is>
          <t>8cde1fd0-eca1-4510-86ab-3c743b65fdfc</t>
        </is>
      </c>
      <c r="D5053" t="n">
        <v>55.86298</v>
      </c>
      <c r="E5053" t="n">
        <v>37.46881</v>
      </c>
      <c r="F5053" t="inlineStr"/>
      <c r="G5053" t="inlineStr"/>
      <c r="H5053" t="inlineStr"/>
    </row>
    <row r="5054">
      <c r="A5054" t="inlineStr">
        <is>
          <t>cef64f9d-abd7-4655-b639-e4b1c8d09319.jpg</t>
        </is>
      </c>
      <c r="B5054">
        <f>HYPERLINK("Объекты недвижимости, не соответствующие градостроительным нормам_00-022_Август/cef64f9d-abd7-4655-b639-e4b1c8d09319.jpg","open")</f>
        <v/>
      </c>
      <c r="C5054" t="inlineStr">
        <is>
          <t>8cde1fd0-eca1-4510-86ab-3c743b65fdfc</t>
        </is>
      </c>
      <c r="D5054" t="n">
        <v>55.86268</v>
      </c>
      <c r="E5054" t="n">
        <v>37.46727</v>
      </c>
      <c r="F5054" t="inlineStr"/>
      <c r="G5054" t="inlineStr"/>
      <c r="H5054" t="inlineStr"/>
    </row>
    <row r="5055">
      <c r="A5055" t="inlineStr">
        <is>
          <t>94090208-ae8d-40b6-bb62-b637d04cfd63.jpg</t>
        </is>
      </c>
      <c r="B5055">
        <f>HYPERLINK("Объекты недвижимости, не соответствующие градостроительным нормам_00-022_Август/94090208-ae8d-40b6-bb62-b637d04cfd63.jpg","open")</f>
        <v/>
      </c>
      <c r="C5055" t="inlineStr">
        <is>
          <t>8cde1fd0-eca1-4510-86ab-3c743b65fdfc</t>
        </is>
      </c>
      <c r="D5055" t="n">
        <v>55.88462</v>
      </c>
      <c r="E5055" t="n">
        <v>37.47353</v>
      </c>
      <c r="F5055" t="inlineStr"/>
      <c r="G5055" t="inlineStr"/>
      <c r="H5055" t="inlineStr"/>
    </row>
    <row r="5056">
      <c r="A5056" t="inlineStr">
        <is>
          <t>fd9bd167-520d-4d5f-8bbb-d6f219ff9c41.jpg</t>
        </is>
      </c>
      <c r="B5056">
        <f>HYPERLINK("Объекты недвижимости, не соответствующие градостроительным нормам_00-022_Август/fd9bd167-520d-4d5f-8bbb-d6f219ff9c41.jpg","open")</f>
        <v/>
      </c>
      <c r="C5056" t="inlineStr">
        <is>
          <t>8cde1fd0-eca1-4510-86ab-3c743b65fdfc</t>
        </is>
      </c>
      <c r="D5056" t="n">
        <v>55.8852</v>
      </c>
      <c r="E5056" t="n">
        <v>37.47589</v>
      </c>
      <c r="F5056" t="inlineStr"/>
      <c r="G5056" t="inlineStr"/>
      <c r="H5056" t="inlineStr"/>
    </row>
    <row r="5057">
      <c r="A5057" t="inlineStr">
        <is>
          <t>f25966b4-d5b3-41b4-97e7-d48755611939.jpg</t>
        </is>
      </c>
      <c r="B5057">
        <f>HYPERLINK("Объекты недвижимости, не соответствующие градостроительным нормам_00-022_Август/f25966b4-d5b3-41b4-97e7-d48755611939.jpg","open")</f>
        <v/>
      </c>
      <c r="C5057" t="inlineStr">
        <is>
          <t>1c951e11-4940-43c6-a447-394097e5609a</t>
        </is>
      </c>
      <c r="D5057" t="n">
        <v>55.88054</v>
      </c>
      <c r="E5057" t="n">
        <v>37.48266</v>
      </c>
      <c r="F5057" t="inlineStr"/>
      <c r="G5057" t="inlineStr"/>
      <c r="H5057" t="inlineStr"/>
    </row>
    <row r="5058">
      <c r="A5058" t="inlineStr">
        <is>
          <t>d681823a-64d6-4e7e-b2e2-1a6bd376712f.jpg</t>
        </is>
      </c>
      <c r="B5058">
        <f>HYPERLINK("Объекты недвижимости, не соответствующие градостроительным нормам_00-022_Август/d681823a-64d6-4e7e-b2e2-1a6bd376712f.jpg","open")</f>
        <v/>
      </c>
      <c r="C5058" t="inlineStr">
        <is>
          <t>8cde1fd0-eca1-4510-86ab-3c743b65fdfc</t>
        </is>
      </c>
      <c r="D5058" t="n">
        <v>55.88054</v>
      </c>
      <c r="E5058" t="n">
        <v>37.48266</v>
      </c>
      <c r="F5058" t="inlineStr"/>
      <c r="G5058" t="inlineStr"/>
      <c r="H5058" t="inlineStr"/>
    </row>
    <row r="5059">
      <c r="A5059" t="inlineStr">
        <is>
          <t>75e169e8-e95b-4e7e-9836-dbd49fa056ee.jpg</t>
        </is>
      </c>
      <c r="B5059">
        <f>HYPERLINK("Объекты недвижимости, не соответствующие градостроительным нормам_00-022_Август/75e169e8-e95b-4e7e-9836-dbd49fa056ee.jpg","open")</f>
        <v/>
      </c>
      <c r="C5059" t="inlineStr">
        <is>
          <t>48b533d5-d106-4175-ac9b-d5ce8d90cccf</t>
        </is>
      </c>
      <c r="D5059" t="n">
        <v>55.96816</v>
      </c>
      <c r="E5059" t="n">
        <v>37.18523</v>
      </c>
      <c r="F5059" t="inlineStr"/>
      <c r="G5059" t="inlineStr"/>
      <c r="H5059" t="inlineStr"/>
    </row>
    <row r="5060">
      <c r="A5060" t="inlineStr">
        <is>
          <t>db11dd52-807f-4d85-8659-7154f232c9fe.jpg</t>
        </is>
      </c>
      <c r="B5060">
        <f>HYPERLINK("Объекты недвижимости, не соответствующие градостроительным нормам_00-022_Август/db11dd52-807f-4d85-8659-7154f232c9fe.jpg","open")</f>
        <v/>
      </c>
      <c r="C5060" t="inlineStr">
        <is>
          <t>8cde1fd0-eca1-4510-86ab-3c743b65fdfc</t>
        </is>
      </c>
      <c r="D5060" t="n">
        <v>55.8752</v>
      </c>
      <c r="E5060" t="n">
        <v>37.46841</v>
      </c>
      <c r="F5060" t="inlineStr"/>
      <c r="G5060" t="inlineStr"/>
      <c r="H5060" t="inlineStr"/>
    </row>
    <row r="5061">
      <c r="A5061" t="inlineStr">
        <is>
          <t>db47fa19-b3b2-4788-8f97-91903861813b.jpg</t>
        </is>
      </c>
      <c r="B5061">
        <f>HYPERLINK("Объекты недвижимости, не соответствующие градостроительным нормам_00-022_Август/db47fa19-b3b2-4788-8f97-91903861813b.jpg","open")</f>
        <v/>
      </c>
      <c r="C5061" t="inlineStr">
        <is>
          <t>8cde1fd0-eca1-4510-86ab-3c743b65fdfc</t>
        </is>
      </c>
      <c r="D5061" t="n">
        <v>55.87517</v>
      </c>
      <c r="E5061" t="n">
        <v>37.46835</v>
      </c>
      <c r="F5061" t="inlineStr"/>
      <c r="G5061" t="inlineStr"/>
      <c r="H5061" t="inlineStr"/>
    </row>
    <row r="5062">
      <c r="A5062" t="inlineStr">
        <is>
          <t>35eebdfd-f8a9-48ae-90d7-51d8a7c578e0.jpg</t>
        </is>
      </c>
      <c r="B5062">
        <f>HYPERLINK("Объекты недвижимости, не соответствующие градостроительным нормам_00-022_Август/35eebdfd-f8a9-48ae-90d7-51d8a7c578e0.jpg","open")</f>
        <v/>
      </c>
      <c r="C5062" t="inlineStr">
        <is>
          <t>8cde1fd0-eca1-4510-86ab-3c743b65fdfc</t>
        </is>
      </c>
      <c r="D5062" t="n">
        <v>55.87514</v>
      </c>
      <c r="E5062" t="n">
        <v>37.46827</v>
      </c>
      <c r="F5062" t="inlineStr"/>
      <c r="G5062" t="inlineStr"/>
      <c r="H5062" t="inlineStr"/>
    </row>
    <row r="5063">
      <c r="A5063" t="inlineStr">
        <is>
          <t>92909124-f838-4708-8606-200f712fb924.jpg</t>
        </is>
      </c>
      <c r="B5063">
        <f>HYPERLINK("Объекты недвижимости, не соответствующие градостроительным нормам_00-022_Август/92909124-f838-4708-8606-200f712fb924.jpg","open")</f>
        <v/>
      </c>
      <c r="C5063" t="inlineStr">
        <is>
          <t>8cde1fd0-eca1-4510-86ab-3c743b65fdfc</t>
        </is>
      </c>
      <c r="D5063" t="n">
        <v>55.87514</v>
      </c>
      <c r="E5063" t="n">
        <v>37.46827</v>
      </c>
      <c r="F5063" t="inlineStr"/>
      <c r="G5063" t="inlineStr"/>
      <c r="H5063" t="inlineStr"/>
    </row>
    <row r="5064">
      <c r="A5064" t="inlineStr">
        <is>
          <t>0b818737-5a4b-43bc-b544-cd4b22e37fde.jpg</t>
        </is>
      </c>
      <c r="B5064">
        <f>HYPERLINK("Объекты недвижимости, не соответствующие градостроительным нормам_00-022_Август/0b818737-5a4b-43bc-b544-cd4b22e37fde.jpg","open")</f>
        <v/>
      </c>
      <c r="C5064" t="inlineStr">
        <is>
          <t>8cde1fd0-eca1-4510-86ab-3c743b65fdfc</t>
        </is>
      </c>
      <c r="D5064" t="n">
        <v>55.87514</v>
      </c>
      <c r="E5064" t="n">
        <v>37.46827</v>
      </c>
      <c r="F5064" t="inlineStr"/>
      <c r="G5064" t="inlineStr"/>
      <c r="H5064" t="inlineStr"/>
    </row>
    <row r="5065">
      <c r="A5065" t="inlineStr">
        <is>
          <t>c5ef6b80-ffae-44bf-ad54-d4f39c93adfa.jpg</t>
        </is>
      </c>
      <c r="B5065">
        <f>HYPERLINK("Объекты недвижимости, не соответствующие градостроительным нормам_00-022_Август/c5ef6b80-ffae-44bf-ad54-d4f39c93adfa.jpg","open")</f>
        <v/>
      </c>
      <c r="C5065" t="inlineStr">
        <is>
          <t>8cde1fd0-eca1-4510-86ab-3c743b65fdfc</t>
        </is>
      </c>
      <c r="D5065" t="n">
        <v>55.87514</v>
      </c>
      <c r="E5065" t="n">
        <v>37.46826</v>
      </c>
      <c r="F5065" t="inlineStr"/>
      <c r="G5065" t="inlineStr"/>
      <c r="H5065" t="inlineStr"/>
    </row>
    <row r="5066">
      <c r="A5066" t="inlineStr">
        <is>
          <t>c5dd4621-2fb8-4e99-b8fa-3463aaed85e4.jpg</t>
        </is>
      </c>
      <c r="B5066">
        <f>HYPERLINK("Объекты недвижимости, не соответствующие градостроительным нормам_00-022_Август/c5dd4621-2fb8-4e99-b8fa-3463aaed85e4.jpg","open")</f>
        <v/>
      </c>
      <c r="C5066" t="inlineStr">
        <is>
          <t>cbf95b01-f708-45a3-9ec0-3603469b538e</t>
        </is>
      </c>
      <c r="D5066" t="n">
        <v>55.71114</v>
      </c>
      <c r="E5066" t="n">
        <v>37.72558</v>
      </c>
      <c r="F5066" t="inlineStr"/>
      <c r="G5066" t="inlineStr"/>
      <c r="H5066" t="inlineStr"/>
    </row>
    <row r="5067">
      <c r="A5067" t="inlineStr">
        <is>
          <t>9beda7fe-441e-4c1c-8082-7923b7f32b06.jpg</t>
        </is>
      </c>
      <c r="B5067">
        <f>HYPERLINK("Объекты недвижимости, не соответствующие градостроительным нормам_00-022_Август/9beda7fe-441e-4c1c-8082-7923b7f32b06.jpg","open")</f>
        <v/>
      </c>
      <c r="C5067" t="inlineStr">
        <is>
          <t>a1a9db89-3f74-42ef-8fad-ad69705102cd</t>
        </is>
      </c>
      <c r="D5067" t="n">
        <v>55.71122</v>
      </c>
      <c r="E5067" t="n">
        <v>37.72557</v>
      </c>
      <c r="F5067" t="inlineStr"/>
      <c r="G5067" t="inlineStr"/>
      <c r="H5067" t="inlineStr"/>
    </row>
    <row r="5068">
      <c r="A5068" t="inlineStr">
        <is>
          <t>a83cfa90-53f8-44b3-9565-dfe8c2e4f4be.jpg</t>
        </is>
      </c>
      <c r="B5068">
        <f>HYPERLINK("Объекты недвижимости, не соответствующие градостроительным нормам_00-022_Август/a83cfa90-53f8-44b3-9565-dfe8c2e4f4be.jpg","open")</f>
        <v/>
      </c>
      <c r="C5068" t="inlineStr">
        <is>
          <t>cbf95b01-f708-45a3-9ec0-3603469b538e</t>
        </is>
      </c>
      <c r="D5068" t="n">
        <v>55.71122</v>
      </c>
      <c r="E5068" t="n">
        <v>37.72557</v>
      </c>
      <c r="F5068" t="inlineStr"/>
      <c r="G5068" t="inlineStr"/>
      <c r="H5068" t="inlineStr"/>
    </row>
    <row r="5069">
      <c r="A5069" t="inlineStr">
        <is>
          <t>198216d7-fceb-47b5-8e09-49dd8a7e3c43.jpg</t>
        </is>
      </c>
      <c r="B5069">
        <f>HYPERLINK("Объекты недвижимости, не соответствующие градостроительным нормам_00-022_Август/198216d7-fceb-47b5-8e09-49dd8a7e3c43.jpg","open")</f>
        <v/>
      </c>
      <c r="C5069" t="inlineStr">
        <is>
          <t>cbf95b01-f708-45a3-9ec0-3603469b538e</t>
        </is>
      </c>
      <c r="D5069" t="n">
        <v>55.71122</v>
      </c>
      <c r="E5069" t="n">
        <v>37.72557</v>
      </c>
      <c r="F5069" t="inlineStr"/>
      <c r="G5069" t="inlineStr"/>
      <c r="H5069" t="inlineStr"/>
    </row>
    <row r="5070">
      <c r="A5070" t="inlineStr">
        <is>
          <t>015abe8a-02d4-45a3-975b-b152fb6345de.jpg</t>
        </is>
      </c>
      <c r="B5070">
        <f>HYPERLINK("Объекты недвижимости, не соответствующие градостроительным нормам_00-022_Август/015abe8a-02d4-45a3-975b-b152fb6345de.jpg","open")</f>
        <v/>
      </c>
      <c r="C5070" t="inlineStr">
        <is>
          <t>a1a9db89-3f74-42ef-8fad-ad69705102cd</t>
        </is>
      </c>
      <c r="D5070" t="n">
        <v>55.71122</v>
      </c>
      <c r="E5070" t="n">
        <v>37.72557</v>
      </c>
      <c r="F5070" t="inlineStr"/>
      <c r="G5070" t="inlineStr"/>
      <c r="H5070" t="inlineStr"/>
    </row>
    <row r="5071">
      <c r="A5071" t="inlineStr">
        <is>
          <t>e90ed4df-b40b-4ac1-9264-83a14d9312ff.jpg</t>
        </is>
      </c>
      <c r="B5071">
        <f>HYPERLINK("Объекты недвижимости, не соответствующие градостроительным нормам_00-022_Август/e90ed4df-b40b-4ac1-9264-83a14d9312ff.jpg","open")</f>
        <v/>
      </c>
      <c r="C5071" t="inlineStr">
        <is>
          <t>cbf95b01-f708-45a3-9ec0-3603469b538e</t>
        </is>
      </c>
      <c r="D5071" t="n">
        <v>55.71122</v>
      </c>
      <c r="E5071" t="n">
        <v>37.72557</v>
      </c>
      <c r="F5071" t="inlineStr"/>
      <c r="G5071" t="inlineStr"/>
      <c r="H5071" t="inlineStr"/>
    </row>
    <row r="5072">
      <c r="A5072" t="inlineStr">
        <is>
          <t>307be815-3f08-4806-a533-cc65fd02315b.jpg</t>
        </is>
      </c>
      <c r="B5072">
        <f>HYPERLINK("Объекты недвижимости, не соответствующие градостроительным нормам_00-022_Август/307be815-3f08-4806-a533-cc65fd02315b.jpg","open")</f>
        <v/>
      </c>
      <c r="C5072" t="inlineStr">
        <is>
          <t>cbf95b01-f708-45a3-9ec0-3603469b538e</t>
        </is>
      </c>
      <c r="D5072" t="n">
        <v>55.71399</v>
      </c>
      <c r="E5072" t="n">
        <v>37.66695</v>
      </c>
      <c r="F5072" t="inlineStr"/>
      <c r="G5072" t="inlineStr"/>
      <c r="H5072" t="inlineStr"/>
    </row>
    <row r="5073">
      <c r="A5073" t="inlineStr">
        <is>
          <t>c1f9a7ac-fae1-4a2e-bbe6-ded8b9f5de31.jpg</t>
        </is>
      </c>
      <c r="B5073">
        <f>HYPERLINK("Объекты недвижимости, не соответствующие градостроительным нормам_00-022_Август/c1f9a7ac-fae1-4a2e-bbe6-ded8b9f5de31.jpg","open")</f>
        <v/>
      </c>
      <c r="C5073" t="inlineStr">
        <is>
          <t>cbf95b01-f708-45a3-9ec0-3603469b538e</t>
        </is>
      </c>
      <c r="D5073" t="n">
        <v>55.71423</v>
      </c>
      <c r="E5073" t="n">
        <v>37.66903</v>
      </c>
      <c r="F5073" t="inlineStr"/>
      <c r="G5073" t="inlineStr"/>
      <c r="H5073" t="inlineStr"/>
    </row>
    <row r="5074">
      <c r="A5074" t="inlineStr">
        <is>
          <t>b46ff906-5965-472f-b3d0-25b9d3f2b0f4.jpg</t>
        </is>
      </c>
      <c r="B5074">
        <f>HYPERLINK("Объекты недвижимости, не соответствующие градостроительным нормам_00-022_Август/b46ff906-5965-472f-b3d0-25b9d3f2b0f4.jpg","open")</f>
        <v/>
      </c>
      <c r="C5074" t="inlineStr">
        <is>
          <t>cbf95b01-f708-45a3-9ec0-3603469b538e</t>
        </is>
      </c>
      <c r="D5074" t="n">
        <v>55.71505</v>
      </c>
      <c r="E5074" t="n">
        <v>37.67533</v>
      </c>
      <c r="F5074" t="inlineStr"/>
      <c r="G5074" t="inlineStr"/>
      <c r="H5074" t="inlineStr"/>
    </row>
    <row r="5075">
      <c r="A5075" t="inlineStr">
        <is>
          <t>3b4a605e-7dfa-43dd-9102-9334506fa500.jpg</t>
        </is>
      </c>
      <c r="B5075">
        <f>HYPERLINK("Объекты недвижимости, не соответствующие градостроительным нормам_00-022_Август/3b4a605e-7dfa-43dd-9102-9334506fa500.jpg","open")</f>
        <v/>
      </c>
      <c r="C5075" t="inlineStr">
        <is>
          <t>cbf95b01-f708-45a3-9ec0-3603469b538e</t>
        </is>
      </c>
      <c r="D5075" t="n">
        <v>55.70909</v>
      </c>
      <c r="E5075" t="n">
        <v>37.68261</v>
      </c>
      <c r="F5075" t="inlineStr"/>
      <c r="G5075" t="inlineStr"/>
      <c r="H5075" t="inlineStr"/>
    </row>
    <row r="5076">
      <c r="A5076" t="inlineStr">
        <is>
          <t>091f313f-50c5-4d07-8277-3a180ce0c2e7.jpg</t>
        </is>
      </c>
      <c r="B5076">
        <f>HYPERLINK("Объекты недвижимости, не соответствующие градостроительным нормам_00-022_Август/091f313f-50c5-4d07-8277-3a180ce0c2e7.jpg","open")</f>
        <v/>
      </c>
      <c r="C5076" t="inlineStr">
        <is>
          <t>8cde1fd0-eca1-4510-86ab-3c743b65fdfc</t>
        </is>
      </c>
      <c r="D5076" t="n">
        <v>55.87514</v>
      </c>
      <c r="E5076" t="n">
        <v>37.46826</v>
      </c>
      <c r="F5076" t="inlineStr"/>
      <c r="G5076" t="inlineStr"/>
      <c r="H5076" t="inlineStr"/>
    </row>
    <row r="5077">
      <c r="A5077" t="inlineStr">
        <is>
          <t>10ba9875-f7b4-4aac-9553-b8178cb571b8.jpg</t>
        </is>
      </c>
      <c r="B5077">
        <f>HYPERLINK("Объекты недвижимости, не соответствующие градостроительным нормам_00-022_Август/10ba9875-f7b4-4aac-9553-b8178cb571b8.jpg","open")</f>
        <v/>
      </c>
      <c r="C5077" t="inlineStr">
        <is>
          <t>1c951e11-4940-43c6-a447-394097e5609a</t>
        </is>
      </c>
      <c r="D5077" t="n">
        <v>55.87514</v>
      </c>
      <c r="E5077" t="n">
        <v>37.46826</v>
      </c>
      <c r="F5077" t="inlineStr"/>
      <c r="G5077" t="inlineStr"/>
      <c r="H5077" t="inlineStr"/>
    </row>
    <row r="5078">
      <c r="A5078" t="inlineStr">
        <is>
          <t>e723a68c-272b-4f93-8b26-0f4ce8be84ed.jpg</t>
        </is>
      </c>
      <c r="B5078">
        <f>HYPERLINK("Объекты недвижимости, не соответствующие градостроительным нормам_00-022_Август/e723a68c-272b-4f93-8b26-0f4ce8be84ed.jpg","open")</f>
        <v/>
      </c>
      <c r="C5078" t="inlineStr">
        <is>
          <t>cbf95b01-f708-45a3-9ec0-3603469b538e</t>
        </is>
      </c>
      <c r="D5078" t="n">
        <v>55.7049</v>
      </c>
      <c r="E5078" t="n">
        <v>37.67261</v>
      </c>
      <c r="F5078" t="inlineStr"/>
      <c r="G5078" t="inlineStr"/>
      <c r="H5078" t="inlineStr"/>
    </row>
    <row r="5079">
      <c r="A5079" t="inlineStr">
        <is>
          <t>0dac7d25-27a0-4cf8-acaf-099af3172a91.jpg</t>
        </is>
      </c>
      <c r="B5079">
        <f>HYPERLINK("Объекты недвижимости, не соответствующие градостроительным нормам_00-022_Август/0dac7d25-27a0-4cf8-acaf-099af3172a91.jpg","open")</f>
        <v/>
      </c>
      <c r="C5079" t="inlineStr">
        <is>
          <t>a1a9db89-3f74-42ef-8fad-ad69705102cd</t>
        </is>
      </c>
      <c r="D5079" t="n">
        <v>55.70492</v>
      </c>
      <c r="E5079" t="n">
        <v>37.67249</v>
      </c>
      <c r="F5079" t="inlineStr"/>
      <c r="G5079" t="inlineStr"/>
      <c r="H5079" t="inlineStr"/>
    </row>
    <row r="5080">
      <c r="A5080" t="inlineStr">
        <is>
          <t>48a15ec4-cff0-4161-8f35-eca797e2b989.jpg</t>
        </is>
      </c>
      <c r="B5080">
        <f>HYPERLINK("Объекты недвижимости, не соответствующие градостроительным нормам_00-022_Август/48a15ec4-cff0-4161-8f35-eca797e2b989.jpg","open")</f>
        <v/>
      </c>
      <c r="C5080" t="inlineStr">
        <is>
          <t>a1a9db89-3f74-42ef-8fad-ad69705102cd</t>
        </is>
      </c>
      <c r="D5080" t="n">
        <v>55.70498</v>
      </c>
      <c r="E5080" t="n">
        <v>37.67255</v>
      </c>
      <c r="F5080" t="inlineStr"/>
      <c r="G5080" t="inlineStr"/>
      <c r="H5080" t="inlineStr"/>
    </row>
    <row r="5081">
      <c r="A5081" t="inlineStr">
        <is>
          <t>266647df-43f1-4be9-812c-fdd4708f09c1.jpg</t>
        </is>
      </c>
      <c r="B5081">
        <f>HYPERLINK("Объекты недвижимости, не соответствующие градостроительным нормам_00-022_Август/266647df-43f1-4be9-812c-fdd4708f09c1.jpg","open")</f>
        <v/>
      </c>
      <c r="C5081" t="inlineStr">
        <is>
          <t>cbf95b01-f708-45a3-9ec0-3603469b538e</t>
        </is>
      </c>
      <c r="D5081" t="n">
        <v>55.70499</v>
      </c>
      <c r="E5081" t="n">
        <v>37.67258</v>
      </c>
      <c r="F5081" t="inlineStr"/>
      <c r="G5081" t="inlineStr"/>
      <c r="H5081" t="inlineStr"/>
    </row>
    <row r="5082">
      <c r="A5082" t="inlineStr">
        <is>
          <t>07b7197b-294f-4a29-979a-5b65a0dfc16a.jpg</t>
        </is>
      </c>
      <c r="B5082">
        <f>HYPERLINK("Объекты недвижимости, не соответствующие градостроительным нормам_00-022_Август/07b7197b-294f-4a29-979a-5b65a0dfc16a.jpg","open")</f>
        <v/>
      </c>
      <c r="C5082" t="inlineStr">
        <is>
          <t>cbf95b01-f708-45a3-9ec0-3603469b538e</t>
        </is>
      </c>
      <c r="D5082" t="n">
        <v>55.70512</v>
      </c>
      <c r="E5082" t="n">
        <v>37.67231</v>
      </c>
      <c r="F5082" t="inlineStr"/>
      <c r="G5082" t="inlineStr"/>
      <c r="H5082" t="inlineStr"/>
    </row>
    <row r="5083">
      <c r="A5083" t="inlineStr">
        <is>
          <t>4ff52c47-6a4a-4eed-8a6f-3e4beab555d5.jpg</t>
        </is>
      </c>
      <c r="B5083">
        <f>HYPERLINK("Объекты недвижимости, не соответствующие градостроительным нормам_00-022_Август/4ff52c47-6a4a-4eed-8a6f-3e4beab555d5.jpg","open")</f>
        <v/>
      </c>
      <c r="C5083" t="inlineStr">
        <is>
          <t>cbf95b01-f708-45a3-9ec0-3603469b538e</t>
        </is>
      </c>
      <c r="D5083" t="n">
        <v>55.70519</v>
      </c>
      <c r="E5083" t="n">
        <v>37.66935</v>
      </c>
      <c r="F5083" t="inlineStr"/>
      <c r="G5083" t="inlineStr"/>
      <c r="H5083" t="inlineStr"/>
    </row>
    <row r="5084">
      <c r="A5084" t="inlineStr">
        <is>
          <t>e3fccc13-4e96-49cc-a98c-7771c46f5abe.jpg</t>
        </is>
      </c>
      <c r="B5084">
        <f>HYPERLINK("Объекты недвижимости, не соответствующие градостроительным нормам_00-022_Август/e3fccc13-4e96-49cc-a98c-7771c46f5abe.jpg","open")</f>
        <v/>
      </c>
      <c r="C5084" t="inlineStr">
        <is>
          <t>cbf95b01-f708-45a3-9ec0-3603469b538e</t>
        </is>
      </c>
      <c r="D5084" t="n">
        <v>55.7052</v>
      </c>
      <c r="E5084" t="n">
        <v>37.66909</v>
      </c>
      <c r="F5084" t="inlineStr"/>
      <c r="G5084" t="inlineStr"/>
      <c r="H5084" t="inlineStr"/>
    </row>
    <row r="5085">
      <c r="A5085" t="inlineStr">
        <is>
          <t>4687ba5f-a98c-4181-83f3-936059c981ba.jpg</t>
        </is>
      </c>
      <c r="B5085">
        <f>HYPERLINK("Объекты недвижимости, не соответствующие градостроительным нормам_00-022_Август/4687ba5f-a98c-4181-83f3-936059c981ba.jpg","open")</f>
        <v/>
      </c>
      <c r="C5085" t="inlineStr">
        <is>
          <t>cbf95b01-f708-45a3-9ec0-3603469b538e</t>
        </is>
      </c>
      <c r="D5085" t="n">
        <v>55.7052</v>
      </c>
      <c r="E5085" t="n">
        <v>37.66885</v>
      </c>
      <c r="F5085" t="inlineStr"/>
      <c r="G5085" t="inlineStr"/>
      <c r="H5085" t="inlineStr"/>
    </row>
    <row r="5086">
      <c r="A5086" t="inlineStr">
        <is>
          <t>3993e410-9f83-4573-9062-25d92ad20405.jpg</t>
        </is>
      </c>
      <c r="B5086">
        <f>HYPERLINK("Объекты недвижимости, не соответствующие градостроительным нормам_00-022_Август/3993e410-9f83-4573-9062-25d92ad20405.jpg","open")</f>
        <v/>
      </c>
      <c r="C5086" t="inlineStr">
        <is>
          <t>cbf95b01-f708-45a3-9ec0-3603469b538e</t>
        </is>
      </c>
      <c r="D5086" t="n">
        <v>55.7062</v>
      </c>
      <c r="E5086" t="n">
        <v>37.66822</v>
      </c>
      <c r="F5086" t="inlineStr"/>
      <c r="G5086" t="inlineStr"/>
      <c r="H5086" t="inlineStr"/>
    </row>
    <row r="5087">
      <c r="A5087" t="inlineStr">
        <is>
          <t>ccf1116f-c7b8-4412-80b7-58ca408dd363.jpg</t>
        </is>
      </c>
      <c r="B5087">
        <f>HYPERLINK("Объекты недвижимости, не соответствующие градостроительным нормам_00-022_Август/ccf1116f-c7b8-4412-80b7-58ca408dd363.jpg","open")</f>
        <v/>
      </c>
      <c r="C5087" t="inlineStr">
        <is>
          <t>cbf95b01-f708-45a3-9ec0-3603469b538e</t>
        </is>
      </c>
      <c r="D5087" t="n">
        <v>55.70783</v>
      </c>
      <c r="E5087" t="n">
        <v>37.66834</v>
      </c>
      <c r="F5087" t="inlineStr"/>
      <c r="G5087" t="inlineStr"/>
      <c r="H5087" t="inlineStr"/>
    </row>
    <row r="5088">
      <c r="A5088" t="inlineStr">
        <is>
          <t>fa12a9f4-5bc7-4596-951b-69f23dff8f12.jpg</t>
        </is>
      </c>
      <c r="B5088">
        <f>HYPERLINK("Объекты недвижимости, не соответствующие градостроительным нормам_00-022_Август/fa12a9f4-5bc7-4596-951b-69f23dff8f12.jpg","open")</f>
        <v/>
      </c>
      <c r="C5088" t="inlineStr">
        <is>
          <t>cbf95b01-f708-45a3-9ec0-3603469b538e</t>
        </is>
      </c>
      <c r="D5088" t="n">
        <v>55.71694</v>
      </c>
      <c r="E5088" t="n">
        <v>37.6899</v>
      </c>
      <c r="F5088" t="inlineStr"/>
      <c r="G5088" t="inlineStr"/>
      <c r="H5088" t="inlineStr"/>
    </row>
    <row r="5089">
      <c r="A5089" t="inlineStr">
        <is>
          <t>0b05c1b8-f90f-4fd3-9eb8-2ad2a8f40a9d.jpg</t>
        </is>
      </c>
      <c r="B5089">
        <f>HYPERLINK("Объекты недвижимости, не соответствующие градостроительным нормам_00-022_Август/0b05c1b8-f90f-4fd3-9eb8-2ad2a8f40a9d.jpg","open")</f>
        <v/>
      </c>
      <c r="C5089" t="inlineStr">
        <is>
          <t>cbf95b01-f708-45a3-9ec0-3603469b538e</t>
        </is>
      </c>
      <c r="D5089" t="n">
        <v>55.71694</v>
      </c>
      <c r="E5089" t="n">
        <v>37.6899</v>
      </c>
      <c r="F5089" t="inlineStr"/>
      <c r="G5089" t="inlineStr"/>
      <c r="H5089" t="inlineStr"/>
    </row>
    <row r="5090">
      <c r="A5090" t="inlineStr">
        <is>
          <t>70ef42f9-0d61-413e-80ba-ee2898fae143.jpg</t>
        </is>
      </c>
      <c r="B5090">
        <f>HYPERLINK("Объекты недвижимости, не соответствующие градостроительным нормам_00-022_Август/70ef42f9-0d61-413e-80ba-ee2898fae143.jpg","open")</f>
        <v/>
      </c>
      <c r="C5090" t="inlineStr">
        <is>
          <t>cbf95b01-f708-45a3-9ec0-3603469b538e</t>
        </is>
      </c>
      <c r="D5090" t="n">
        <v>55.71644</v>
      </c>
      <c r="E5090" t="n">
        <v>37.70882</v>
      </c>
      <c r="F5090" t="inlineStr"/>
      <c r="G5090" t="inlineStr"/>
      <c r="H5090" t="inlineStr"/>
    </row>
    <row r="5091">
      <c r="A5091" t="inlineStr">
        <is>
          <t>a0744044-6d28-4a34-b713-235ea8ae79d2.jpg</t>
        </is>
      </c>
      <c r="B5091">
        <f>HYPERLINK("Объекты недвижимости, не соответствующие градостроительным нормам_00-022_Август/a0744044-6d28-4a34-b713-235ea8ae79d2.jpg","open")</f>
        <v/>
      </c>
      <c r="C5091" t="inlineStr">
        <is>
          <t>a1a9db89-3f74-42ef-8fad-ad69705102cd</t>
        </is>
      </c>
      <c r="D5091" t="n">
        <v>55.70445</v>
      </c>
      <c r="E5091" t="n">
        <v>37.73162</v>
      </c>
      <c r="F5091" t="inlineStr"/>
      <c r="G5091" t="inlineStr"/>
      <c r="H5091" t="inlineStr"/>
    </row>
    <row r="5092">
      <c r="A5092" t="inlineStr">
        <is>
          <t>3370416a-75b9-4b59-92d6-40873cf5239a.jpg</t>
        </is>
      </c>
      <c r="B5092">
        <f>HYPERLINK("Объекты недвижимости, не соответствующие градостроительным нормам_00-022_Август/3370416a-75b9-4b59-92d6-40873cf5239a.jpg","open")</f>
        <v/>
      </c>
      <c r="C5092" t="inlineStr">
        <is>
          <t>cbf95b01-f708-45a3-9ec0-3603469b538e</t>
        </is>
      </c>
      <c r="D5092" t="n">
        <v>55.70063</v>
      </c>
      <c r="E5092" t="n">
        <v>37.73259</v>
      </c>
      <c r="F5092" t="inlineStr"/>
      <c r="G5092" t="inlineStr"/>
      <c r="H5092" t="inlineStr"/>
    </row>
    <row r="5093">
      <c r="A5093" t="inlineStr">
        <is>
          <t>0bb386d1-3fd1-43ca-a7de-62f5033e33de.jpg</t>
        </is>
      </c>
      <c r="B5093">
        <f>HYPERLINK("Объекты недвижимости, не соответствующие градостроительным нормам_00-022_Август/0bb386d1-3fd1-43ca-a7de-62f5033e33de.jpg","open")</f>
        <v/>
      </c>
      <c r="C5093" t="inlineStr">
        <is>
          <t>cbf95b01-f708-45a3-9ec0-3603469b538e</t>
        </is>
      </c>
      <c r="D5093" t="n">
        <v>55.69989</v>
      </c>
      <c r="E5093" t="n">
        <v>37.73278</v>
      </c>
      <c r="F5093" t="inlineStr"/>
      <c r="G5093" t="inlineStr"/>
      <c r="H5093" t="inlineStr"/>
    </row>
    <row r="5094">
      <c r="A5094" t="inlineStr">
        <is>
          <t>973b4525-0f7c-440e-bc02-d40524bc3901.jpg</t>
        </is>
      </c>
      <c r="B5094">
        <f>HYPERLINK("Объекты недвижимости, не соответствующие градостроительным нормам_00-022_Август/973b4525-0f7c-440e-bc02-d40524bc3901.jpg","open")</f>
        <v/>
      </c>
      <c r="C5094" t="inlineStr">
        <is>
          <t>cbf95b01-f708-45a3-9ec0-3603469b538e</t>
        </is>
      </c>
      <c r="D5094" t="n">
        <v>55.69989</v>
      </c>
      <c r="E5094" t="n">
        <v>37.73278</v>
      </c>
      <c r="F5094" t="inlineStr"/>
      <c r="G5094" t="inlineStr"/>
      <c r="H5094" t="inlineStr"/>
    </row>
    <row r="5095">
      <c r="A5095" t="inlineStr">
        <is>
          <t>07d5d4ed-5221-4dc0-a377-69a21ef27ed1.jpg</t>
        </is>
      </c>
      <c r="B5095">
        <f>HYPERLINK("Объекты недвижимости, не соответствующие градостроительным нормам_00-022_Август/07d5d4ed-5221-4dc0-a377-69a21ef27ed1.jpg","open")</f>
        <v/>
      </c>
      <c r="C5095" t="inlineStr">
        <is>
          <t>cbf95b01-f708-45a3-9ec0-3603469b538e</t>
        </is>
      </c>
      <c r="D5095" t="n">
        <v>55.69396</v>
      </c>
      <c r="E5095" t="n">
        <v>37.73453</v>
      </c>
      <c r="F5095" t="inlineStr"/>
      <c r="G5095" t="inlineStr"/>
      <c r="H5095" t="inlineStr"/>
    </row>
    <row r="5096">
      <c r="A5096" t="inlineStr">
        <is>
          <t>59d1fef7-c518-4093-9683-eff79c050fae.jpg</t>
        </is>
      </c>
      <c r="B5096">
        <f>HYPERLINK("Объекты недвижимости, не соответствующие градостроительным нормам_00-022_Август/59d1fef7-c518-4093-9683-eff79c050fae.jpg","open")</f>
        <v/>
      </c>
      <c r="C5096" t="inlineStr">
        <is>
          <t>1c951e11-4940-43c6-a447-394097e5609a</t>
        </is>
      </c>
      <c r="D5096" t="n">
        <v>55.87675</v>
      </c>
      <c r="E5096" t="n">
        <v>37.44815</v>
      </c>
      <c r="F5096" t="inlineStr"/>
      <c r="G5096" t="inlineStr"/>
      <c r="H5096" t="inlineStr"/>
    </row>
    <row r="5097">
      <c r="A5097" t="inlineStr">
        <is>
          <t>d2e1fc79-9b39-4180-b33d-e9c8eb6332bd.jpg</t>
        </is>
      </c>
      <c r="B5097">
        <f>HYPERLINK("Объекты недвижимости, не соответствующие градостроительным нормам_00-022_Август/d2e1fc79-9b39-4180-b33d-e9c8eb6332bd.jpg","open")</f>
        <v/>
      </c>
      <c r="C5097" t="inlineStr">
        <is>
          <t>cbf95b01-f708-45a3-9ec0-3603469b538e</t>
        </is>
      </c>
      <c r="D5097" t="n">
        <v>55.6808</v>
      </c>
      <c r="E5097" t="n">
        <v>37.73838</v>
      </c>
      <c r="F5097" t="inlineStr"/>
      <c r="G5097" t="inlineStr"/>
      <c r="H5097" t="inlineStr"/>
    </row>
    <row r="5098">
      <c r="A5098" t="inlineStr">
        <is>
          <t>cb0c32b3-fe86-418b-b6f2-2dfa46a4d02a.jpg</t>
        </is>
      </c>
      <c r="B5098">
        <f>HYPERLINK("Объекты недвижимости, не соответствующие градостроительным нормам_00-022_Август/cb0c32b3-fe86-418b-b6f2-2dfa46a4d02a.jpg","open")</f>
        <v/>
      </c>
      <c r="C5098" t="inlineStr">
        <is>
          <t>cbf95b01-f708-45a3-9ec0-3603469b538e</t>
        </is>
      </c>
      <c r="D5098" t="n">
        <v>55.67504</v>
      </c>
      <c r="E5098" t="n">
        <v>37.73938</v>
      </c>
      <c r="F5098" t="inlineStr"/>
      <c r="G5098" t="inlineStr"/>
      <c r="H5098" t="inlineStr"/>
    </row>
    <row r="5099">
      <c r="A5099" t="inlineStr">
        <is>
          <t>49bbc988-c51d-47a6-b383-56ac24e45cd3.jpg</t>
        </is>
      </c>
      <c r="B5099">
        <f>HYPERLINK("Объекты недвижимости, не соответствующие градостроительным нормам_00-022_Август/49bbc988-c51d-47a6-b383-56ac24e45cd3.jpg","open")</f>
        <v/>
      </c>
      <c r="C5099" t="inlineStr">
        <is>
          <t>cbf95b01-f708-45a3-9ec0-3603469b538e</t>
        </is>
      </c>
      <c r="D5099" t="n">
        <v>55.67223</v>
      </c>
      <c r="E5099" t="n">
        <v>37.74013</v>
      </c>
      <c r="F5099" t="inlineStr"/>
      <c r="G5099" t="inlineStr"/>
      <c r="H5099" t="inlineStr"/>
    </row>
    <row r="5100">
      <c r="A5100" t="inlineStr">
        <is>
          <t>2a2e15a9-aaf1-4b4f-8b5f-a206a14bd460.jpg</t>
        </is>
      </c>
      <c r="B5100">
        <f>HYPERLINK("Объекты недвижимости, не соответствующие градостроительным нормам_00-022_Август/2a2e15a9-aaf1-4b4f-8b5f-a206a14bd460.jpg","open")</f>
        <v/>
      </c>
      <c r="C5100" t="inlineStr">
        <is>
          <t>48b533d5-d106-4175-ac9b-d5ce8d90cccf</t>
        </is>
      </c>
      <c r="D5100" t="n">
        <v>55.97529</v>
      </c>
      <c r="E5100" t="n">
        <v>37.17226</v>
      </c>
      <c r="F5100" t="inlineStr"/>
      <c r="G5100" t="inlineStr"/>
      <c r="H5100" t="inlineStr"/>
    </row>
    <row r="5101">
      <c r="A5101" t="inlineStr">
        <is>
          <t>4b28d35b-c2f6-4b01-90c3-5acd915d393b.jpg</t>
        </is>
      </c>
      <c r="B5101">
        <f>HYPERLINK("Объекты недвижимости, не соответствующие градостроительным нормам_00-022_Август/4b28d35b-c2f6-4b01-90c3-5acd915d393b.jpg","open")</f>
        <v/>
      </c>
      <c r="C5101" t="inlineStr">
        <is>
          <t>f6f80c84-5569-48fd-b627-6f41ce4c61c4</t>
        </is>
      </c>
      <c r="D5101" t="n">
        <v>55.65755</v>
      </c>
      <c r="E5101" t="n">
        <v>37.71409</v>
      </c>
      <c r="F5101" t="inlineStr"/>
      <c r="G5101" t="inlineStr"/>
      <c r="H5101" t="inlineStr"/>
    </row>
    <row r="5102">
      <c r="A5102" t="inlineStr">
        <is>
          <t>88746a29-3709-4000-bbf0-9bf44685d03b.jpg</t>
        </is>
      </c>
      <c r="B5102">
        <f>HYPERLINK("Объекты недвижимости, не соответствующие градостроительным нормам_00-022_Август/88746a29-3709-4000-bbf0-9bf44685d03b.jpg","open")</f>
        <v/>
      </c>
      <c r="C5102" t="inlineStr">
        <is>
          <t>cbf95b01-f708-45a3-9ec0-3603469b538e</t>
        </is>
      </c>
      <c r="D5102" t="n">
        <v>55.67286</v>
      </c>
      <c r="E5102" t="n">
        <v>37.74651</v>
      </c>
      <c r="F5102" t="inlineStr"/>
      <c r="G5102" t="inlineStr"/>
      <c r="H5102" t="inlineStr"/>
    </row>
    <row r="5103">
      <c r="A5103" t="inlineStr">
        <is>
          <t>a7bfbbb3-b2cf-4956-b9bc-b88e5b8649b9.jpg</t>
        </is>
      </c>
      <c r="B5103">
        <f>HYPERLINK("Объекты недвижимости, не соответствующие градостроительным нормам_00-022_Август/a7bfbbb3-b2cf-4956-b9bc-b88e5b8649b9.jpg","open")</f>
        <v/>
      </c>
      <c r="C5103" t="inlineStr">
        <is>
          <t>cbf95b01-f708-45a3-9ec0-3603469b538e</t>
        </is>
      </c>
      <c r="D5103" t="n">
        <v>55.67775</v>
      </c>
      <c r="E5103" t="n">
        <v>37.74564</v>
      </c>
      <c r="F5103" t="inlineStr"/>
      <c r="G5103" t="inlineStr"/>
      <c r="H5103" t="inlineStr"/>
    </row>
    <row r="5104">
      <c r="A5104" t="inlineStr">
        <is>
          <t>2eca4d18-2418-4a25-8064-99615d761d28.jpg</t>
        </is>
      </c>
      <c r="B5104">
        <f>HYPERLINK("Объекты недвижимости, не соответствующие градостроительным нормам_00-022_Август/2eca4d18-2418-4a25-8064-99615d761d28.jpg","open")</f>
        <v/>
      </c>
      <c r="C5104" t="inlineStr">
        <is>
          <t>cbf95b01-f708-45a3-9ec0-3603469b538e</t>
        </is>
      </c>
      <c r="D5104" t="n">
        <v>55.73418</v>
      </c>
      <c r="E5104" t="n">
        <v>37.70932</v>
      </c>
      <c r="F5104" t="inlineStr"/>
      <c r="G5104" t="inlineStr"/>
      <c r="H5104" t="inlineStr"/>
    </row>
    <row r="5105">
      <c r="A5105" t="inlineStr">
        <is>
          <t>f2eff9f2-8c4f-4fbb-bab8-f0105a6fef0e.jpg</t>
        </is>
      </c>
      <c r="B5105">
        <f>HYPERLINK("Объекты недвижимости, не соответствующие градостроительным нормам_00-022_Август/f2eff9f2-8c4f-4fbb-bab8-f0105a6fef0e.jpg","open")</f>
        <v/>
      </c>
      <c r="C5105" t="inlineStr">
        <is>
          <t>cbf95b01-f708-45a3-9ec0-3603469b538e</t>
        </is>
      </c>
      <c r="D5105" t="n">
        <v>55.73472</v>
      </c>
      <c r="E5105" t="n">
        <v>37.70715</v>
      </c>
      <c r="F5105" t="inlineStr"/>
      <c r="G5105" t="inlineStr"/>
      <c r="H5105" t="inlineStr"/>
    </row>
    <row r="5106">
      <c r="A5106" t="inlineStr">
        <is>
          <t>c64cdc15-206a-4872-a3af-dc61426dc20a.jpg</t>
        </is>
      </c>
      <c r="B5106">
        <f>HYPERLINK("Объекты недвижимости, не соответствующие градостроительным нормам_00-022_Август/c64cdc15-206a-4872-a3af-dc61426dc20a.jpg","open")</f>
        <v/>
      </c>
      <c r="C5106" t="inlineStr">
        <is>
          <t>cbf95b01-f708-45a3-9ec0-3603469b538e</t>
        </is>
      </c>
      <c r="D5106" t="n">
        <v>55.73479</v>
      </c>
      <c r="E5106" t="n">
        <v>37.70686</v>
      </c>
      <c r="F5106" t="inlineStr"/>
      <c r="G5106" t="inlineStr"/>
      <c r="H5106" t="inlineStr"/>
    </row>
    <row r="5107">
      <c r="A5107" t="inlineStr">
        <is>
          <t>06490de2-760b-41af-bc99-3bfd699c9699.jpg</t>
        </is>
      </c>
      <c r="B5107">
        <f>HYPERLINK("Объекты недвижимости, не соответствующие градостроительным нормам_00-022_Август/06490de2-760b-41af-bc99-3bfd699c9699.jpg","open")</f>
        <v/>
      </c>
      <c r="C5107" t="inlineStr">
        <is>
          <t>f6f80c84-5569-48fd-b627-6f41ce4c61c4</t>
        </is>
      </c>
      <c r="D5107" t="n">
        <v>55.64902</v>
      </c>
      <c r="E5107" t="n">
        <v>37.70488</v>
      </c>
      <c r="F5107" t="inlineStr"/>
      <c r="G5107" t="inlineStr"/>
      <c r="H5107" t="inlineStr"/>
    </row>
    <row r="5108">
      <c r="A5108" t="inlineStr">
        <is>
          <t>f3395d12-7158-4b61-a698-446c3d151e87.jpg</t>
        </is>
      </c>
      <c r="B5108">
        <f>HYPERLINK("Объекты недвижимости, не соответствующие градостроительным нормам_00-022_Август/f3395d12-7158-4b61-a698-446c3d151e87.jpg","open")</f>
        <v/>
      </c>
      <c r="C5108" t="inlineStr">
        <is>
          <t>caa4772d-6278-4484-a046-ee25514bf521</t>
        </is>
      </c>
      <c r="D5108" t="n">
        <v>55.64922</v>
      </c>
      <c r="E5108" t="n">
        <v>37.70506</v>
      </c>
      <c r="F5108" t="inlineStr"/>
      <c r="G5108" t="inlineStr"/>
      <c r="H5108" t="inlineStr"/>
    </row>
    <row r="5109">
      <c r="A5109" t="inlineStr">
        <is>
          <t>5ef0c669-7d75-4129-8683-ce397acf0917.jpg</t>
        </is>
      </c>
      <c r="B5109">
        <f>HYPERLINK("Объекты недвижимости, не соответствующие градостроительным нормам_00-022_Август/5ef0c669-7d75-4129-8683-ce397acf0917.jpg","open")</f>
        <v/>
      </c>
      <c r="C5109" t="inlineStr">
        <is>
          <t>cbf95b01-f708-45a3-9ec0-3603469b538e</t>
        </is>
      </c>
      <c r="D5109" t="n">
        <v>55.73494</v>
      </c>
      <c r="E5109" t="n">
        <v>37.7062</v>
      </c>
      <c r="F5109" t="inlineStr"/>
      <c r="G5109" t="inlineStr"/>
      <c r="H5109" t="inlineStr"/>
    </row>
    <row r="5110">
      <c r="A5110" t="inlineStr">
        <is>
          <t>0763ceea-ec96-4357-a1ae-f3c1947704d9.jpg</t>
        </is>
      </c>
      <c r="B5110">
        <f>HYPERLINK("Объекты недвижимости, не соответствующие градостроительным нормам_00-022_Август/0763ceea-ec96-4357-a1ae-f3c1947704d9.jpg","open")</f>
        <v/>
      </c>
      <c r="C5110" t="inlineStr">
        <is>
          <t>cbf95b01-f708-45a3-9ec0-3603469b538e</t>
        </is>
      </c>
      <c r="D5110" t="n">
        <v>55.73513</v>
      </c>
      <c r="E5110" t="n">
        <v>37.70549</v>
      </c>
      <c r="F5110" t="inlineStr"/>
      <c r="G5110" t="inlineStr"/>
      <c r="H5110" t="inlineStr"/>
    </row>
    <row r="5111">
      <c r="A5111" t="inlineStr">
        <is>
          <t>e5106980-5736-4a31-a665-64e806c3b2b0.jpg</t>
        </is>
      </c>
      <c r="B5111">
        <f>HYPERLINK("Объекты недвижимости, не соответствующие градостроительным нормам_00-022_Август/e5106980-5736-4a31-a665-64e806c3b2b0.jpg","open")</f>
        <v/>
      </c>
      <c r="C5111" t="inlineStr">
        <is>
          <t>cbf95b01-f708-45a3-9ec0-3603469b538e</t>
        </is>
      </c>
      <c r="D5111" t="n">
        <v>55.73522</v>
      </c>
      <c r="E5111" t="n">
        <v>37.70517</v>
      </c>
      <c r="F5111" t="inlineStr"/>
      <c r="G5111" t="inlineStr"/>
      <c r="H5111" t="inlineStr"/>
    </row>
    <row r="5112">
      <c r="A5112" t="inlineStr">
        <is>
          <t>52d7ca8b-0245-4a97-bcb3-c5abe8aefb22.jpg</t>
        </is>
      </c>
      <c r="B5112">
        <f>HYPERLINK("Объекты недвижимости, не соответствующие градостроительным нормам_00-022_Август/52d7ca8b-0245-4a97-bcb3-c5abe8aefb22.jpg","open")</f>
        <v/>
      </c>
      <c r="C5112" t="inlineStr">
        <is>
          <t>cbf95b01-f708-45a3-9ec0-3603469b538e</t>
        </is>
      </c>
      <c r="D5112" t="n">
        <v>55.73542</v>
      </c>
      <c r="E5112" t="n">
        <v>37.70457</v>
      </c>
      <c r="F5112" t="inlineStr"/>
      <c r="G5112" t="inlineStr"/>
      <c r="H5112" t="inlineStr"/>
    </row>
    <row r="5113">
      <c r="A5113" t="inlineStr">
        <is>
          <t>e4ca5a27-55a1-48a1-948f-ee802d7ee9e3.jpg</t>
        </is>
      </c>
      <c r="B5113">
        <f>HYPERLINK("Объекты недвижимости, не соответствующие градостроительным нормам_00-022_Август/e4ca5a27-55a1-48a1-948f-ee802d7ee9e3.jpg","open")</f>
        <v/>
      </c>
      <c r="C5113" t="inlineStr">
        <is>
          <t>cbf95b01-f708-45a3-9ec0-3603469b538e</t>
        </is>
      </c>
      <c r="D5113" t="n">
        <v>55.74425</v>
      </c>
      <c r="E5113" t="n">
        <v>37.63005</v>
      </c>
      <c r="F5113" t="inlineStr"/>
      <c r="G5113" t="inlineStr"/>
      <c r="H5113" t="inlineStr"/>
    </row>
    <row r="5114">
      <c r="A5114" t="inlineStr">
        <is>
          <t>fc7cc811-aa55-45ea-b44f-a9edb835fb3d.jpg</t>
        </is>
      </c>
      <c r="B5114">
        <f>HYPERLINK("Объекты недвижимости, не соответствующие градостроительным нормам_00-022_Август/fc7cc811-aa55-45ea-b44f-a9edb835fb3d.jpg","open")</f>
        <v/>
      </c>
      <c r="C5114" t="inlineStr">
        <is>
          <t>cbf95b01-f708-45a3-9ec0-3603469b538e</t>
        </is>
      </c>
      <c r="D5114" t="n">
        <v>55.74426</v>
      </c>
      <c r="E5114" t="n">
        <v>37.6291</v>
      </c>
      <c r="F5114" t="inlineStr"/>
      <c r="G5114" t="inlineStr"/>
      <c r="H5114" t="inlineStr"/>
    </row>
    <row r="5115">
      <c r="A5115" t="inlineStr">
        <is>
          <t>819a6808-30d2-4438-bbf2-d7ef6426be4d.jpg</t>
        </is>
      </c>
      <c r="B5115">
        <f>HYPERLINK("Объекты недвижимости, не соответствующие градостроительным нормам_00-022_Август/819a6808-30d2-4438-bbf2-d7ef6426be4d.jpg","open")</f>
        <v/>
      </c>
      <c r="C5115" t="inlineStr">
        <is>
          <t>a1a9db89-3f74-42ef-8fad-ad69705102cd</t>
        </is>
      </c>
      <c r="D5115" t="n">
        <v>55.74426</v>
      </c>
      <c r="E5115" t="n">
        <v>37.6291</v>
      </c>
      <c r="F5115" t="inlineStr"/>
      <c r="G5115" t="inlineStr"/>
      <c r="H5115" t="inlineStr"/>
    </row>
    <row r="5116">
      <c r="A5116" t="inlineStr">
        <is>
          <t>8f1d1a3c-a89c-49e0-96db-236f801a22a4.jpg</t>
        </is>
      </c>
      <c r="B5116">
        <f>HYPERLINK("Объекты недвижимости, не соответствующие градостроительным нормам_00-022_Август/8f1d1a3c-a89c-49e0-96db-236f801a22a4.jpg","open")</f>
        <v/>
      </c>
      <c r="C5116" t="inlineStr">
        <is>
          <t>cbf95b01-f708-45a3-9ec0-3603469b538e</t>
        </is>
      </c>
      <c r="D5116" t="n">
        <v>55.74426</v>
      </c>
      <c r="E5116" t="n">
        <v>37.6291</v>
      </c>
      <c r="F5116" t="inlineStr"/>
      <c r="G5116" t="inlineStr"/>
      <c r="H5116" t="inlineStr"/>
    </row>
    <row r="5117">
      <c r="A5117" t="inlineStr">
        <is>
          <t>2bd857fc-a8aa-4620-a607-01fe5ea89c9c.jpg</t>
        </is>
      </c>
      <c r="B5117">
        <f>HYPERLINK("Объекты недвижимости, не соответствующие градостроительным нормам_00-022_Август/2bd857fc-a8aa-4620-a607-01fe5ea89c9c.jpg","open")</f>
        <v/>
      </c>
      <c r="C5117" t="inlineStr">
        <is>
          <t>cbf95b01-f708-45a3-9ec0-3603469b538e</t>
        </is>
      </c>
      <c r="D5117" t="n">
        <v>55.76288</v>
      </c>
      <c r="E5117" t="n">
        <v>37.70822</v>
      </c>
      <c r="F5117" t="inlineStr"/>
      <c r="G5117" t="inlineStr"/>
      <c r="H5117" t="inlineStr"/>
    </row>
    <row r="5118">
      <c r="A5118" t="inlineStr">
        <is>
          <t>5191296c-a23e-4769-96b8-ed268ef6c7ab.jpg</t>
        </is>
      </c>
      <c r="B5118">
        <f>HYPERLINK("Объекты недвижимости, не соответствующие градостроительным нормам_00-022_Август/5191296c-a23e-4769-96b8-ed268ef6c7ab.jpg","open")</f>
        <v/>
      </c>
      <c r="C5118" t="inlineStr">
        <is>
          <t>cbf95b01-f708-45a3-9ec0-3603469b538e</t>
        </is>
      </c>
      <c r="D5118" t="n">
        <v>55.76313</v>
      </c>
      <c r="E5118" t="n">
        <v>37.70851</v>
      </c>
      <c r="F5118" t="inlineStr"/>
      <c r="G5118" t="inlineStr"/>
      <c r="H5118" t="inlineStr"/>
    </row>
    <row r="5119">
      <c r="A5119" t="inlineStr">
        <is>
          <t>8c99a85d-d448-46c9-aaa4-1a2dd5e0f2d1.jpg</t>
        </is>
      </c>
      <c r="B5119">
        <f>HYPERLINK("Объекты недвижимости, не соответствующие градостроительным нормам_00-022_Август/8c99a85d-d448-46c9-aaa4-1a2dd5e0f2d1.jpg","open")</f>
        <v/>
      </c>
      <c r="C5119" t="inlineStr">
        <is>
          <t>a1a9db89-3f74-42ef-8fad-ad69705102cd</t>
        </is>
      </c>
      <c r="D5119" t="n">
        <v>55.76317</v>
      </c>
      <c r="E5119" t="n">
        <v>37.70884</v>
      </c>
      <c r="F5119" t="inlineStr"/>
      <c r="G5119" t="inlineStr"/>
      <c r="H5119" t="inlineStr"/>
    </row>
    <row r="5120">
      <c r="A5120" t="inlineStr">
        <is>
          <t>5aa5abb7-d161-45ea-8318-341033936c44.jpg</t>
        </is>
      </c>
      <c r="B5120">
        <f>HYPERLINK("Объекты недвижимости, не соответствующие градостроительным нормам_00-022_Август/5aa5abb7-d161-45ea-8318-341033936c44.jpg","open")</f>
        <v/>
      </c>
      <c r="C5120" t="inlineStr">
        <is>
          <t>a1a9db89-3f74-42ef-8fad-ad69705102cd</t>
        </is>
      </c>
      <c r="D5120" t="n">
        <v>55.76318</v>
      </c>
      <c r="E5120" t="n">
        <v>37.70892</v>
      </c>
      <c r="F5120" t="inlineStr"/>
      <c r="G5120" t="inlineStr"/>
      <c r="H5120" t="inlineStr"/>
    </row>
    <row r="5121">
      <c r="A5121" t="inlineStr">
        <is>
          <t>d2bf5767-72ab-4ee5-b675-5c1fcadc6c6a.jpg</t>
        </is>
      </c>
      <c r="B5121">
        <f>HYPERLINK("Объекты недвижимости, не соответствующие градостроительным нормам_00-022_Август/d2bf5767-72ab-4ee5-b675-5c1fcadc6c6a.jpg","open")</f>
        <v/>
      </c>
      <c r="C5121" t="inlineStr">
        <is>
          <t>a1a9db89-3f74-42ef-8fad-ad69705102cd</t>
        </is>
      </c>
      <c r="D5121" t="n">
        <v>55.76323</v>
      </c>
      <c r="E5121" t="n">
        <v>37.70892</v>
      </c>
      <c r="F5121" t="inlineStr"/>
      <c r="G5121" t="inlineStr"/>
      <c r="H5121" t="inlineStr"/>
    </row>
    <row r="5122">
      <c r="A5122" t="inlineStr">
        <is>
          <t>ed6f4edc-d78d-4bc4-8812-5744d5fad88f.jpg</t>
        </is>
      </c>
      <c r="B5122">
        <f>HYPERLINK("Объекты недвижимости, не соответствующие градостроительным нормам_00-022_Август/ed6f4edc-d78d-4bc4-8812-5744d5fad88f.jpg","open")</f>
        <v/>
      </c>
      <c r="C5122" t="inlineStr">
        <is>
          <t>8cde1fd0-eca1-4510-86ab-3c743b65fdfc</t>
        </is>
      </c>
      <c r="D5122" t="n">
        <v>55.98216</v>
      </c>
      <c r="E5122" t="n">
        <v>37.4114</v>
      </c>
      <c r="F5122" t="inlineStr"/>
      <c r="G5122" t="inlineStr"/>
      <c r="H5122" t="inlineStr"/>
    </row>
    <row r="5123">
      <c r="A5123" t="inlineStr">
        <is>
          <t>f917e90d-5677-454a-ad22-b734e6c705a8.jpg</t>
        </is>
      </c>
      <c r="B5123">
        <f>HYPERLINK("Объекты недвижимости, не соответствующие градостроительным нормам_00-022_Август/f917e90d-5677-454a-ad22-b734e6c705a8.jpg","open")</f>
        <v/>
      </c>
      <c r="C5123" t="inlineStr">
        <is>
          <t>cbf95b01-f708-45a3-9ec0-3603469b538e</t>
        </is>
      </c>
      <c r="D5123" t="n">
        <v>55.77151</v>
      </c>
      <c r="E5123" t="n">
        <v>37.70598</v>
      </c>
      <c r="F5123" t="inlineStr"/>
      <c r="G5123" t="inlineStr"/>
      <c r="H5123" t="inlineStr"/>
    </row>
    <row r="5124">
      <c r="A5124" t="inlineStr">
        <is>
          <t>3a9a9614-593b-4653-914f-0561361bc857.jpg</t>
        </is>
      </c>
      <c r="B5124">
        <f>HYPERLINK("Объекты недвижимости, не соответствующие градостроительным нормам_00-022_Август/3a9a9614-593b-4653-914f-0561361bc857.jpg","open")</f>
        <v/>
      </c>
      <c r="C5124" t="inlineStr">
        <is>
          <t>cbf95b01-f708-45a3-9ec0-3603469b538e</t>
        </is>
      </c>
      <c r="D5124" t="n">
        <v>55.77186</v>
      </c>
      <c r="E5124" t="n">
        <v>37.70678</v>
      </c>
      <c r="F5124" t="inlineStr"/>
      <c r="G5124" t="inlineStr"/>
      <c r="H5124" t="inlineStr"/>
    </row>
    <row r="5125">
      <c r="A5125" t="inlineStr">
        <is>
          <t>6362243e-a17f-43e4-8b45-faafb8f26d8d.jpg</t>
        </is>
      </c>
      <c r="B5125">
        <f>HYPERLINK("Объекты недвижимости, не соответствующие градостроительным нормам_00-022_Август/6362243e-a17f-43e4-8b45-faafb8f26d8d.jpg","open")</f>
        <v/>
      </c>
      <c r="C5125" t="inlineStr">
        <is>
          <t>a1a9db89-3f74-42ef-8fad-ad69705102cd</t>
        </is>
      </c>
      <c r="D5125" t="n">
        <v>55.77193</v>
      </c>
      <c r="E5125" t="n">
        <v>37.70778</v>
      </c>
      <c r="F5125" t="inlineStr"/>
      <c r="G5125" t="inlineStr"/>
      <c r="H5125" t="inlineStr"/>
    </row>
    <row r="5126">
      <c r="A5126" t="inlineStr">
        <is>
          <t>937b62b7-442a-44f6-bd8d-dc64d51c3c41.jpg</t>
        </is>
      </c>
      <c r="B5126">
        <f>HYPERLINK("Объекты недвижимости, не соответствующие градостроительным нормам_00-022_Август/937b62b7-442a-44f6-bd8d-dc64d51c3c41.jpg","open")</f>
        <v/>
      </c>
      <c r="C5126" t="inlineStr">
        <is>
          <t>cbf95b01-f708-45a3-9ec0-3603469b538e</t>
        </is>
      </c>
      <c r="D5126" t="n">
        <v>55.77192</v>
      </c>
      <c r="E5126" t="n">
        <v>37.70786</v>
      </c>
      <c r="F5126" t="inlineStr"/>
      <c r="G5126" t="inlineStr"/>
      <c r="H5126" t="inlineStr"/>
    </row>
    <row r="5127">
      <c r="A5127" t="inlineStr">
        <is>
          <t>2ba4feba-7292-403d-abea-165349d861a7.jpg</t>
        </is>
      </c>
      <c r="B5127">
        <f>HYPERLINK("Объекты недвижимости, не соответствующие градостроительным нормам_00-022_Август/2ba4feba-7292-403d-abea-165349d861a7.jpg","open")</f>
        <v/>
      </c>
      <c r="C5127" t="inlineStr">
        <is>
          <t>cbf95b01-f708-45a3-9ec0-3603469b538e</t>
        </is>
      </c>
      <c r="D5127" t="n">
        <v>55.77017</v>
      </c>
      <c r="E5127" t="n">
        <v>37.70295</v>
      </c>
      <c r="F5127" t="inlineStr"/>
      <c r="G5127" t="inlineStr"/>
      <c r="H5127" t="inlineStr"/>
    </row>
    <row r="5128">
      <c r="A5128" t="inlineStr">
        <is>
          <t>cbe62282-86d2-4450-a0c6-e472172f0e04.jpg</t>
        </is>
      </c>
      <c r="B5128">
        <f>HYPERLINK("Объекты недвижимости, не соответствующие градостроительным нормам_00-022_Август/cbe62282-86d2-4450-a0c6-e472172f0e04.jpg","open")</f>
        <v/>
      </c>
      <c r="C5128" t="inlineStr">
        <is>
          <t>1c951e11-4940-43c6-a447-394097e5609a</t>
        </is>
      </c>
      <c r="D5128" t="n">
        <v>55.82457</v>
      </c>
      <c r="E5128" t="n">
        <v>37.49274</v>
      </c>
      <c r="F5128" t="inlineStr"/>
      <c r="G5128" t="inlineStr"/>
      <c r="H5128" t="inlineStr"/>
    </row>
    <row r="5129">
      <c r="A5129" t="inlineStr">
        <is>
          <t>d41a2810-d088-4135-938e-6702d332b409.jpg</t>
        </is>
      </c>
      <c r="B5129">
        <f>HYPERLINK("Объекты недвижимости, не соответствующие градостроительным нормам_00-022_Август/d41a2810-d088-4135-938e-6702d332b409.jpg","open")</f>
        <v/>
      </c>
      <c r="C5129" t="inlineStr">
        <is>
          <t>caa4772d-6278-4484-a046-ee25514bf521</t>
        </is>
      </c>
      <c r="D5129" t="n">
        <v>55.65784</v>
      </c>
      <c r="E5129" t="n">
        <v>37.73352</v>
      </c>
      <c r="F5129" t="inlineStr"/>
      <c r="G5129" t="inlineStr"/>
      <c r="H5129" t="inlineStr"/>
    </row>
    <row r="5130">
      <c r="A5130" t="inlineStr">
        <is>
          <t>560eee3e-f4d1-47e4-b6b5-4dba6704340f.jpg</t>
        </is>
      </c>
      <c r="B5130">
        <f>HYPERLINK("Объекты недвижимости, не соответствующие градостроительным нормам_00-022_Август/560eee3e-f4d1-47e4-b6b5-4dba6704340f.jpg","open")</f>
        <v/>
      </c>
      <c r="C5130" t="inlineStr">
        <is>
          <t>cbf95b01-f708-45a3-9ec0-3603469b538e</t>
        </is>
      </c>
      <c r="D5130" t="n">
        <v>55.7684</v>
      </c>
      <c r="E5130" t="n">
        <v>37.69425</v>
      </c>
      <c r="F5130" t="inlineStr"/>
      <c r="G5130" t="inlineStr"/>
      <c r="H5130" t="inlineStr"/>
    </row>
    <row r="5131">
      <c r="A5131" t="inlineStr">
        <is>
          <t>94429114-0124-431f-899c-c1212319073d.jpg</t>
        </is>
      </c>
      <c r="B5131">
        <f>HYPERLINK("Объекты недвижимости, не соответствующие градостроительным нормам_00-022_Август/94429114-0124-431f-899c-c1212319073d.jpg","open")</f>
        <v/>
      </c>
      <c r="C5131" t="inlineStr">
        <is>
          <t>cbf95b01-f708-45a3-9ec0-3603469b538e</t>
        </is>
      </c>
      <c r="D5131" t="n">
        <v>55.76916</v>
      </c>
      <c r="E5131" t="n">
        <v>37.69262</v>
      </c>
      <c r="F5131" t="inlineStr"/>
      <c r="G5131" t="inlineStr"/>
      <c r="H5131" t="inlineStr"/>
    </row>
    <row r="5132">
      <c r="A5132" t="inlineStr">
        <is>
          <t>8b94ead6-a440-4fb4-b470-bf46d53471a6.jpg</t>
        </is>
      </c>
      <c r="B5132">
        <f>HYPERLINK("Объекты недвижимости, не соответствующие градостроительным нормам_00-022_Август/8b94ead6-a440-4fb4-b470-bf46d53471a6.jpg","open")</f>
        <v/>
      </c>
      <c r="C5132" t="inlineStr">
        <is>
          <t>ed2bf0f1-3a66-4913-896e-4420a9796c0b</t>
        </is>
      </c>
      <c r="D5132" t="n">
        <v>55.32761</v>
      </c>
      <c r="E5132" t="n">
        <v>37.35163</v>
      </c>
      <c r="F5132" t="inlineStr"/>
      <c r="G5132" t="inlineStr"/>
      <c r="H5132" t="inlineStr"/>
    </row>
    <row r="5133">
      <c r="A5133" t="inlineStr">
        <is>
          <t>e61b7f6d-1704-4cff-b69f-fee475a61a08.jpg</t>
        </is>
      </c>
      <c r="B5133">
        <f>HYPERLINK("Объекты недвижимости, не соответствующие градостроительным нормам_00-022_Август/e61b7f6d-1704-4cff-b69f-fee475a61a08.jpg","open")</f>
        <v/>
      </c>
      <c r="C5133" t="inlineStr">
        <is>
          <t>8cde1fd0-eca1-4510-86ab-3c743b65fdfc</t>
        </is>
      </c>
      <c r="D5133" t="n">
        <v>55.84034</v>
      </c>
      <c r="E5133" t="n">
        <v>37.48071</v>
      </c>
      <c r="F5133" t="inlineStr"/>
      <c r="G5133" t="inlineStr"/>
      <c r="H5133" t="inlineStr"/>
    </row>
    <row r="5134">
      <c r="A5134" t="inlineStr">
        <is>
          <t>c9046eb6-fb1b-435e-b040-04d28bbefce8.jpg</t>
        </is>
      </c>
      <c r="B5134">
        <f>HYPERLINK("Объекты недвижимости, не соответствующие градостроительным нормам_00-022_Август/c9046eb6-fb1b-435e-b040-04d28bbefce8.jpg","open")</f>
        <v/>
      </c>
      <c r="C5134" t="inlineStr">
        <is>
          <t>1c951e11-4940-43c6-a447-394097e5609a</t>
        </is>
      </c>
      <c r="D5134" t="n">
        <v>55.84113</v>
      </c>
      <c r="E5134" t="n">
        <v>37.48013</v>
      </c>
      <c r="F5134" t="inlineStr"/>
      <c r="G5134" t="inlineStr"/>
      <c r="H5134" t="inlineStr"/>
    </row>
    <row r="5135">
      <c r="A5135" t="inlineStr">
        <is>
          <t>b2d94141-384c-4351-9d9f-268afd5f4435.jpg</t>
        </is>
      </c>
      <c r="B5135">
        <f>HYPERLINK("Объекты недвижимости, не соответствующие градостроительным нормам_00-022_Август/b2d94141-384c-4351-9d9f-268afd5f4435.jpg","open")</f>
        <v/>
      </c>
      <c r="C5135" t="inlineStr">
        <is>
          <t>8cde1fd0-eca1-4510-86ab-3c743b65fdfc</t>
        </is>
      </c>
      <c r="D5135" t="n">
        <v>55.84119</v>
      </c>
      <c r="E5135" t="n">
        <v>37.48009</v>
      </c>
      <c r="F5135" t="inlineStr"/>
      <c r="G5135" t="inlineStr"/>
      <c r="H5135" t="inlineStr"/>
    </row>
    <row r="5136">
      <c r="A5136" t="inlineStr">
        <is>
          <t>8cb0429a-509d-4624-8789-b2d0b49bbd03.jpg</t>
        </is>
      </c>
      <c r="B5136">
        <f>HYPERLINK("Объекты недвижимости, не соответствующие градостроительным нормам_00-022_Август/8cb0429a-509d-4624-8789-b2d0b49bbd03.jpg","open")</f>
        <v/>
      </c>
      <c r="C5136" t="inlineStr">
        <is>
          <t>8cde1fd0-eca1-4510-86ab-3c743b65fdfc</t>
        </is>
      </c>
      <c r="D5136" t="n">
        <v>55.85044</v>
      </c>
      <c r="E5136" t="n">
        <v>37.47988</v>
      </c>
      <c r="F5136" t="inlineStr"/>
      <c r="G5136" t="inlineStr"/>
      <c r="H5136" t="inlineStr"/>
    </row>
    <row r="5137">
      <c r="A5137" t="inlineStr">
        <is>
          <t>3a09e0ba-4e4f-4882-bc0f-fce3a7792540.jpg</t>
        </is>
      </c>
      <c r="B5137">
        <f>HYPERLINK("Объекты недвижимости, не соответствующие градостроительным нормам_00-022_Август/3a09e0ba-4e4f-4882-bc0f-fce3a7792540.jpg","open")</f>
        <v/>
      </c>
      <c r="C5137" t="inlineStr">
        <is>
          <t>cbf95b01-f708-45a3-9ec0-3603469b538e</t>
        </is>
      </c>
      <c r="D5137" t="n">
        <v>55.77909</v>
      </c>
      <c r="E5137" t="n">
        <v>37.68032</v>
      </c>
      <c r="F5137" t="inlineStr"/>
      <c r="G5137" t="inlineStr"/>
      <c r="H5137" t="inlineStr"/>
    </row>
    <row r="5138">
      <c r="A5138" t="inlineStr">
        <is>
          <t>890bd5f0-2018-42b4-8456-982a2cb27265.jpg</t>
        </is>
      </c>
      <c r="B5138">
        <f>HYPERLINK("Объекты недвижимости, не соответствующие градостроительным нормам_00-022_Август/890bd5f0-2018-42b4-8456-982a2cb27265.jpg","open")</f>
        <v/>
      </c>
      <c r="C5138" t="inlineStr">
        <is>
          <t>cbf95b01-f708-45a3-9ec0-3603469b538e</t>
        </is>
      </c>
      <c r="D5138" t="n">
        <v>55.77909</v>
      </c>
      <c r="E5138" t="n">
        <v>37.68032</v>
      </c>
      <c r="F5138" t="inlineStr"/>
      <c r="G5138" t="inlineStr"/>
      <c r="H5138" t="inlineStr"/>
    </row>
    <row r="5139">
      <c r="A5139" t="inlineStr">
        <is>
          <t>02c9186e-15aa-4cd2-9248-962f11289b8a.jpg</t>
        </is>
      </c>
      <c r="B5139">
        <f>HYPERLINK("Объекты недвижимости, не соответствующие градостроительным нормам_00-022_Август/02c9186e-15aa-4cd2-9248-962f11289b8a.jpg","open")</f>
        <v/>
      </c>
      <c r="C5139" t="inlineStr">
        <is>
          <t>8cde1fd0-eca1-4510-86ab-3c743b65fdfc</t>
        </is>
      </c>
      <c r="D5139" t="n">
        <v>55.85593</v>
      </c>
      <c r="E5139" t="n">
        <v>37.51355</v>
      </c>
      <c r="F5139" t="inlineStr"/>
      <c r="G5139" t="inlineStr"/>
      <c r="H5139" t="inlineStr"/>
    </row>
    <row r="5140">
      <c r="A5140" t="inlineStr">
        <is>
          <t>378acce5-d52d-4c3c-9e1c-b5cfb35619cd.jpg</t>
        </is>
      </c>
      <c r="B5140">
        <f>HYPERLINK("Объекты недвижимости, не соответствующие градостроительным нормам_00-022_Август/378acce5-d52d-4c3c-9e1c-b5cfb35619cd.jpg","open")</f>
        <v/>
      </c>
      <c r="C5140" t="inlineStr">
        <is>
          <t>cbf95b01-f708-45a3-9ec0-3603469b538e</t>
        </is>
      </c>
      <c r="D5140" t="n">
        <v>56.45441</v>
      </c>
      <c r="E5140" t="n">
        <v>38.05574</v>
      </c>
      <c r="F5140" t="inlineStr"/>
      <c r="G5140" t="inlineStr"/>
      <c r="H5140" t="inlineStr"/>
    </row>
    <row r="5141">
      <c r="A5141" t="inlineStr">
        <is>
          <t>b51fc656-c250-4c4d-8e65-985023b1bf7d.jpg</t>
        </is>
      </c>
      <c r="B5141">
        <f>HYPERLINK("Объекты недвижимости, не соответствующие градостроительным нормам_00-022_Август/b51fc656-c250-4c4d-8e65-985023b1bf7d.jpg","open")</f>
        <v/>
      </c>
      <c r="C5141" t="inlineStr">
        <is>
          <t>cbf95b01-f708-45a3-9ec0-3603469b538e</t>
        </is>
      </c>
      <c r="D5141" t="n">
        <v>56.45441</v>
      </c>
      <c r="E5141" t="n">
        <v>38.05574</v>
      </c>
      <c r="F5141" t="inlineStr"/>
      <c r="G5141" t="inlineStr"/>
      <c r="H5141" t="inlineStr"/>
    </row>
    <row r="5142">
      <c r="A5142" t="inlineStr">
        <is>
          <t>a6a5a6b7-ee62-4b56-b594-f759792d70c3.jpg</t>
        </is>
      </c>
      <c r="B5142">
        <f>HYPERLINK("Объекты недвижимости, не соответствующие градостроительным нормам_00-022_Август/a6a5a6b7-ee62-4b56-b594-f759792d70c3.jpg","open")</f>
        <v/>
      </c>
      <c r="C5142" t="inlineStr">
        <is>
          <t>cbf95b01-f708-45a3-9ec0-3603469b538e</t>
        </is>
      </c>
      <c r="D5142" t="n">
        <v>56.45441</v>
      </c>
      <c r="E5142" t="n">
        <v>38.05574</v>
      </c>
      <c r="F5142" t="inlineStr"/>
      <c r="G5142" t="inlineStr"/>
      <c r="H5142" t="inlineStr"/>
    </row>
    <row r="5143">
      <c r="A5143" t="inlineStr">
        <is>
          <t>5eab14ac-5ed1-496e-84b0-87d2ddefbd34.jpg</t>
        </is>
      </c>
      <c r="B5143">
        <f>HYPERLINK("Объекты недвижимости, не соответствующие градостроительным нормам_00-022_Август/5eab14ac-5ed1-496e-84b0-87d2ddefbd34.jpg","open")</f>
        <v/>
      </c>
      <c r="C5143" t="inlineStr">
        <is>
          <t>cbf95b01-f708-45a3-9ec0-3603469b538e</t>
        </is>
      </c>
      <c r="D5143" t="n">
        <v>56.45441</v>
      </c>
      <c r="E5143" t="n">
        <v>38.05574</v>
      </c>
      <c r="F5143" t="inlineStr"/>
      <c r="G5143" t="inlineStr"/>
      <c r="H5143" t="inlineStr"/>
    </row>
    <row r="5144">
      <c r="A5144" t="inlineStr">
        <is>
          <t>07271e60-c781-4131-80bd-36ebcaca3a63.jpg</t>
        </is>
      </c>
      <c r="B5144">
        <f>HYPERLINK("Объекты недвижимости, не соответствующие градостроительным нормам_00-022_Август/07271e60-c781-4131-80bd-36ebcaca3a63.jpg","open")</f>
        <v/>
      </c>
      <c r="C5144" t="inlineStr">
        <is>
          <t>a1a9db89-3f74-42ef-8fad-ad69705102cd</t>
        </is>
      </c>
      <c r="D5144" t="n">
        <v>56.45441</v>
      </c>
      <c r="E5144" t="n">
        <v>38.05574</v>
      </c>
      <c r="F5144" t="inlineStr"/>
      <c r="G5144" t="inlineStr"/>
      <c r="H5144" t="inlineStr"/>
    </row>
    <row r="5145">
      <c r="A5145" t="inlineStr">
        <is>
          <t>c671da50-26ea-4e64-be24-bad7c24ac9ba.jpg</t>
        </is>
      </c>
      <c r="B5145">
        <f>HYPERLINK("Объекты недвижимости, не соответствующие градостроительным нормам_00-022_Август/c671da50-26ea-4e64-be24-bad7c24ac9ba.jpg","open")</f>
        <v/>
      </c>
      <c r="C5145" t="inlineStr">
        <is>
          <t>a1a9db89-3f74-42ef-8fad-ad69705102cd</t>
        </is>
      </c>
      <c r="D5145" t="n">
        <v>56.45441</v>
      </c>
      <c r="E5145" t="n">
        <v>38.05574</v>
      </c>
      <c r="F5145" t="inlineStr"/>
      <c r="G5145" t="inlineStr"/>
      <c r="H5145" t="inlineStr"/>
    </row>
    <row r="5146">
      <c r="A5146" t="inlineStr">
        <is>
          <t>a67d92d6-6137-4722-aead-8c77102f43db.jpg</t>
        </is>
      </c>
      <c r="B5146">
        <f>HYPERLINK("Объекты недвижимости, не соответствующие градостроительным нормам_00-022_Август/a67d92d6-6137-4722-aead-8c77102f43db.jpg","open")</f>
        <v/>
      </c>
      <c r="C5146" t="inlineStr">
        <is>
          <t>8cde1fd0-eca1-4510-86ab-3c743b65fdfc</t>
        </is>
      </c>
      <c r="D5146" t="n">
        <v>55.85407</v>
      </c>
      <c r="E5146" t="n">
        <v>37.49852</v>
      </c>
      <c r="F5146" t="inlineStr"/>
      <c r="G5146" t="inlineStr"/>
      <c r="H5146" t="inlineStr"/>
    </row>
    <row r="5147">
      <c r="A5147" t="inlineStr">
        <is>
          <t>9acab321-526d-46a5-8e9b-d7699544454c.jpg</t>
        </is>
      </c>
      <c r="B5147">
        <f>HYPERLINK("Объекты недвижимости, не соответствующие градостроительным нормам_00-022_Август/9acab321-526d-46a5-8e9b-d7699544454c.jpg","open")</f>
        <v/>
      </c>
      <c r="C5147" t="inlineStr">
        <is>
          <t>cbf95b01-f708-45a3-9ec0-3603469b538e</t>
        </is>
      </c>
      <c r="D5147" t="n">
        <v>56.45441</v>
      </c>
      <c r="E5147" t="n">
        <v>38.05574</v>
      </c>
      <c r="F5147" t="inlineStr"/>
      <c r="G5147" t="inlineStr"/>
      <c r="H5147" t="inlineStr"/>
    </row>
    <row r="5148">
      <c r="A5148" t="inlineStr">
        <is>
          <t>c3ad4f22-0f44-46d5-aab2-9b02f5a15397.jpg</t>
        </is>
      </c>
      <c r="B5148">
        <f>HYPERLINK("Объекты недвижимости, не соответствующие градостроительным нормам_00-022_Август/c3ad4f22-0f44-46d5-aab2-9b02f5a15397.jpg","open")</f>
        <v/>
      </c>
      <c r="C5148" t="inlineStr">
        <is>
          <t>cbf95b01-f708-45a3-9ec0-3603469b538e</t>
        </is>
      </c>
      <c r="D5148" t="n">
        <v>56.45441</v>
      </c>
      <c r="E5148" t="n">
        <v>38.05574</v>
      </c>
      <c r="F5148" t="inlineStr"/>
      <c r="G5148" t="inlineStr"/>
      <c r="H5148" t="inlineStr"/>
    </row>
    <row r="5149">
      <c r="A5149" t="inlineStr">
        <is>
          <t>32acc852-2a7d-4c20-adb4-1c3028042e25.jpg</t>
        </is>
      </c>
      <c r="B5149">
        <f>HYPERLINK("Объекты недвижимости, не соответствующие градостроительным нормам_00-022_Август/32acc852-2a7d-4c20-adb4-1c3028042e25.jpg","open")</f>
        <v/>
      </c>
      <c r="C5149" t="inlineStr">
        <is>
          <t>cbf95b01-f708-45a3-9ec0-3603469b538e</t>
        </is>
      </c>
      <c r="D5149" t="n">
        <v>56.45441</v>
      </c>
      <c r="E5149" t="n">
        <v>38.05574</v>
      </c>
      <c r="F5149" t="inlineStr"/>
      <c r="G5149" t="inlineStr"/>
      <c r="H5149" t="inlineStr"/>
    </row>
    <row r="5150">
      <c r="A5150" t="inlineStr">
        <is>
          <t>e54077d9-7504-4f61-a8a5-4547178d03ef.jpg</t>
        </is>
      </c>
      <c r="B5150">
        <f>HYPERLINK("Объекты недвижимости, не соответствующие градостроительным нормам_00-022_Август/e54077d9-7504-4f61-a8a5-4547178d03ef.jpg","open")</f>
        <v/>
      </c>
      <c r="C5150" t="inlineStr">
        <is>
          <t>8cde1fd0-eca1-4510-86ab-3c743b65fdfc</t>
        </is>
      </c>
      <c r="D5150" t="n">
        <v>55.85927</v>
      </c>
      <c r="E5150" t="n">
        <v>37.50895</v>
      </c>
      <c r="F5150" t="inlineStr"/>
      <c r="G5150" t="inlineStr"/>
      <c r="H5150" t="inlineStr"/>
    </row>
    <row r="5151">
      <c r="A5151" t="inlineStr">
        <is>
          <t>5581ff31-6ea0-412c-9d94-bc636e75b517.jpg</t>
        </is>
      </c>
      <c r="B5151">
        <f>HYPERLINK("Объекты недвижимости, не соответствующие градостроительным нормам_00-022_Август/5581ff31-6ea0-412c-9d94-bc636e75b517.jpg","open")</f>
        <v/>
      </c>
      <c r="C5151" t="inlineStr">
        <is>
          <t>cbf95b01-f708-45a3-9ec0-3603469b538e</t>
        </is>
      </c>
      <c r="D5151" t="n">
        <v>56.45441</v>
      </c>
      <c r="E5151" t="n">
        <v>38.05574</v>
      </c>
      <c r="F5151" t="inlineStr"/>
      <c r="G5151" t="inlineStr"/>
      <c r="H5151" t="inlineStr"/>
    </row>
    <row r="5152">
      <c r="A5152" t="inlineStr">
        <is>
          <t>79b24c10-11c8-42fc-83a1-e7d1c8e7e1a2.jpg</t>
        </is>
      </c>
      <c r="B5152">
        <f>HYPERLINK("Объекты недвижимости, не соответствующие градостроительным нормам_00-022_Август/79b24c10-11c8-42fc-83a1-e7d1c8e7e1a2.jpg","open")</f>
        <v/>
      </c>
      <c r="C5152" t="inlineStr">
        <is>
          <t>cbf95b01-f708-45a3-9ec0-3603469b538e</t>
        </is>
      </c>
      <c r="D5152" t="n">
        <v>56.45441</v>
      </c>
      <c r="E5152" t="n">
        <v>38.05574</v>
      </c>
      <c r="F5152" t="inlineStr"/>
      <c r="G5152" t="inlineStr"/>
      <c r="H5152" t="inlineStr"/>
    </row>
    <row r="5153">
      <c r="A5153" t="inlineStr">
        <is>
          <t>612117c7-4d9e-4967-a0c0-ae950d3e3e04.jpg</t>
        </is>
      </c>
      <c r="B5153">
        <f>HYPERLINK("Объекты недвижимости, не соответствующие градостроительным нормам_00-022_Август/612117c7-4d9e-4967-a0c0-ae950d3e3e04.jpg","open")</f>
        <v/>
      </c>
      <c r="C5153" t="inlineStr">
        <is>
          <t>cbf95b01-f708-45a3-9ec0-3603469b538e</t>
        </is>
      </c>
      <c r="D5153" t="n">
        <v>56.45441</v>
      </c>
      <c r="E5153" t="n">
        <v>38.05574</v>
      </c>
      <c r="F5153" t="inlineStr"/>
      <c r="G5153" t="inlineStr"/>
      <c r="H5153" t="inlineStr"/>
    </row>
    <row r="5154">
      <c r="A5154" t="inlineStr">
        <is>
          <t>35bb902c-e316-40d6-9d06-e7a536bca497.jpg</t>
        </is>
      </c>
      <c r="B5154">
        <f>HYPERLINK("Объекты недвижимости, не соответствующие градостроительным нормам_00-022_Август/35bb902c-e316-40d6-9d06-e7a536bca497.jpg","open")</f>
        <v/>
      </c>
      <c r="C5154" t="inlineStr">
        <is>
          <t>caa4772d-6278-4484-a046-ee25514bf521</t>
        </is>
      </c>
      <c r="D5154" t="n">
        <v>55.6481</v>
      </c>
      <c r="E5154" t="n">
        <v>37.72675</v>
      </c>
      <c r="F5154" t="inlineStr"/>
      <c r="G5154" t="inlineStr"/>
      <c r="H5154" t="inlineStr"/>
    </row>
    <row r="5155">
      <c r="A5155" t="inlineStr">
        <is>
          <t>07c812d0-c36b-4566-bcd0-9cd321acc2f3.jpg</t>
        </is>
      </c>
      <c r="B5155">
        <f>HYPERLINK("Объекты недвижимости, не соответствующие градостроительным нормам_00-022_Август/07c812d0-c36b-4566-bcd0-9cd321acc2f3.jpg","open")</f>
        <v/>
      </c>
      <c r="C5155" t="inlineStr">
        <is>
          <t>1c951e11-4940-43c6-a447-394097e5609a</t>
        </is>
      </c>
      <c r="D5155" t="n">
        <v>55.86245</v>
      </c>
      <c r="E5155" t="n">
        <v>37.50585</v>
      </c>
      <c r="F5155" t="inlineStr"/>
      <c r="G5155" t="inlineStr"/>
      <c r="H5155" t="inlineStr"/>
    </row>
    <row r="5156">
      <c r="A5156" t="inlineStr">
        <is>
          <t>7f94f7f0-6e6f-4151-b284-ac294e97e165.jpg</t>
        </is>
      </c>
      <c r="B5156">
        <f>HYPERLINK("Объекты недвижимости, не соответствующие градостроительным нормам_00-022_Август/7f94f7f0-6e6f-4151-b284-ac294e97e165.jpg","open")</f>
        <v/>
      </c>
      <c r="C5156" t="inlineStr">
        <is>
          <t>1c951e11-4940-43c6-a447-394097e5609a</t>
        </is>
      </c>
      <c r="D5156" t="n">
        <v>55.86245</v>
      </c>
      <c r="E5156" t="n">
        <v>37.50587</v>
      </c>
      <c r="F5156" t="inlineStr"/>
      <c r="G5156" t="inlineStr"/>
      <c r="H5156" t="inlineStr"/>
    </row>
    <row r="5157">
      <c r="A5157" t="inlineStr">
        <is>
          <t>6d8e3f94-b2ea-4ca5-9958-bca9dbf55165.jpg</t>
        </is>
      </c>
      <c r="B5157">
        <f>HYPERLINK("Объекты недвижимости, не соответствующие градостроительным нормам_00-022_Август/6d8e3f94-b2ea-4ca5-9958-bca9dbf55165.jpg","open")</f>
        <v/>
      </c>
      <c r="C5157" t="inlineStr">
        <is>
          <t>a1a9db89-3f74-42ef-8fad-ad69705102cd</t>
        </is>
      </c>
      <c r="D5157" t="n">
        <v>55.73142</v>
      </c>
      <c r="E5157" t="n">
        <v>37.54408</v>
      </c>
      <c r="F5157" t="inlineStr"/>
      <c r="G5157" t="inlineStr"/>
      <c r="H5157" t="inlineStr"/>
    </row>
    <row r="5158">
      <c r="A5158" t="inlineStr">
        <is>
          <t>b34e4ea3-2ed4-451b-8067-75bbb03ba867.jpg</t>
        </is>
      </c>
      <c r="B5158">
        <f>HYPERLINK("Объекты недвижимости, не соответствующие градостроительным нормам_00-022_Август/b34e4ea3-2ed4-451b-8067-75bbb03ba867.jpg","open")</f>
        <v/>
      </c>
      <c r="C5158" t="inlineStr">
        <is>
          <t>93848fc8-17e7-4748-9ebc-c7e379e11d2f</t>
        </is>
      </c>
      <c r="D5158" t="n">
        <v>55.54353</v>
      </c>
      <c r="E5158" t="n">
        <v>37.56701</v>
      </c>
      <c r="F5158" t="inlineStr"/>
      <c r="G5158" t="inlineStr"/>
      <c r="H5158" t="inlineStr"/>
    </row>
    <row r="5159">
      <c r="A5159" t="inlineStr">
        <is>
          <t>f054ad20-cfc8-444a-a9c4-442e34a41f50.jpg</t>
        </is>
      </c>
      <c r="B5159">
        <f>HYPERLINK("Объекты недвижимости, не соответствующие градостроительным нормам_00-022_Август/f054ad20-cfc8-444a-a9c4-442e34a41f50.jpg","open")</f>
        <v/>
      </c>
      <c r="C5159" t="inlineStr">
        <is>
          <t>ed2bf0f1-3a66-4913-896e-4420a9796c0b</t>
        </is>
      </c>
      <c r="D5159" t="n">
        <v>55.31848</v>
      </c>
      <c r="E5159" t="n">
        <v>37.32935</v>
      </c>
      <c r="F5159" t="inlineStr"/>
      <c r="G5159" t="inlineStr"/>
      <c r="H5159" t="inlineStr"/>
    </row>
    <row r="5160">
      <c r="A5160" t="inlineStr">
        <is>
          <t>d1a35fb0-0672-49f6-8d11-f4ab23e3af82.jpg</t>
        </is>
      </c>
      <c r="B5160">
        <f>HYPERLINK("Объекты недвижимости, не соответствующие градостроительным нормам_00-022_Август/d1a35fb0-0672-49f6-8d11-f4ab23e3af82.jpg","open")</f>
        <v/>
      </c>
      <c r="C5160" t="inlineStr">
        <is>
          <t>93848fc8-17e7-4748-9ebc-c7e379e11d2f</t>
        </is>
      </c>
      <c r="D5160" t="n">
        <v>55.54353</v>
      </c>
      <c r="E5160" t="n">
        <v>37.56704</v>
      </c>
      <c r="F5160" t="inlineStr"/>
      <c r="G5160" t="inlineStr"/>
      <c r="H5160" t="inlineStr"/>
    </row>
    <row r="5161">
      <c r="A5161" t="inlineStr">
        <is>
          <t>d85f0226-b472-4503-94ac-ccb131922dbd.jpg</t>
        </is>
      </c>
      <c r="B5161">
        <f>HYPERLINK("Объекты недвижимости, не соответствующие градостроительным нормам_00-022_Август/d85f0226-b472-4503-94ac-ccb131922dbd.jpg","open")</f>
        <v/>
      </c>
      <c r="C5161" t="inlineStr">
        <is>
          <t>cbf95b01-f708-45a3-9ec0-3603469b538e</t>
        </is>
      </c>
      <c r="D5161" t="n">
        <v>55.71185</v>
      </c>
      <c r="E5161" t="n">
        <v>37.49368</v>
      </c>
      <c r="F5161" t="inlineStr"/>
      <c r="G5161" t="inlineStr"/>
      <c r="H5161" t="inlineStr"/>
    </row>
    <row r="5162">
      <c r="A5162" t="inlineStr">
        <is>
          <t>7b6b2351-d5f8-4693-af48-bf4c1fcfdfa0.jpg</t>
        </is>
      </c>
      <c r="B5162">
        <f>HYPERLINK("Объекты недвижимости, не соответствующие градостроительным нормам_00-022_Август/7b6b2351-d5f8-4693-af48-bf4c1fcfdfa0.jpg","open")</f>
        <v/>
      </c>
      <c r="C5162" t="inlineStr">
        <is>
          <t>ed2bf0f1-3a66-4913-896e-4420a9796c0b</t>
        </is>
      </c>
      <c r="D5162" t="n">
        <v>55.31954</v>
      </c>
      <c r="E5162" t="n">
        <v>37.33206</v>
      </c>
      <c r="F5162" t="inlineStr"/>
      <c r="G5162" t="inlineStr"/>
      <c r="H5162" t="inlineStr"/>
    </row>
    <row r="5163">
      <c r="A5163" t="inlineStr">
        <is>
          <t>c02d0090-d5a4-4f2a-8c74-b98796577efb.jpg</t>
        </is>
      </c>
      <c r="B5163">
        <f>HYPERLINK("Объекты недвижимости, не соответствующие градостроительным нормам_00-022_Август/c02d0090-d5a4-4f2a-8c74-b98796577efb.jpg","open")</f>
        <v/>
      </c>
      <c r="C5163" t="inlineStr">
        <is>
          <t>cbf95b01-f708-45a3-9ec0-3603469b538e</t>
        </is>
      </c>
      <c r="D5163" t="n">
        <v>55.70599</v>
      </c>
      <c r="E5163" t="n">
        <v>37.48671</v>
      </c>
      <c r="F5163" t="inlineStr"/>
      <c r="G5163" t="inlineStr"/>
      <c r="H5163" t="inlineStr"/>
    </row>
    <row r="5164">
      <c r="A5164" t="inlineStr">
        <is>
          <t>8d687423-c291-4e22-8627-081ce7dc04c6.jpg</t>
        </is>
      </c>
      <c r="B5164">
        <f>HYPERLINK("Объекты недвижимости, не соответствующие градостроительным нормам_00-022_Август/8d687423-c291-4e22-8627-081ce7dc04c6.jpg","open")</f>
        <v/>
      </c>
      <c r="C5164" t="inlineStr">
        <is>
          <t>cbf95b01-f708-45a3-9ec0-3603469b538e</t>
        </is>
      </c>
      <c r="D5164" t="n">
        <v>55.68797</v>
      </c>
      <c r="E5164" t="n">
        <v>37.43136</v>
      </c>
      <c r="F5164" t="inlineStr"/>
      <c r="G5164" t="inlineStr"/>
      <c r="H5164" t="inlineStr"/>
    </row>
    <row r="5165">
      <c r="A5165" t="inlineStr">
        <is>
          <t>e6e9b1a4-3650-4d36-bf1e-cc0a8e09731c.jpg</t>
        </is>
      </c>
      <c r="B5165">
        <f>HYPERLINK("Объекты недвижимости, не соответствующие градостроительным нормам_00-022_Август/e6e9b1a4-3650-4d36-bf1e-cc0a8e09731c.jpg","open")</f>
        <v/>
      </c>
      <c r="C5165" t="inlineStr">
        <is>
          <t>8cde1fd0-eca1-4510-86ab-3c743b65fdfc</t>
        </is>
      </c>
      <c r="D5165" t="n">
        <v>55.86426</v>
      </c>
      <c r="E5165" t="n">
        <v>37.47839</v>
      </c>
      <c r="F5165" t="inlineStr"/>
      <c r="G5165" t="inlineStr"/>
      <c r="H5165" t="inlineStr"/>
    </row>
    <row r="5166">
      <c r="A5166" t="inlineStr">
        <is>
          <t>81fddd2a-a7d3-4154-8a31-4120f8a12e49.jpg</t>
        </is>
      </c>
      <c r="B5166">
        <f>HYPERLINK("Объекты недвижимости, не соответствующие градостроительным нормам_00-022_Август/81fddd2a-a7d3-4154-8a31-4120f8a12e49.jpg","open")</f>
        <v/>
      </c>
      <c r="C5166" t="inlineStr">
        <is>
          <t>8cde1fd0-eca1-4510-86ab-3c743b65fdfc</t>
        </is>
      </c>
      <c r="D5166" t="n">
        <v>55.86502</v>
      </c>
      <c r="E5166" t="n">
        <v>37.48011</v>
      </c>
      <c r="F5166" t="inlineStr"/>
      <c r="G5166" t="inlineStr"/>
      <c r="H5166" t="inlineStr"/>
    </row>
    <row r="5167">
      <c r="A5167" t="inlineStr">
        <is>
          <t>7e035be6-25bf-4011-997a-47dcbc04b4bd.jpg</t>
        </is>
      </c>
      <c r="B5167">
        <f>HYPERLINK("Объекты недвижимости, не соответствующие градостроительным нормам_00-022_Август/7e035be6-25bf-4011-997a-47dcbc04b4bd.jpg","open")</f>
        <v/>
      </c>
      <c r="C5167" t="inlineStr">
        <is>
          <t>1a55986c-2c3f-40c0-b3d1-014dce77832e</t>
        </is>
      </c>
      <c r="D5167" t="n">
        <v>55.32319</v>
      </c>
      <c r="E5167" t="n">
        <v>37.33926</v>
      </c>
      <c r="F5167" t="inlineStr"/>
      <c r="G5167" t="inlineStr"/>
      <c r="H5167" t="inlineStr"/>
    </row>
    <row r="5168">
      <c r="A5168" t="inlineStr">
        <is>
          <t>348c8be6-64a9-436b-9829-b4f53511acb4.jpg</t>
        </is>
      </c>
      <c r="B5168">
        <f>HYPERLINK("Объекты недвижимости, не соответствующие градостроительным нормам_00-022_Август/348c8be6-64a9-436b-9829-b4f53511acb4.jpg","open")</f>
        <v/>
      </c>
      <c r="C5168" t="inlineStr">
        <is>
          <t>caa4772d-6278-4484-a046-ee25514bf521</t>
        </is>
      </c>
      <c r="D5168" t="n">
        <v>55.64694</v>
      </c>
      <c r="E5168" t="n">
        <v>37.72952</v>
      </c>
      <c r="F5168" t="inlineStr"/>
      <c r="G5168" t="inlineStr"/>
      <c r="H5168" t="inlineStr"/>
    </row>
    <row r="5169">
      <c r="A5169" t="inlineStr">
        <is>
          <t>86d2f9a5-fba4-4808-8671-18154af2ba94.jpg</t>
        </is>
      </c>
      <c r="B5169">
        <f>HYPERLINK("Объекты недвижимости, не соответствующие градостроительным нормам_00-022_Август/86d2f9a5-fba4-4808-8671-18154af2ba94.jpg","open")</f>
        <v/>
      </c>
      <c r="C5169" t="inlineStr">
        <is>
          <t>8cde1fd0-eca1-4510-86ab-3c743b65fdfc</t>
        </is>
      </c>
      <c r="D5169" t="n">
        <v>55.86616</v>
      </c>
      <c r="E5169" t="n">
        <v>37.4797</v>
      </c>
      <c r="F5169" t="inlineStr"/>
      <c r="G5169" t="inlineStr"/>
      <c r="H5169" t="inlineStr"/>
    </row>
    <row r="5170">
      <c r="A5170" t="inlineStr">
        <is>
          <t>e8159bd1-fb6f-47e2-9403-1a01497560dd.jpg</t>
        </is>
      </c>
      <c r="B5170">
        <f>HYPERLINK("Объекты недвижимости, не соответствующие градостроительным нормам_00-022_Август/e8159bd1-fb6f-47e2-9403-1a01497560dd.jpg","open")</f>
        <v/>
      </c>
      <c r="C5170" t="inlineStr">
        <is>
          <t>8cde1fd0-eca1-4510-86ab-3c743b65fdfc</t>
        </is>
      </c>
      <c r="D5170" t="n">
        <v>55.86679</v>
      </c>
      <c r="E5170" t="n">
        <v>37.48115</v>
      </c>
      <c r="F5170" t="inlineStr"/>
      <c r="G5170" t="inlineStr"/>
      <c r="H5170" t="inlineStr"/>
    </row>
    <row r="5171">
      <c r="A5171" t="inlineStr">
        <is>
          <t>50413e77-86e8-4d2f-b69a-822b93abf3d8.jpg</t>
        </is>
      </c>
      <c r="B5171">
        <f>HYPERLINK("Объекты недвижимости, не соответствующие градостроительным нормам_00-022_Август/50413e77-86e8-4d2f-b69a-822b93abf3d8.jpg","open")</f>
        <v/>
      </c>
      <c r="C5171" t="inlineStr">
        <is>
          <t>1a55986c-2c3f-40c0-b3d1-014dce77832e</t>
        </is>
      </c>
      <c r="D5171" t="n">
        <v>55.31825</v>
      </c>
      <c r="E5171" t="n">
        <v>37.34022</v>
      </c>
      <c r="F5171" t="inlineStr"/>
      <c r="G5171" t="inlineStr"/>
      <c r="H5171" t="inlineStr"/>
    </row>
    <row r="5172">
      <c r="A5172" t="inlineStr">
        <is>
          <t>aa78ddfb-f509-4479-a490-1c09276edc15.jpg</t>
        </is>
      </c>
      <c r="B5172">
        <f>HYPERLINK("Объекты недвижимости, не соответствующие градостроительным нормам_00-022_Август/aa78ddfb-f509-4479-a490-1c09276edc15.jpg","open")</f>
        <v/>
      </c>
      <c r="C5172" t="inlineStr">
        <is>
          <t>ed2bf0f1-3a66-4913-896e-4420a9796c0b</t>
        </is>
      </c>
      <c r="D5172" t="n">
        <v>55.32018</v>
      </c>
      <c r="E5172" t="n">
        <v>37.34372</v>
      </c>
      <c r="F5172" t="inlineStr"/>
      <c r="G5172" t="inlineStr"/>
      <c r="H5172" t="inlineStr"/>
    </row>
    <row r="5173">
      <c r="A5173" t="inlineStr">
        <is>
          <t>d6038d8d-c4bc-4959-869c-0e050209ea50.jpg</t>
        </is>
      </c>
      <c r="B5173">
        <f>HYPERLINK("Объекты недвижимости, не соответствующие градостроительным нормам_00-022_Август/d6038d8d-c4bc-4959-869c-0e050209ea50.jpg","open")</f>
        <v/>
      </c>
      <c r="C5173" t="inlineStr">
        <is>
          <t>8cde1fd0-eca1-4510-86ab-3c743b65fdfc</t>
        </is>
      </c>
      <c r="D5173" t="n">
        <v>55.86085</v>
      </c>
      <c r="E5173" t="n">
        <v>37.52589</v>
      </c>
      <c r="F5173" t="inlineStr"/>
      <c r="G5173" t="inlineStr"/>
      <c r="H5173" t="inlineStr"/>
    </row>
    <row r="5174">
      <c r="A5174" t="inlineStr">
        <is>
          <t>b2de722b-61b5-4eee-b3be-c19674b68ad3.jpg</t>
        </is>
      </c>
      <c r="B5174">
        <f>HYPERLINK("Объекты недвижимости, не соответствующие градостроительным нормам_00-022_Август/b2de722b-61b5-4eee-b3be-c19674b68ad3.jpg","open")</f>
        <v/>
      </c>
      <c r="C5174" t="inlineStr">
        <is>
          <t>ed2bf0f1-3a66-4913-896e-4420a9796c0b</t>
        </is>
      </c>
      <c r="D5174" t="n">
        <v>55.3458</v>
      </c>
      <c r="E5174" t="n">
        <v>37.34303</v>
      </c>
      <c r="F5174" t="inlineStr"/>
      <c r="G5174" t="inlineStr"/>
      <c r="H5174" t="inlineStr"/>
    </row>
    <row r="5175">
      <c r="A5175" t="inlineStr">
        <is>
          <t>0ac583ac-44f8-435e-b401-9b4a8fd9394f.jpg</t>
        </is>
      </c>
      <c r="B5175">
        <f>HYPERLINK("Объекты недвижимости, не соответствующие градостроительным нормам_00-022_Август/0ac583ac-44f8-435e-b401-9b4a8fd9394f.jpg","open")</f>
        <v/>
      </c>
      <c r="C5175" t="inlineStr">
        <is>
          <t>8cde1fd0-eca1-4510-86ab-3c743b65fdfc</t>
        </is>
      </c>
      <c r="D5175" t="n">
        <v>55.79356</v>
      </c>
      <c r="E5175" t="n">
        <v>37.58596</v>
      </c>
      <c r="F5175" t="inlineStr"/>
      <c r="G5175" t="inlineStr"/>
      <c r="H5175" t="inlineStr"/>
    </row>
    <row r="5176">
      <c r="A5176" t="inlineStr">
        <is>
          <t>68867c69-0486-47fb-be01-61fa81492b79.jpg</t>
        </is>
      </c>
      <c r="B5176">
        <f>HYPERLINK("Объекты недвижимости, не соответствующие градостроительным нормам_00-022_Август/68867c69-0486-47fb-be01-61fa81492b79.jpg","open")</f>
        <v/>
      </c>
      <c r="C5176" t="inlineStr">
        <is>
          <t>1a55986c-2c3f-40c0-b3d1-014dce77832e</t>
        </is>
      </c>
      <c r="D5176" t="n">
        <v>55.41562</v>
      </c>
      <c r="E5176" t="n">
        <v>37.49579</v>
      </c>
      <c r="F5176" t="inlineStr"/>
      <c r="G5176" t="inlineStr"/>
      <c r="H5176" t="inlineStr"/>
    </row>
    <row r="5177">
      <c r="A5177" t="inlineStr">
        <is>
          <t>c9161bf0-10fd-48a2-97bc-78ba26d1a7e0.jpg</t>
        </is>
      </c>
      <c r="B5177">
        <f>HYPERLINK("Объекты недвижимости, не соответствующие градостроительным нормам_00-022_Август/c9161bf0-10fd-48a2-97bc-78ba26d1a7e0.jpg","open")</f>
        <v/>
      </c>
      <c r="C5177" t="inlineStr">
        <is>
          <t>ed2bf0f1-3a66-4913-896e-4420a9796c0b</t>
        </is>
      </c>
      <c r="D5177" t="n">
        <v>55.382</v>
      </c>
      <c r="E5177" t="n">
        <v>37.53494</v>
      </c>
      <c r="F5177" t="inlineStr"/>
      <c r="G5177" t="inlineStr"/>
      <c r="H5177" t="inlineStr"/>
    </row>
    <row r="5178">
      <c r="A5178" t="inlineStr">
        <is>
          <t>ee9acd66-3b59-4339-85ae-122c53821b51.jpg</t>
        </is>
      </c>
      <c r="B5178">
        <f>HYPERLINK("Объекты недвижимости, не соответствующие градостроительным нормам_00-022_Август/ee9acd66-3b59-4339-85ae-122c53821b51.jpg","open")</f>
        <v/>
      </c>
      <c r="C5178" t="inlineStr">
        <is>
          <t>ed2bf0f1-3a66-4913-896e-4420a9796c0b</t>
        </is>
      </c>
      <c r="D5178" t="n">
        <v>55.39113</v>
      </c>
      <c r="E5178" t="n">
        <v>37.55822</v>
      </c>
      <c r="F5178" t="inlineStr"/>
      <c r="G5178" t="inlineStr"/>
      <c r="H5178" t="inlineStr"/>
    </row>
    <row r="5179">
      <c r="A5179" t="inlineStr">
        <is>
          <t>7af8be36-808a-4b5b-8dfa-483229db306e.jpg</t>
        </is>
      </c>
      <c r="B5179">
        <f>HYPERLINK("Объекты недвижимости, не соответствующие градостроительным нормам_00-022_Август/7af8be36-808a-4b5b-8dfa-483229db306e.jpg","open")</f>
        <v/>
      </c>
      <c r="C5179" t="inlineStr">
        <is>
          <t>1a55986c-2c3f-40c0-b3d1-014dce77832e</t>
        </is>
      </c>
      <c r="D5179" t="n">
        <v>55.39232</v>
      </c>
      <c r="E5179" t="n">
        <v>37.5625</v>
      </c>
      <c r="F5179" t="inlineStr"/>
      <c r="G5179" t="inlineStr"/>
      <c r="H5179" t="inlineStr"/>
    </row>
    <row r="5180">
      <c r="A5180" t="inlineStr">
        <is>
          <t>3e2c1e75-5192-4406-8cba-6df20eb2abad.jpg</t>
        </is>
      </c>
      <c r="B5180">
        <f>HYPERLINK("Объекты недвижимости, не соответствующие градостроительным нормам_00-022_Август/3e2c1e75-5192-4406-8cba-6df20eb2abad.jpg","open")</f>
        <v/>
      </c>
      <c r="C5180" t="inlineStr">
        <is>
          <t>ed2bf0f1-3a66-4913-896e-4420a9796c0b</t>
        </is>
      </c>
      <c r="D5180" t="n">
        <v>55.39245</v>
      </c>
      <c r="E5180" t="n">
        <v>37.56294</v>
      </c>
      <c r="F5180" t="inlineStr"/>
      <c r="G5180" t="inlineStr"/>
      <c r="H5180" t="inlineStr"/>
    </row>
    <row r="5181">
      <c r="A5181" t="inlineStr">
        <is>
          <t>75a1050f-33a8-44bd-b19f-e531e55cef50.jpg</t>
        </is>
      </c>
      <c r="B5181">
        <f>HYPERLINK("Объекты недвижимости, не соответствующие градостроительным нормам_00-022_Август/75a1050f-33a8-44bd-b19f-e531e55cef50.jpg","open")</f>
        <v/>
      </c>
      <c r="C5181" t="inlineStr">
        <is>
          <t>8cde1fd0-eca1-4510-86ab-3c743b65fdfc</t>
        </is>
      </c>
      <c r="D5181" t="n">
        <v>55.76548</v>
      </c>
      <c r="E5181" t="n">
        <v>37.64969</v>
      </c>
      <c r="F5181" t="inlineStr"/>
      <c r="G5181" t="inlineStr"/>
      <c r="H5181" t="inlineStr"/>
    </row>
    <row r="5182">
      <c r="A5182" t="inlineStr">
        <is>
          <t>b96bc658-ae08-4ec3-a4bc-1b4a1bc5ff44.jpg</t>
        </is>
      </c>
      <c r="B5182">
        <f>HYPERLINK("Объекты недвижимости, не соответствующие градостроительным нормам_00-022_Август/b96bc658-ae08-4ec3-a4bc-1b4a1bc5ff44.jpg","open")</f>
        <v/>
      </c>
      <c r="C5182" t="inlineStr">
        <is>
          <t>1a55986c-2c3f-40c0-b3d1-014dce77832e</t>
        </is>
      </c>
      <c r="D5182" t="n">
        <v>55.43791</v>
      </c>
      <c r="E5182" t="n">
        <v>37.61606</v>
      </c>
      <c r="F5182" t="inlineStr"/>
      <c r="G5182" t="inlineStr"/>
      <c r="H5182" t="inlineStr"/>
    </row>
    <row r="5183">
      <c r="A5183" t="inlineStr">
        <is>
          <t>1d7e0378-ab7d-4931-8c2a-cc052a904089.jpg</t>
        </is>
      </c>
      <c r="B5183">
        <f>HYPERLINK("Объекты недвижимости, не соответствующие градостроительным нормам_00-022_Август/1d7e0378-ab7d-4931-8c2a-cc052a904089.jpg","open")</f>
        <v/>
      </c>
      <c r="C5183" t="inlineStr">
        <is>
          <t>1a55986c-2c3f-40c0-b3d1-014dce77832e</t>
        </is>
      </c>
      <c r="D5183" t="n">
        <v>55.43515</v>
      </c>
      <c r="E5183" t="n">
        <v>37.61555</v>
      </c>
      <c r="F5183" t="inlineStr"/>
      <c r="G5183" t="inlineStr"/>
      <c r="H5183" t="inlineStr"/>
    </row>
    <row r="5184">
      <c r="A5184" t="inlineStr">
        <is>
          <t>92566754-4a7f-45db-8234-015ff3395181.jpg</t>
        </is>
      </c>
      <c r="B5184">
        <f>HYPERLINK("Объекты недвижимости, не соответствующие градостроительным нормам_00-022_Август/92566754-4a7f-45db-8234-015ff3395181.jpg","open")</f>
        <v/>
      </c>
      <c r="C5184" t="inlineStr">
        <is>
          <t>1a55986c-2c3f-40c0-b3d1-014dce77832e</t>
        </is>
      </c>
      <c r="D5184" t="n">
        <v>55.44477</v>
      </c>
      <c r="E5184" t="n">
        <v>37.61727</v>
      </c>
      <c r="F5184" t="inlineStr"/>
      <c r="G5184" t="inlineStr"/>
      <c r="H5184" t="inlineStr"/>
    </row>
    <row r="5185">
      <c r="A5185" t="inlineStr">
        <is>
          <t>612a3103-ab76-4a19-b19b-7fed80bc7f8c.jpg</t>
        </is>
      </c>
      <c r="B5185">
        <f>HYPERLINK("Объекты недвижимости, не соответствующие градостроительным нормам_00-022_Август/612a3103-ab76-4a19-b19b-7fed80bc7f8c.jpg","open")</f>
        <v/>
      </c>
      <c r="C5185" t="inlineStr">
        <is>
          <t>8cde1fd0-eca1-4510-86ab-3c743b65fdfc</t>
        </is>
      </c>
      <c r="D5185" t="n">
        <v>55.80951</v>
      </c>
      <c r="E5185" t="n">
        <v>37.80483</v>
      </c>
      <c r="F5185" t="inlineStr"/>
      <c r="G5185" t="inlineStr"/>
      <c r="H5185" t="inlineStr"/>
    </row>
    <row r="5186">
      <c r="A5186" t="inlineStr">
        <is>
          <t>40d9d0fc-b219-4629-bb04-402162babd6c.jpg</t>
        </is>
      </c>
      <c r="B5186">
        <f>HYPERLINK("Объекты недвижимости, не соответствующие градостроительным нормам_00-022_Август/40d9d0fc-b219-4629-bb04-402162babd6c.jpg","open")</f>
        <v/>
      </c>
      <c r="C5186" t="inlineStr">
        <is>
          <t>1c951e11-4940-43c6-a447-394097e5609a</t>
        </is>
      </c>
      <c r="D5186" t="n">
        <v>55.80951</v>
      </c>
      <c r="E5186" t="n">
        <v>37.80483</v>
      </c>
      <c r="F5186" t="inlineStr"/>
      <c r="G5186" t="inlineStr"/>
      <c r="H5186" t="inlineStr"/>
    </row>
    <row r="5187">
      <c r="A5187" t="inlineStr">
        <is>
          <t>a3e166f9-b91d-4aae-8fc3-094729f06fbf.jpg</t>
        </is>
      </c>
      <c r="B5187">
        <f>HYPERLINK("Объекты недвижимости, не соответствующие градостроительным нормам_00-022_Август/a3e166f9-b91d-4aae-8fc3-094729f06fbf.jpg","open")</f>
        <v/>
      </c>
      <c r="C5187" t="inlineStr">
        <is>
          <t>1a55986c-2c3f-40c0-b3d1-014dce77832e</t>
        </is>
      </c>
      <c r="D5187" t="n">
        <v>55.58004</v>
      </c>
      <c r="E5187" t="n">
        <v>37.61495</v>
      </c>
      <c r="F5187" t="inlineStr"/>
      <c r="G5187" t="inlineStr"/>
      <c r="H5187" t="inlineStr"/>
    </row>
    <row r="5188">
      <c r="A5188" t="inlineStr">
        <is>
          <t>b0e5d41b-233f-445d-b5a6-ea2995318832.jpg</t>
        </is>
      </c>
      <c r="B5188">
        <f>HYPERLINK("Объекты недвижимости, не соответствующие градостроительным нормам_00-022_Август/b0e5d41b-233f-445d-b5a6-ea2995318832.jpg","open")</f>
        <v/>
      </c>
      <c r="C5188" t="inlineStr">
        <is>
          <t>ed2bf0f1-3a66-4913-896e-4420a9796c0b</t>
        </is>
      </c>
      <c r="D5188" t="n">
        <v>55.61206</v>
      </c>
      <c r="E5188" t="n">
        <v>37.64087</v>
      </c>
      <c r="F5188" t="inlineStr"/>
      <c r="G5188" t="inlineStr"/>
      <c r="H5188" t="inlineStr"/>
    </row>
    <row r="5189">
      <c r="A5189" t="inlineStr">
        <is>
          <t>2e263d08-9247-4cdb-96d2-69abf35b031a.jpg</t>
        </is>
      </c>
      <c r="B5189">
        <f>HYPERLINK("Объекты недвижимости, не соответствующие градостроительным нормам_00-022_Август/2e263d08-9247-4cdb-96d2-69abf35b031a.jpg","open")</f>
        <v/>
      </c>
      <c r="C5189" t="inlineStr">
        <is>
          <t>1a55986c-2c3f-40c0-b3d1-014dce77832e</t>
        </is>
      </c>
      <c r="D5189" t="n">
        <v>55.63768</v>
      </c>
      <c r="E5189" t="n">
        <v>37.66532</v>
      </c>
      <c r="F5189" t="inlineStr"/>
      <c r="G5189" t="inlineStr"/>
      <c r="H5189" t="inlineStr"/>
    </row>
    <row r="5190">
      <c r="A5190" t="inlineStr">
        <is>
          <t>735f0202-9501-4e09-b794-23832694da9e.jpg</t>
        </is>
      </c>
      <c r="B5190">
        <f>HYPERLINK("Объекты недвижимости, не соответствующие градостроительным нормам_00-022_Август/735f0202-9501-4e09-b794-23832694da9e.jpg","open")</f>
        <v/>
      </c>
      <c r="C5190" t="inlineStr">
        <is>
          <t>ed2bf0f1-3a66-4913-896e-4420a9796c0b</t>
        </is>
      </c>
      <c r="D5190" t="n">
        <v>55.64996</v>
      </c>
      <c r="E5190" t="n">
        <v>37.70049</v>
      </c>
      <c r="F5190" t="inlineStr"/>
      <c r="G5190" t="inlineStr"/>
      <c r="H5190" t="inlineStr"/>
    </row>
    <row r="5191">
      <c r="A5191" t="inlineStr">
        <is>
          <t>d1715af8-3084-42b7-b28a-3c50d83512ad.jpg</t>
        </is>
      </c>
      <c r="B5191">
        <f>HYPERLINK("Объекты недвижимости, не соответствующие градостроительным нормам_00-022_Август/d1715af8-3084-42b7-b28a-3c50d83512ad.jpg","open")</f>
        <v/>
      </c>
      <c r="C5191" t="inlineStr">
        <is>
          <t>ed2bf0f1-3a66-4913-896e-4420a9796c0b</t>
        </is>
      </c>
      <c r="D5191" t="n">
        <v>55.66362</v>
      </c>
      <c r="E5191" t="n">
        <v>37.71915</v>
      </c>
      <c r="F5191" t="inlineStr"/>
      <c r="G5191" t="inlineStr"/>
      <c r="H5191" t="inlineStr"/>
    </row>
    <row r="5192">
      <c r="A5192" t="inlineStr">
        <is>
          <t>ca8ad666-eb72-4188-8a5e-18bf8ec1de7f.jpg</t>
        </is>
      </c>
      <c r="B5192">
        <f>HYPERLINK("Объекты недвижимости, не соответствующие градостроительным нормам_00-022_Август/ca8ad666-eb72-4188-8a5e-18bf8ec1de7f.jpg","open")</f>
        <v/>
      </c>
      <c r="C5192" t="inlineStr">
        <is>
          <t>caa4772d-6278-4484-a046-ee25514bf521</t>
        </is>
      </c>
      <c r="D5192" t="n">
        <v>55.73442</v>
      </c>
      <c r="E5192" t="n">
        <v>37.7085</v>
      </c>
      <c r="F5192" t="inlineStr"/>
      <c r="G5192" t="inlineStr"/>
      <c r="H5192" t="inlineStr"/>
    </row>
    <row r="5193">
      <c r="A5193" t="inlineStr">
        <is>
          <t>e7e1c5cf-837b-413f-9467-b644d6526094.jpg</t>
        </is>
      </c>
      <c r="B5193">
        <f>HYPERLINK("Объекты недвижимости, не соответствующие градостроительным нормам_00-022_Август/e7e1c5cf-837b-413f-9467-b644d6526094.jpg","open")</f>
        <v/>
      </c>
      <c r="C5193" t="inlineStr">
        <is>
          <t>caa4772d-6278-4484-a046-ee25514bf521</t>
        </is>
      </c>
      <c r="D5193" t="n">
        <v>55.73491</v>
      </c>
      <c r="E5193" t="n">
        <v>37.70646</v>
      </c>
      <c r="F5193" t="inlineStr"/>
      <c r="G5193" t="inlineStr"/>
      <c r="H5193" t="inlineStr"/>
    </row>
    <row r="5194">
      <c r="A5194" t="inlineStr">
        <is>
          <t>f11cb4d1-f4ca-45f0-b083-9dd8ae139a93.jpg</t>
        </is>
      </c>
      <c r="B5194">
        <f>HYPERLINK("Объекты недвижимости, не соответствующие градостроительным нормам_00-022_Август/f11cb4d1-f4ca-45f0-b083-9dd8ae139a93.jpg","open")</f>
        <v/>
      </c>
      <c r="C5194" t="inlineStr">
        <is>
          <t>ed2bf0f1-3a66-4913-896e-4420a9796c0b</t>
        </is>
      </c>
      <c r="D5194" t="n">
        <v>55.74168</v>
      </c>
      <c r="E5194" t="n">
        <v>37.69688</v>
      </c>
      <c r="F5194" t="inlineStr"/>
      <c r="G5194" t="inlineStr"/>
      <c r="H5194" t="inlineStr"/>
    </row>
    <row r="5195">
      <c r="A5195" t="inlineStr">
        <is>
          <t>201e6d1a-4426-4caa-8b26-bbc89b985a68.jpg</t>
        </is>
      </c>
      <c r="B5195">
        <f>HYPERLINK("Объекты недвижимости, не соответствующие градостроительным нормам_00-022_Август/201e6d1a-4426-4caa-8b26-bbc89b985a68.jpg","open")</f>
        <v/>
      </c>
      <c r="C5195" t="inlineStr">
        <is>
          <t>ed2bf0f1-3a66-4913-896e-4420a9796c0b</t>
        </is>
      </c>
      <c r="D5195" t="n">
        <v>55.74324</v>
      </c>
      <c r="E5195" t="n">
        <v>37.69706</v>
      </c>
      <c r="F5195" t="inlineStr"/>
      <c r="G5195" t="inlineStr"/>
      <c r="H5195" t="inlineStr"/>
    </row>
    <row r="5196">
      <c r="A5196" t="inlineStr">
        <is>
          <t>0b2b7e7f-5206-4f2b-9147-e921dd6bb5bb.jpg</t>
        </is>
      </c>
      <c r="B5196">
        <f>HYPERLINK("Объекты недвижимости, не соответствующие градостроительным нормам_00-022_Август/0b2b7e7f-5206-4f2b-9147-e921dd6bb5bb.jpg","open")</f>
        <v/>
      </c>
      <c r="C5196" t="inlineStr">
        <is>
          <t>8beacb4f-617e-4b34-8030-60c4dff5f8d1</t>
        </is>
      </c>
      <c r="D5196" t="n">
        <v>55.73607</v>
      </c>
      <c r="E5196" t="n">
        <v>37.5925</v>
      </c>
      <c r="F5196" t="inlineStr"/>
      <c r="G5196" t="inlineStr"/>
      <c r="H5196" t="inlineStr"/>
    </row>
    <row r="5197">
      <c r="A5197" t="inlineStr">
        <is>
          <t>d5b73257-ebd2-4136-a591-8988424eae55.jpg</t>
        </is>
      </c>
      <c r="B5197">
        <f>HYPERLINK("Объекты недвижимости, не соответствующие градостроительным нормам_00-022_Август/d5b73257-ebd2-4136-a591-8988424eae55.jpg","open")</f>
        <v/>
      </c>
      <c r="C5197" t="inlineStr">
        <is>
          <t>8beacb4f-617e-4b34-8030-60c4dff5f8d1</t>
        </is>
      </c>
      <c r="D5197" t="n">
        <v>55.75058</v>
      </c>
      <c r="E5197" t="n">
        <v>37.58158</v>
      </c>
      <c r="F5197" t="inlineStr"/>
      <c r="G5197" t="inlineStr"/>
      <c r="H5197" t="inlineStr"/>
    </row>
    <row r="5198">
      <c r="A5198" t="inlineStr">
        <is>
          <t>c5ece0ba-192b-45d3-8dfb-4bf7f21e5031.jpg</t>
        </is>
      </c>
      <c r="B5198">
        <f>HYPERLINK("Объекты недвижимости, не соответствующие градостроительным нормам_00-022_Август/c5ece0ba-192b-45d3-8dfb-4bf7f21e5031.jpg","open")</f>
        <v/>
      </c>
      <c r="C5198" t="inlineStr">
        <is>
          <t>93848fc8-17e7-4748-9ebc-c7e379e11d2f</t>
        </is>
      </c>
      <c r="D5198" t="n">
        <v>55.73504</v>
      </c>
      <c r="E5198" t="n">
        <v>37.72526</v>
      </c>
      <c r="F5198" t="inlineStr"/>
      <c r="G5198" t="inlineStr"/>
      <c r="H5198" t="inlineStr"/>
    </row>
    <row r="5199">
      <c r="A5199" t="inlineStr">
        <is>
          <t>773851be-feec-43ca-84e2-a7c5c064a03a.jpg</t>
        </is>
      </c>
      <c r="B5199">
        <f>HYPERLINK("Объекты недвижимости, не соответствующие градостроительным нормам_00-022_Август/773851be-feec-43ca-84e2-a7c5c064a03a.jpg","open")</f>
        <v/>
      </c>
      <c r="C5199" t="inlineStr">
        <is>
          <t>fb40ed24-21ef-458a-a239-038ab19932cc</t>
        </is>
      </c>
      <c r="D5199" t="n">
        <v>55.75104</v>
      </c>
      <c r="E5199" t="n">
        <v>37.84785</v>
      </c>
      <c r="F5199" t="inlineStr"/>
      <c r="G5199" t="inlineStr"/>
      <c r="H5199" t="inlineStr"/>
    </row>
    <row r="5200">
      <c r="A5200" t="inlineStr">
        <is>
          <t>515ab0a7-e671-4e2b-b695-f54081c40572.jpg</t>
        </is>
      </c>
      <c r="B5200">
        <f>HYPERLINK("Объекты недвижимости, не соответствующие градостроительным нормам_00-022_Август/515ab0a7-e671-4e2b-b695-f54081c40572.jpg","open")</f>
        <v/>
      </c>
      <c r="C5200" t="inlineStr">
        <is>
          <t>cbf95b01-f708-45a3-9ec0-3603469b538e</t>
        </is>
      </c>
      <c r="D5200" t="n">
        <v>55.71892</v>
      </c>
      <c r="E5200" t="n">
        <v>37.49547</v>
      </c>
      <c r="F5200" t="inlineStr"/>
      <c r="G5200" t="inlineStr"/>
      <c r="H5200" t="inlineStr"/>
    </row>
    <row r="5201">
      <c r="A5201" t="inlineStr">
        <is>
          <t>e11bc17b-7f7e-4ad8-9cfa-36ee27ed7290.jpg</t>
        </is>
      </c>
      <c r="B5201">
        <f>HYPERLINK("Объекты недвижимости, не соответствующие градостроительным нормам_00-022_Август/e11bc17b-7f7e-4ad8-9cfa-36ee27ed7290.jpg","open")</f>
        <v/>
      </c>
      <c r="C5201" t="inlineStr">
        <is>
          <t>cbf95b01-f708-45a3-9ec0-3603469b538e</t>
        </is>
      </c>
      <c r="D5201" t="n">
        <v>55.73488</v>
      </c>
      <c r="E5201" t="n">
        <v>37.53593</v>
      </c>
      <c r="F5201" t="inlineStr"/>
      <c r="G5201" t="inlineStr"/>
      <c r="H5201" t="inlineStr"/>
    </row>
    <row r="5202">
      <c r="A5202" t="inlineStr">
        <is>
          <t>48f8fc57-cc87-4559-bbb5-088488737543.jpg</t>
        </is>
      </c>
      <c r="B5202">
        <f>HYPERLINK("Объекты недвижимости, не соответствующие градостроительным нормам_00-022_Август/48f8fc57-cc87-4559-bbb5-088488737543.jpg","open")</f>
        <v/>
      </c>
      <c r="C5202" t="inlineStr">
        <is>
          <t>cbf95b01-f708-45a3-9ec0-3603469b538e</t>
        </is>
      </c>
      <c r="D5202" t="n">
        <v>55.7385</v>
      </c>
      <c r="E5202" t="n">
        <v>37.58633</v>
      </c>
      <c r="F5202" t="inlineStr"/>
      <c r="G5202" t="inlineStr"/>
      <c r="H5202" t="inlineStr"/>
    </row>
    <row r="5203">
      <c r="A5203" t="inlineStr">
        <is>
          <t>ddda9adc-9d18-4e2f-bbc4-327adb02d432.jpg</t>
        </is>
      </c>
      <c r="B5203">
        <f>HYPERLINK("Объекты недвижимости, не соответствующие градостроительным нормам_00-022_Август/ddda9adc-9d18-4e2f-bbc4-327adb02d432.jpg","open")</f>
        <v/>
      </c>
      <c r="C5203" t="inlineStr">
        <is>
          <t>cbf95b01-f708-45a3-9ec0-3603469b538e</t>
        </is>
      </c>
      <c r="D5203" t="n">
        <v>55.74133</v>
      </c>
      <c r="E5203" t="n">
        <v>37.64198</v>
      </c>
      <c r="F5203" t="inlineStr"/>
      <c r="G5203" t="inlineStr"/>
      <c r="H5203" t="inlineStr"/>
    </row>
    <row r="5204">
      <c r="A5204" t="inlineStr">
        <is>
          <t>5db97d64-768a-4af7-92a4-961638922c12.jpg</t>
        </is>
      </c>
      <c r="B5204">
        <f>HYPERLINK("Объекты недвижимости, не соответствующие градостроительным нормам_00-022_Август/5db97d64-768a-4af7-92a4-961638922c12.jpg","open")</f>
        <v/>
      </c>
      <c r="C5204" t="inlineStr">
        <is>
          <t>cbf95b01-f708-45a3-9ec0-3603469b538e</t>
        </is>
      </c>
      <c r="D5204" t="n">
        <v>55.74133</v>
      </c>
      <c r="E5204" t="n">
        <v>37.64198</v>
      </c>
      <c r="F5204" t="inlineStr"/>
      <c r="G5204" t="inlineStr"/>
      <c r="H5204" t="inlineStr"/>
    </row>
    <row r="5205">
      <c r="A5205" t="inlineStr">
        <is>
          <t>bb6d9ae1-48cc-4365-81a5-061bdddb9bf8.jpg</t>
        </is>
      </c>
      <c r="B5205">
        <f>HYPERLINK("Объекты недвижимости, не соответствующие градостроительным нормам_00-022_Август/bb6d9ae1-48cc-4365-81a5-061bdddb9bf8.jpg","open")</f>
        <v/>
      </c>
      <c r="C5205" t="inlineStr">
        <is>
          <t>cbf95b01-f708-45a3-9ec0-3603469b538e</t>
        </is>
      </c>
      <c r="D5205" t="n">
        <v>55.74133</v>
      </c>
      <c r="E5205" t="n">
        <v>37.64198</v>
      </c>
      <c r="F5205" t="inlineStr"/>
      <c r="G5205" t="inlineStr"/>
      <c r="H5205" t="inlineStr"/>
    </row>
    <row r="5206">
      <c r="A5206" t="inlineStr">
        <is>
          <t>b6bfff6e-98e4-488a-8e39-2d64456bf879.jpg</t>
        </is>
      </c>
      <c r="B5206">
        <f>HYPERLINK("Объекты недвижимости, не соответствующие градостроительным нормам_00-022_Август/b6bfff6e-98e4-488a-8e39-2d64456bf879.jpg","open")</f>
        <v/>
      </c>
      <c r="C5206" t="inlineStr">
        <is>
          <t>cbf95b01-f708-45a3-9ec0-3603469b538e</t>
        </is>
      </c>
      <c r="D5206" t="n">
        <v>55.74133</v>
      </c>
      <c r="E5206" t="n">
        <v>37.64198</v>
      </c>
      <c r="F5206" t="inlineStr"/>
      <c r="G5206" t="inlineStr"/>
      <c r="H5206" t="inlineStr"/>
    </row>
    <row r="5207">
      <c r="A5207" t="inlineStr">
        <is>
          <t>88cb0a79-dac4-46fd-9829-ebcfa24845f8.jpg</t>
        </is>
      </c>
      <c r="B5207">
        <f>HYPERLINK("Объекты недвижимости, не соответствующие градостроительным нормам_00-022_Август/88cb0a79-dac4-46fd-9829-ebcfa24845f8.jpg","open")</f>
        <v/>
      </c>
      <c r="C5207" t="inlineStr">
        <is>
          <t>cbf95b01-f708-45a3-9ec0-3603469b538e</t>
        </is>
      </c>
      <c r="D5207" t="n">
        <v>55.74133</v>
      </c>
      <c r="E5207" t="n">
        <v>37.64198</v>
      </c>
      <c r="F5207" t="inlineStr"/>
      <c r="G5207" t="inlineStr"/>
      <c r="H5207" t="inlineStr"/>
    </row>
    <row r="5208">
      <c r="A5208" t="inlineStr">
        <is>
          <t>e5a771e4-4def-4dbd-9320-3b9093687876.jpg</t>
        </is>
      </c>
      <c r="B5208">
        <f>HYPERLINK("Объекты недвижимости, не соответствующие градостроительным нормам_00-022_Август/e5a771e4-4def-4dbd-9320-3b9093687876.jpg","open")</f>
        <v/>
      </c>
      <c r="C5208" t="inlineStr">
        <is>
          <t>fb40ed24-21ef-458a-a239-038ab19932cc</t>
        </is>
      </c>
      <c r="D5208" t="n">
        <v>55.81963</v>
      </c>
      <c r="E5208" t="n">
        <v>37.77729</v>
      </c>
      <c r="F5208" t="inlineStr"/>
      <c r="G5208" t="inlineStr"/>
      <c r="H5208" t="inlineStr"/>
    </row>
    <row r="5209">
      <c r="A5209" t="inlineStr">
        <is>
          <t>90fdcab7-d0f2-48ee-a5cb-379d22ef3fa9.jpg</t>
        </is>
      </c>
      <c r="B5209">
        <f>HYPERLINK("Объекты недвижимости, не соответствующие градостроительным нормам_00-022_Август/90fdcab7-d0f2-48ee-a5cb-379d22ef3fa9.jpg","open")</f>
        <v/>
      </c>
      <c r="C5209" t="inlineStr">
        <is>
          <t>fb40ed24-21ef-458a-a239-038ab19932cc</t>
        </is>
      </c>
      <c r="D5209" t="n">
        <v>55.82083</v>
      </c>
      <c r="E5209" t="n">
        <v>37.74493</v>
      </c>
      <c r="F5209" t="inlineStr"/>
      <c r="G5209" t="inlineStr"/>
      <c r="H5209" t="inlineStr"/>
    </row>
    <row r="5210">
      <c r="A5210" t="inlineStr">
        <is>
          <t>583a46c8-8a85-49ac-80fc-540fe088ecb8.jpg</t>
        </is>
      </c>
      <c r="B5210">
        <f>HYPERLINK("Объекты недвижимости, не соответствующие градостроительным нормам_00-022_Август/583a46c8-8a85-49ac-80fc-540fe088ecb8.jpg","open")</f>
        <v/>
      </c>
      <c r="C5210" t="inlineStr">
        <is>
          <t>cbf95b01-f708-45a3-9ec0-3603469b538e</t>
        </is>
      </c>
      <c r="D5210" t="n">
        <v>55.74133</v>
      </c>
      <c r="E5210" t="n">
        <v>37.64198</v>
      </c>
      <c r="F5210" t="inlineStr"/>
      <c r="G5210" t="inlineStr"/>
      <c r="H5210" t="inlineStr"/>
    </row>
    <row r="5211">
      <c r="A5211" t="inlineStr">
        <is>
          <t>ed6df199-d278-4980-b6fa-77a910c22742.jpg</t>
        </is>
      </c>
      <c r="B5211">
        <f>HYPERLINK("Объекты недвижимости, не соответствующие градостроительным нормам_00-022_Август/ed6df199-d278-4980-b6fa-77a910c22742.jpg","open")</f>
        <v/>
      </c>
      <c r="C5211" t="inlineStr">
        <is>
          <t>797901ad-53b1-41b8-99d1-d59d59c863d5</t>
        </is>
      </c>
      <c r="D5211" t="n">
        <v>55.82206</v>
      </c>
      <c r="E5211" t="n">
        <v>37.74497</v>
      </c>
      <c r="F5211" t="inlineStr"/>
      <c r="G5211" t="inlineStr"/>
      <c r="H5211" t="inlineStr"/>
    </row>
    <row r="5212">
      <c r="A5212" t="inlineStr">
        <is>
          <t>967126e4-5b24-4580-84b8-31b15ac010d1.jpg</t>
        </is>
      </c>
      <c r="B5212">
        <f>HYPERLINK("Объекты недвижимости, не соответствующие градостроительным нормам_00-022_Август/967126e4-5b24-4580-84b8-31b15ac010d1.jpg","open")</f>
        <v/>
      </c>
      <c r="C5212" t="inlineStr">
        <is>
          <t>cbf95b01-f708-45a3-9ec0-3603469b538e</t>
        </is>
      </c>
      <c r="D5212" t="n">
        <v>55.74133</v>
      </c>
      <c r="E5212" t="n">
        <v>37.64198</v>
      </c>
      <c r="F5212" t="inlineStr"/>
      <c r="G5212" t="inlineStr"/>
      <c r="H5212" t="inlineStr"/>
    </row>
    <row r="5213">
      <c r="A5213" t="inlineStr">
        <is>
          <t>8f8ed593-413a-4156-b534-87558b16f07c.jpg</t>
        </is>
      </c>
      <c r="B5213">
        <f>HYPERLINK("Объекты недвижимости, не соответствующие градостроительным нормам_00-022_Август/8f8ed593-413a-4156-b534-87558b16f07c.jpg","open")</f>
        <v/>
      </c>
      <c r="C5213" t="inlineStr">
        <is>
          <t>cbf95b01-f708-45a3-9ec0-3603469b538e</t>
        </is>
      </c>
      <c r="D5213" t="n">
        <v>55.74133</v>
      </c>
      <c r="E5213" t="n">
        <v>37.64198</v>
      </c>
      <c r="F5213" t="inlineStr"/>
      <c r="G5213" t="inlineStr"/>
      <c r="H5213" t="inlineStr"/>
    </row>
    <row r="5214">
      <c r="A5214" t="inlineStr">
        <is>
          <t>5ea3b98d-5ff4-4537-b097-83f2e53397e7.jpg</t>
        </is>
      </c>
      <c r="B5214">
        <f>HYPERLINK("Объекты недвижимости, не соответствующие градостроительным нормам_00-022_Август/5ea3b98d-5ff4-4537-b097-83f2e53397e7.jpg","open")</f>
        <v/>
      </c>
      <c r="C5214" t="inlineStr">
        <is>
          <t>cbf95b01-f708-45a3-9ec0-3603469b538e</t>
        </is>
      </c>
      <c r="D5214" t="n">
        <v>55.74133</v>
      </c>
      <c r="E5214" t="n">
        <v>37.64198</v>
      </c>
      <c r="F5214" t="inlineStr"/>
      <c r="G5214" t="inlineStr"/>
      <c r="H5214" t="inlineStr"/>
    </row>
    <row r="5215">
      <c r="A5215" t="inlineStr">
        <is>
          <t>ae5bed27-fcdc-4033-b154-479edf6fd03a.jpg</t>
        </is>
      </c>
      <c r="B5215">
        <f>HYPERLINK("Объекты недвижимости, не соответствующие градостроительным нормам_00-022_Август/ae5bed27-fcdc-4033-b154-479edf6fd03a.jpg","open")</f>
        <v/>
      </c>
      <c r="C5215" t="inlineStr">
        <is>
          <t>cbf95b01-f708-45a3-9ec0-3603469b538e</t>
        </is>
      </c>
      <c r="D5215" t="n">
        <v>55.74133</v>
      </c>
      <c r="E5215" t="n">
        <v>37.64198</v>
      </c>
      <c r="F5215" t="inlineStr"/>
      <c r="G5215" t="inlineStr"/>
      <c r="H5215" t="inlineStr"/>
    </row>
    <row r="5216">
      <c r="A5216" t="inlineStr">
        <is>
          <t>fde586f5-b0e2-4856-b468-a3fb2e877507.jpg</t>
        </is>
      </c>
      <c r="B5216">
        <f>HYPERLINK("Объекты недвижимости, не соответствующие градостроительным нормам_00-022_Август/fde586f5-b0e2-4856-b468-a3fb2e877507.jpg","open")</f>
        <v/>
      </c>
      <c r="C5216" t="inlineStr">
        <is>
          <t>fb40ed24-21ef-458a-a239-038ab19932cc</t>
        </is>
      </c>
      <c r="D5216" t="n">
        <v>55.75129</v>
      </c>
      <c r="E5216" t="n">
        <v>37.8475</v>
      </c>
      <c r="F5216" t="inlineStr"/>
      <c r="G5216" t="inlineStr"/>
      <c r="H5216" t="inlineStr"/>
    </row>
    <row r="5217">
      <c r="A5217" t="inlineStr">
        <is>
          <t>8cda07a7-5318-4808-8412-8028f44ec8b9.jpg</t>
        </is>
      </c>
      <c r="B5217">
        <f>HYPERLINK("Объекты недвижимости, не соответствующие градостроительным нормам_00-022_Август/8cda07a7-5318-4808-8412-8028f44ec8b9.jpg","open")</f>
        <v/>
      </c>
      <c r="C5217" t="inlineStr">
        <is>
          <t>cbf95b01-f708-45a3-9ec0-3603469b538e</t>
        </is>
      </c>
      <c r="D5217" t="n">
        <v>55.74133</v>
      </c>
      <c r="E5217" t="n">
        <v>37.64198</v>
      </c>
      <c r="F5217" t="inlineStr"/>
      <c r="G5217" t="inlineStr"/>
      <c r="H5217" t="inlineStr"/>
    </row>
    <row r="5218">
      <c r="A5218" t="inlineStr">
        <is>
          <t>f324d665-b76e-4a45-8d16-5e978b6c31ab.jpg</t>
        </is>
      </c>
      <c r="B5218">
        <f>HYPERLINK("Объекты недвижимости, не соответствующие градостроительным нормам_00-022_Август/f324d665-b76e-4a45-8d16-5e978b6c31ab.jpg","open")</f>
        <v/>
      </c>
      <c r="C5218" t="inlineStr">
        <is>
          <t>cbf95b01-f708-45a3-9ec0-3603469b538e</t>
        </is>
      </c>
      <c r="D5218" t="n">
        <v>55.77416</v>
      </c>
      <c r="E5218" t="n">
        <v>37.60239</v>
      </c>
      <c r="F5218" t="inlineStr"/>
      <c r="G5218" t="inlineStr"/>
      <c r="H5218" t="inlineStr"/>
    </row>
    <row r="5219">
      <c r="A5219" t="inlineStr">
        <is>
          <t>f7beab44-4272-4435-8d73-3d891fc049ae.jpg</t>
        </is>
      </c>
      <c r="B5219">
        <f>HYPERLINK("Объекты недвижимости, не соответствующие градостроительным нормам_00-022_Август/f7beab44-4272-4435-8d73-3d891fc049ae.jpg","open")</f>
        <v/>
      </c>
      <c r="C5219" t="inlineStr">
        <is>
          <t>cbf95b01-f708-45a3-9ec0-3603469b538e</t>
        </is>
      </c>
      <c r="D5219" t="n">
        <v>55.77416</v>
      </c>
      <c r="E5219" t="n">
        <v>37.60239</v>
      </c>
      <c r="F5219" t="inlineStr"/>
      <c r="G5219" t="inlineStr"/>
      <c r="H5219" t="inlineStr"/>
    </row>
    <row r="5220">
      <c r="A5220" t="inlineStr">
        <is>
          <t>28e4f952-4fe9-4459-b17f-792b83d7f83c.jpg</t>
        </is>
      </c>
      <c r="B5220">
        <f>HYPERLINK("Объекты недвижимости, не соответствующие градостроительным нормам_00-022_Август/28e4f952-4fe9-4459-b17f-792b83d7f83c.jpg","open")</f>
        <v/>
      </c>
      <c r="C5220" t="inlineStr">
        <is>
          <t>cbf95b01-f708-45a3-9ec0-3603469b538e</t>
        </is>
      </c>
      <c r="D5220" t="n">
        <v>55.77416</v>
      </c>
      <c r="E5220" t="n">
        <v>37.60239</v>
      </c>
      <c r="F5220" t="inlineStr"/>
      <c r="G5220" t="inlineStr"/>
      <c r="H5220" t="inlineStr"/>
    </row>
    <row r="5221">
      <c r="A5221" t="inlineStr">
        <is>
          <t>2eac25fe-ccc2-4ea6-89ed-6b126f22e657.jpg</t>
        </is>
      </c>
      <c r="B5221">
        <f>HYPERLINK("Объекты недвижимости, не соответствующие градостроительным нормам_00-022_Август/2eac25fe-ccc2-4ea6-89ed-6b126f22e657.jpg","open")</f>
        <v/>
      </c>
      <c r="C5221" t="inlineStr">
        <is>
          <t>cbf95b01-f708-45a3-9ec0-3603469b538e</t>
        </is>
      </c>
      <c r="D5221" t="n">
        <v>55.80292</v>
      </c>
      <c r="E5221" t="n">
        <v>37.52276</v>
      </c>
      <c r="F5221" t="inlineStr"/>
      <c r="G5221" t="inlineStr"/>
      <c r="H5221" t="inlineStr"/>
    </row>
    <row r="5222">
      <c r="A5222" t="inlineStr">
        <is>
          <t>918cf039-42f9-487c-9748-9fd52db9083b.jpg</t>
        </is>
      </c>
      <c r="B5222">
        <f>HYPERLINK("Объекты недвижимости, не соответствующие градостроительным нормам_00-022_Август/918cf039-42f9-487c-9748-9fd52db9083b.jpg","open")</f>
        <v/>
      </c>
      <c r="C5222" t="inlineStr">
        <is>
          <t>cbf95b01-f708-45a3-9ec0-3603469b538e</t>
        </is>
      </c>
      <c r="D5222" t="n">
        <v>55.80344</v>
      </c>
      <c r="E5222" t="n">
        <v>37.52062</v>
      </c>
      <c r="F5222" t="inlineStr"/>
      <c r="G5222" t="inlineStr"/>
      <c r="H5222" t="inlineStr"/>
    </row>
    <row r="5223">
      <c r="A5223" t="inlineStr">
        <is>
          <t>78a4725c-71ce-4bc3-b3c7-ac9f0f35bf64.jpg</t>
        </is>
      </c>
      <c r="B5223">
        <f>HYPERLINK("Объекты недвижимости, не соответствующие градостроительным нормам_00-022_Август/78a4725c-71ce-4bc3-b3c7-ac9f0f35bf64.jpg","open")</f>
        <v/>
      </c>
      <c r="C5223" t="inlineStr">
        <is>
          <t>8beacb4f-617e-4b34-8030-60c4dff5f8d1</t>
        </is>
      </c>
      <c r="D5223" t="n">
        <v>55.75704</v>
      </c>
      <c r="E5223" t="n">
        <v>37.59786</v>
      </c>
      <c r="F5223" t="inlineStr"/>
      <c r="G5223" t="inlineStr"/>
      <c r="H5223" t="inlineStr"/>
    </row>
    <row r="5224">
      <c r="A5224" t="inlineStr">
        <is>
          <t>f6d44494-66a4-45f4-bb9b-fb6f8cea6ad0.jpg</t>
        </is>
      </c>
      <c r="B5224">
        <f>HYPERLINK("Объекты недвижимости, не соответствующие градостроительным нормам_00-022_Август/f6d44494-66a4-45f4-bb9b-fb6f8cea6ad0.jpg","open")</f>
        <v/>
      </c>
      <c r="C5224" t="inlineStr">
        <is>
          <t>71239877-3cfe-4ed6-87a7-5c84ab51c75a</t>
        </is>
      </c>
      <c r="D5224" t="n">
        <v>55.75704</v>
      </c>
      <c r="E5224" t="n">
        <v>37.59786</v>
      </c>
      <c r="F5224" t="inlineStr"/>
      <c r="G5224" t="inlineStr"/>
      <c r="H5224" t="inlineStr"/>
    </row>
    <row r="5225">
      <c r="A5225" t="inlineStr">
        <is>
          <t>9ee2f033-865d-4605-bf41-f9a0d89b58ad.jpg</t>
        </is>
      </c>
      <c r="B5225">
        <f>HYPERLINK("Объекты недвижимости, не соответствующие градостроительным нормам_00-022_Август/9ee2f033-865d-4605-bf41-f9a0d89b58ad.jpg","open")</f>
        <v/>
      </c>
      <c r="C5225" t="inlineStr">
        <is>
          <t>71239877-3cfe-4ed6-87a7-5c84ab51c75a</t>
        </is>
      </c>
      <c r="D5225" t="n">
        <v>55.75704</v>
      </c>
      <c r="E5225" t="n">
        <v>37.59786</v>
      </c>
      <c r="F5225" t="inlineStr"/>
      <c r="G5225" t="inlineStr"/>
      <c r="H5225" t="inlineStr"/>
    </row>
    <row r="5226">
      <c r="A5226" t="inlineStr">
        <is>
          <t>2b091278-1974-4bcd-a72f-6ab0d69a76b1.jpg</t>
        </is>
      </c>
      <c r="B5226">
        <f>HYPERLINK("Объекты недвижимости, не соответствующие градостроительным нормам_00-022_Август/2b091278-1974-4bcd-a72f-6ab0d69a76b1.jpg","open")</f>
        <v/>
      </c>
      <c r="C5226" t="inlineStr">
        <is>
          <t>cbf95b01-f708-45a3-9ec0-3603469b538e</t>
        </is>
      </c>
      <c r="D5226" t="n">
        <v>55.81342</v>
      </c>
      <c r="E5226" t="n">
        <v>37.47314</v>
      </c>
      <c r="F5226" t="inlineStr"/>
      <c r="G5226" t="inlineStr"/>
      <c r="H5226" t="inlineStr"/>
    </row>
    <row r="5227">
      <c r="A5227" t="inlineStr">
        <is>
          <t>8c7f3511-ba66-4078-a4bb-345e970d770d.jpg</t>
        </is>
      </c>
      <c r="B5227">
        <f>HYPERLINK("Объекты недвижимости, не соответствующие градостроительным нормам_00-022_Август/8c7f3511-ba66-4078-a4bb-345e970d770d.jpg","open")</f>
        <v/>
      </c>
      <c r="C5227" t="inlineStr">
        <is>
          <t>cbf95b01-f708-45a3-9ec0-3603469b538e</t>
        </is>
      </c>
      <c r="D5227" t="n">
        <v>55.81632</v>
      </c>
      <c r="E5227" t="n">
        <v>37.46281</v>
      </c>
      <c r="F5227" t="inlineStr"/>
      <c r="G5227" t="inlineStr"/>
      <c r="H5227" t="inlineStr"/>
    </row>
    <row r="5228">
      <c r="A5228" t="inlineStr">
        <is>
          <t>0fe89fe0-92c6-4317-b4f2-7d47a06462e8.jpg</t>
        </is>
      </c>
      <c r="B5228">
        <f>HYPERLINK("Объекты недвижимости, не соответствующие градостроительным нормам_00-022_Август/0fe89fe0-92c6-4317-b4f2-7d47a06462e8.jpg","open")</f>
        <v/>
      </c>
      <c r="C5228" t="inlineStr">
        <is>
          <t>71239877-3cfe-4ed6-87a7-5c84ab51c75a</t>
        </is>
      </c>
      <c r="D5228" t="n">
        <v>55.75704</v>
      </c>
      <c r="E5228" t="n">
        <v>37.59786</v>
      </c>
      <c r="F5228" t="inlineStr"/>
      <c r="G5228" t="inlineStr"/>
      <c r="H5228" t="inlineStr"/>
    </row>
    <row r="5229">
      <c r="A5229" t="inlineStr">
        <is>
          <t>aaad68a7-8ff7-43c1-a9b1-c2288d8e3666.jpg</t>
        </is>
      </c>
      <c r="B5229">
        <f>HYPERLINK("Объекты недвижимости, не соответствующие градостроительным нормам_00-022_Август/aaad68a7-8ff7-43c1-a9b1-c2288d8e3666.jpg","open")</f>
        <v/>
      </c>
      <c r="C5229" t="inlineStr">
        <is>
          <t>cbf95b01-f708-45a3-9ec0-3603469b538e</t>
        </is>
      </c>
      <c r="D5229" t="n">
        <v>55.81808</v>
      </c>
      <c r="E5229" t="n">
        <v>37.45736</v>
      </c>
      <c r="F5229" t="inlineStr"/>
      <c r="G5229" t="inlineStr"/>
      <c r="H5229" t="inlineStr"/>
    </row>
    <row r="5230">
      <c r="A5230" t="inlineStr">
        <is>
          <t>eaea71d5-cba0-4af2-ab61-758a08827cf3.jpg</t>
        </is>
      </c>
      <c r="B5230">
        <f>HYPERLINK("Объекты недвижимости, не соответствующие градостроительным нормам_00-022_Август/eaea71d5-cba0-4af2-ab61-758a08827cf3.jpg","open")</f>
        <v/>
      </c>
      <c r="C5230" t="inlineStr">
        <is>
          <t>cbf95b01-f708-45a3-9ec0-3603469b538e</t>
        </is>
      </c>
      <c r="D5230" t="n">
        <v>55.81808</v>
      </c>
      <c r="E5230" t="n">
        <v>37.45736</v>
      </c>
      <c r="F5230" t="inlineStr"/>
      <c r="G5230" t="inlineStr"/>
      <c r="H5230" t="inlineStr"/>
    </row>
    <row r="5231">
      <c r="A5231" t="inlineStr">
        <is>
          <t>548c3f67-dcea-410e-bd9f-16b9aa5fb765.jpg</t>
        </is>
      </c>
      <c r="B5231">
        <f>HYPERLINK("Объекты недвижимости, не соответствующие градостроительным нормам_00-022_Август/548c3f67-dcea-410e-bd9f-16b9aa5fb765.jpg","open")</f>
        <v/>
      </c>
      <c r="C5231" t="inlineStr">
        <is>
          <t>8cde1fd0-eca1-4510-86ab-3c743b65fdfc</t>
        </is>
      </c>
      <c r="D5231" t="n">
        <v>55.80951</v>
      </c>
      <c r="E5231" t="n">
        <v>37.80483</v>
      </c>
      <c r="F5231" t="inlineStr"/>
      <c r="G5231" t="inlineStr"/>
      <c r="H5231" t="inlineStr"/>
    </row>
    <row r="5232">
      <c r="A5232" t="inlineStr">
        <is>
          <t>e1865a49-ff33-4976-bca6-0bd7f7746f9e.jpg</t>
        </is>
      </c>
      <c r="B5232">
        <f>HYPERLINK("Объекты недвижимости, не соответствующие градостроительным нормам_00-022_Август/e1865a49-ff33-4976-bca6-0bd7f7746f9e.jpg","open")</f>
        <v/>
      </c>
      <c r="C5232" t="inlineStr">
        <is>
          <t>1c951e11-4940-43c6-a447-394097e5609a</t>
        </is>
      </c>
      <c r="D5232" t="n">
        <v>55.80951</v>
      </c>
      <c r="E5232" t="n">
        <v>37.80483</v>
      </c>
      <c r="F5232" t="inlineStr"/>
      <c r="G5232" t="inlineStr"/>
      <c r="H5232" t="inlineStr"/>
    </row>
    <row r="5233">
      <c r="A5233" t="inlineStr">
        <is>
          <t>363a4f87-c430-43de-a9ee-364dae143067.jpg</t>
        </is>
      </c>
      <c r="B5233">
        <f>HYPERLINK("Объекты недвижимости, не соответствующие градостроительным нормам_00-022_Август/363a4f87-c430-43de-a9ee-364dae143067.jpg","open")</f>
        <v/>
      </c>
      <c r="C5233" t="inlineStr">
        <is>
          <t>cbf95b01-f708-45a3-9ec0-3603469b538e</t>
        </is>
      </c>
      <c r="D5233" t="n">
        <v>55.82666</v>
      </c>
      <c r="E5233" t="n">
        <v>37.4565</v>
      </c>
      <c r="F5233" t="inlineStr"/>
      <c r="G5233" t="inlineStr"/>
      <c r="H5233" t="inlineStr"/>
    </row>
    <row r="5234">
      <c r="A5234" t="inlineStr">
        <is>
          <t>04a686ad-d6a9-44f0-b21a-4fd43d39a960.jpg</t>
        </is>
      </c>
      <c r="B5234">
        <f>HYPERLINK("Объекты недвижимости, не соответствующие градостроительным нормам_00-022_Август/04a686ad-d6a9-44f0-b21a-4fd43d39a960.jpg","open")</f>
        <v/>
      </c>
      <c r="C5234" t="inlineStr">
        <is>
          <t>a1a9db89-3f74-42ef-8fad-ad69705102cd</t>
        </is>
      </c>
      <c r="D5234" t="n">
        <v>55.82652</v>
      </c>
      <c r="E5234" t="n">
        <v>37.45642</v>
      </c>
      <c r="F5234" t="inlineStr"/>
      <c r="G5234" t="inlineStr"/>
      <c r="H5234" t="inlineStr"/>
    </row>
    <row r="5235">
      <c r="A5235" t="inlineStr">
        <is>
          <t>050ba8c3-2c35-4ae3-8ecf-528e934aaf9e.jpg</t>
        </is>
      </c>
      <c r="B5235">
        <f>HYPERLINK("Объекты недвижимости, не соответствующие градостроительным нормам_00-022_Август/050ba8c3-2c35-4ae3-8ecf-528e934aaf9e.jpg","open")</f>
        <v/>
      </c>
      <c r="C5235" t="inlineStr">
        <is>
          <t>cbf95b01-f708-45a3-9ec0-3603469b538e</t>
        </is>
      </c>
      <c r="D5235" t="n">
        <v>55.82684</v>
      </c>
      <c r="E5235" t="n">
        <v>37.45658</v>
      </c>
      <c r="F5235" t="inlineStr"/>
      <c r="G5235" t="inlineStr"/>
      <c r="H5235" t="inlineStr"/>
    </row>
    <row r="5236">
      <c r="A5236" t="inlineStr">
        <is>
          <t>30891d08-d8ab-4665-abf4-d7be77511cea.jpg</t>
        </is>
      </c>
      <c r="B5236">
        <f>HYPERLINK("Объекты недвижимости, не соответствующие градостроительным нормам_00-022_Август/30891d08-d8ab-4665-abf4-d7be77511cea.jpg","open")</f>
        <v/>
      </c>
      <c r="C5236" t="inlineStr">
        <is>
          <t>cbf95b01-f708-45a3-9ec0-3603469b538e</t>
        </is>
      </c>
      <c r="D5236" t="n">
        <v>55.82734</v>
      </c>
      <c r="E5236" t="n">
        <v>37.45673</v>
      </c>
      <c r="F5236" t="inlineStr"/>
      <c r="G5236" t="inlineStr"/>
      <c r="H5236" t="inlineStr"/>
    </row>
    <row r="5237">
      <c r="A5237" t="inlineStr">
        <is>
          <t>888e2d7e-9381-4588-8507-09c4e1ae2665.jpg</t>
        </is>
      </c>
      <c r="B5237">
        <f>HYPERLINK("Объекты недвижимости, не соответствующие градостроительным нормам_00-022_Август/888e2d7e-9381-4588-8507-09c4e1ae2665.jpg","open")</f>
        <v/>
      </c>
      <c r="C5237" t="inlineStr">
        <is>
          <t>cbf95b01-f708-45a3-9ec0-3603469b538e</t>
        </is>
      </c>
      <c r="D5237" t="n">
        <v>55.82795</v>
      </c>
      <c r="E5237" t="n">
        <v>37.45701</v>
      </c>
      <c r="F5237" t="inlineStr"/>
      <c r="G5237" t="inlineStr"/>
      <c r="H5237" t="inlineStr"/>
    </row>
    <row r="5238">
      <c r="A5238" t="inlineStr">
        <is>
          <t>4cc7bbe5-7a64-44fc-b6fe-a4881cac22b0.jpg</t>
        </is>
      </c>
      <c r="B5238">
        <f>HYPERLINK("Объекты недвижимости, не соответствующие градостроительным нормам_00-022_Август/4cc7bbe5-7a64-44fc-b6fe-a4881cac22b0.jpg","open")</f>
        <v/>
      </c>
      <c r="C5238" t="inlineStr">
        <is>
          <t>cbf95b01-f708-45a3-9ec0-3603469b538e</t>
        </is>
      </c>
      <c r="D5238" t="n">
        <v>55.82976</v>
      </c>
      <c r="E5238" t="n">
        <v>37.45747</v>
      </c>
      <c r="F5238" t="inlineStr"/>
      <c r="G5238" t="inlineStr"/>
      <c r="H5238" t="inlineStr"/>
    </row>
    <row r="5239">
      <c r="A5239" t="inlineStr">
        <is>
          <t>089b204c-104a-4147-ae5e-1312e6a92a12.jpg</t>
        </is>
      </c>
      <c r="B5239">
        <f>HYPERLINK("Объекты недвижимости, не соответствующие градостроительным нормам_00-022_Август/089b204c-104a-4147-ae5e-1312e6a92a12.jpg","open")</f>
        <v/>
      </c>
      <c r="C5239" t="inlineStr">
        <is>
          <t>cbf95b01-f708-45a3-9ec0-3603469b538e</t>
        </is>
      </c>
      <c r="D5239" t="n">
        <v>55.82972</v>
      </c>
      <c r="E5239" t="n">
        <v>37.45639</v>
      </c>
      <c r="F5239" t="inlineStr"/>
      <c r="G5239" t="inlineStr"/>
      <c r="H5239" t="inlineStr"/>
    </row>
    <row r="5240">
      <c r="A5240" t="inlineStr">
        <is>
          <t>48ba7fb9-6252-4bd8-a8fb-caa73b36527f.jpg</t>
        </is>
      </c>
      <c r="B5240">
        <f>HYPERLINK("Объекты недвижимости, не соответствующие градостроительным нормам_00-022_Август/48ba7fb9-6252-4bd8-a8fb-caa73b36527f.jpg","open")</f>
        <v/>
      </c>
      <c r="C5240" t="inlineStr">
        <is>
          <t>cbf95b01-f708-45a3-9ec0-3603469b538e</t>
        </is>
      </c>
      <c r="D5240" t="n">
        <v>55.82984</v>
      </c>
      <c r="E5240" t="n">
        <v>37.45449</v>
      </c>
      <c r="F5240" t="inlineStr"/>
      <c r="G5240" t="inlineStr"/>
      <c r="H5240" t="inlineStr"/>
    </row>
    <row r="5241">
      <c r="A5241" t="inlineStr">
        <is>
          <t>4ff4f26d-88e3-4eb3-b34c-064136b33a2d.jpg</t>
        </is>
      </c>
      <c r="B5241">
        <f>HYPERLINK("Объекты недвижимости, не соответствующие градостроительным нормам_00-022_Август/4ff4f26d-88e3-4eb3-b34c-064136b33a2d.jpg","open")</f>
        <v/>
      </c>
      <c r="C5241" t="inlineStr">
        <is>
          <t>ed2bf0f1-3a66-4913-896e-4420a9796c0b</t>
        </is>
      </c>
      <c r="D5241" t="n">
        <v>55.65162</v>
      </c>
      <c r="E5241" t="n">
        <v>37.61948</v>
      </c>
      <c r="F5241" t="inlineStr"/>
      <c r="G5241" t="inlineStr"/>
      <c r="H5241" t="inlineStr"/>
    </row>
    <row r="5242">
      <c r="A5242" t="inlineStr">
        <is>
          <t>689aef90-77b8-4129-9a3c-e3526b2116b5.jpg</t>
        </is>
      </c>
      <c r="B5242">
        <f>HYPERLINK("Объекты недвижимости, не соответствующие градостроительным нормам_00-022_Август/689aef90-77b8-4129-9a3c-e3526b2116b5.jpg","open")</f>
        <v/>
      </c>
      <c r="C5242" t="inlineStr">
        <is>
          <t>a1a9db89-3f74-42ef-8fad-ad69705102cd</t>
        </is>
      </c>
      <c r="D5242" t="n">
        <v>55.82603</v>
      </c>
      <c r="E5242" t="n">
        <v>37.44581</v>
      </c>
      <c r="F5242" t="inlineStr"/>
      <c r="G5242" t="inlineStr"/>
      <c r="H5242" t="inlineStr"/>
    </row>
    <row r="5243">
      <c r="A5243" t="inlineStr">
        <is>
          <t>d0925b17-64ef-4c45-a318-50d5f627c157.jpg</t>
        </is>
      </c>
      <c r="B5243">
        <f>HYPERLINK("Объекты недвижимости, не соответствующие градостроительным нормам_00-022_Август/d0925b17-64ef-4c45-a318-50d5f627c157.jpg","open")</f>
        <v/>
      </c>
      <c r="C5243" t="inlineStr">
        <is>
          <t>cbf95b01-f708-45a3-9ec0-3603469b538e</t>
        </is>
      </c>
      <c r="D5243" t="n">
        <v>55.82574</v>
      </c>
      <c r="E5243" t="n">
        <v>37.44617</v>
      </c>
      <c r="F5243" t="inlineStr"/>
      <c r="G5243" t="inlineStr"/>
      <c r="H5243" t="inlineStr"/>
    </row>
    <row r="5244">
      <c r="A5244" t="inlineStr">
        <is>
          <t>676ea5b9-a0b7-4650-9bdc-d95bf080f81a.jpg</t>
        </is>
      </c>
      <c r="B5244">
        <f>HYPERLINK("Объекты недвижимости, не соответствующие градостроительным нормам_00-022_Август/676ea5b9-a0b7-4650-9bdc-d95bf080f81a.jpg","open")</f>
        <v/>
      </c>
      <c r="C5244" t="inlineStr">
        <is>
          <t>cbf95b01-f708-45a3-9ec0-3603469b538e</t>
        </is>
      </c>
      <c r="D5244" t="n">
        <v>55.82503</v>
      </c>
      <c r="E5244" t="n">
        <v>37.44728</v>
      </c>
      <c r="F5244" t="inlineStr"/>
      <c r="G5244" t="inlineStr"/>
      <c r="H5244" t="inlineStr"/>
    </row>
    <row r="5245">
      <c r="A5245" t="inlineStr">
        <is>
          <t>8ecf534e-5915-46d9-8233-d020529befc8.jpg</t>
        </is>
      </c>
      <c r="B5245">
        <f>HYPERLINK("Объекты недвижимости, не соответствующие градостроительным нормам_00-022_Август/8ecf534e-5915-46d9-8233-d020529befc8.jpg","open")</f>
        <v/>
      </c>
      <c r="C5245" t="inlineStr">
        <is>
          <t>1a55986c-2c3f-40c0-b3d1-014dce77832e</t>
        </is>
      </c>
      <c r="D5245" t="n">
        <v>55.62568</v>
      </c>
      <c r="E5245" t="n">
        <v>37.62275</v>
      </c>
      <c r="F5245" t="inlineStr"/>
      <c r="G5245" t="inlineStr"/>
      <c r="H5245" t="inlineStr"/>
    </row>
    <row r="5246">
      <c r="A5246" t="inlineStr">
        <is>
          <t>f53b2311-a7ef-4e32-9028-c43475638b28.jpg</t>
        </is>
      </c>
      <c r="B5246">
        <f>HYPERLINK("Объекты недвижимости, не соответствующие градостроительным нормам_00-022_Август/f53b2311-a7ef-4e32-9028-c43475638b28.jpg","open")</f>
        <v/>
      </c>
      <c r="C5246" t="inlineStr">
        <is>
          <t>cbf95b01-f708-45a3-9ec0-3603469b538e</t>
        </is>
      </c>
      <c r="D5246" t="n">
        <v>55.82689</v>
      </c>
      <c r="E5246" t="n">
        <v>37.4465</v>
      </c>
      <c r="F5246" t="inlineStr"/>
      <c r="G5246" t="inlineStr"/>
      <c r="H5246" t="inlineStr"/>
    </row>
    <row r="5247">
      <c r="A5247" t="inlineStr">
        <is>
          <t>1500ef66-6818-4284-8422-bccf2722b53a.jpg</t>
        </is>
      </c>
      <c r="B5247">
        <f>HYPERLINK("Объекты недвижимости, не соответствующие градостроительным нормам_00-022_Август/1500ef66-6818-4284-8422-bccf2722b53a.jpg","open")</f>
        <v/>
      </c>
      <c r="C5247" t="inlineStr">
        <is>
          <t>caa4772d-6278-4484-a046-ee25514bf521</t>
        </is>
      </c>
      <c r="D5247" t="n">
        <v>56.15444</v>
      </c>
      <c r="E5247" t="n">
        <v>37.93031</v>
      </c>
      <c r="F5247" t="inlineStr"/>
      <c r="G5247" t="inlineStr"/>
      <c r="H5247" t="inlineStr"/>
    </row>
    <row r="5248">
      <c r="A5248" t="inlineStr">
        <is>
          <t>77381262-b654-4fca-b007-5daa3e5aac09.jpg</t>
        </is>
      </c>
      <c r="B5248">
        <f>HYPERLINK("Объекты недвижимости, не соответствующие градостроительным нормам_00-022_Август/77381262-b654-4fca-b007-5daa3e5aac09.jpg","open")</f>
        <v/>
      </c>
      <c r="C5248" t="inlineStr">
        <is>
          <t>8cde1fd0-eca1-4510-86ab-3c743b65fdfc</t>
        </is>
      </c>
      <c r="D5248" t="n">
        <v>55.80951</v>
      </c>
      <c r="E5248" t="n">
        <v>37.80483</v>
      </c>
      <c r="F5248" t="inlineStr"/>
      <c r="G5248" t="inlineStr"/>
      <c r="H5248" t="inlineStr"/>
    </row>
    <row r="5249">
      <c r="A5249" t="inlineStr">
        <is>
          <t>97b32fef-d5cc-4394-b2b6-8df45deb9178.jpg</t>
        </is>
      </c>
      <c r="B5249">
        <f>HYPERLINK("Объекты недвижимости, не соответствующие градостроительным нормам_00-022_Август/97b32fef-d5cc-4394-b2b6-8df45deb9178.jpg","open")</f>
        <v/>
      </c>
      <c r="C5249" t="inlineStr">
        <is>
          <t>caa4772d-6278-4484-a046-ee25514bf521</t>
        </is>
      </c>
      <c r="D5249" t="n">
        <v>56.15444</v>
      </c>
      <c r="E5249" t="n">
        <v>37.93031</v>
      </c>
      <c r="F5249" t="inlineStr"/>
      <c r="G5249" t="inlineStr"/>
      <c r="H5249" t="inlineStr"/>
    </row>
    <row r="5250">
      <c r="A5250" t="inlineStr">
        <is>
          <t>04dcbba8-359a-47d1-ad5f-b4ae2d9e2e65.jpg</t>
        </is>
      </c>
      <c r="B5250">
        <f>HYPERLINK("Объекты недвижимости, не соответствующие градостроительным нормам_00-022_Август/04dcbba8-359a-47d1-ad5f-b4ae2d9e2e65.jpg","open")</f>
        <v/>
      </c>
      <c r="C5250" t="inlineStr">
        <is>
          <t>ed2bf0f1-3a66-4913-896e-4420a9796c0b</t>
        </is>
      </c>
      <c r="D5250" t="n">
        <v>55.63026</v>
      </c>
      <c r="E5250" t="n">
        <v>37.62204</v>
      </c>
      <c r="F5250" t="inlineStr"/>
      <c r="G5250" t="inlineStr"/>
      <c r="H5250" t="inlineStr"/>
    </row>
    <row r="5251">
      <c r="A5251" t="inlineStr">
        <is>
          <t>8aa0ad5a-2812-4760-be3b-b53b5898b325.jpg</t>
        </is>
      </c>
      <c r="B5251">
        <f>HYPERLINK("Объекты недвижимости, не соответствующие градостроительным нормам_00-022_Август/8aa0ad5a-2812-4760-be3b-b53b5898b325.jpg","open")</f>
        <v/>
      </c>
      <c r="C5251" t="inlineStr">
        <is>
          <t>cbf95b01-f708-45a3-9ec0-3603469b538e</t>
        </is>
      </c>
      <c r="D5251" t="n">
        <v>55.82736</v>
      </c>
      <c r="E5251" t="n">
        <v>37.4525</v>
      </c>
      <c r="F5251" t="inlineStr"/>
      <c r="G5251" t="inlineStr"/>
      <c r="H5251" t="inlineStr"/>
    </row>
    <row r="5252">
      <c r="A5252" t="inlineStr">
        <is>
          <t>e6bb7785-c804-47fc-a345-a95d166f8ac9.jpg</t>
        </is>
      </c>
      <c r="B5252">
        <f>HYPERLINK("Объекты недвижимости, не соответствующие градостроительным нормам_00-022_Август/e6bb7785-c804-47fc-a345-a95d166f8ac9.jpg","open")</f>
        <v/>
      </c>
      <c r="C5252" t="inlineStr">
        <is>
          <t>cbf95b01-f708-45a3-9ec0-3603469b538e</t>
        </is>
      </c>
      <c r="D5252" t="n">
        <v>55.8368</v>
      </c>
      <c r="E5252" t="n">
        <v>37.44756</v>
      </c>
      <c r="F5252" t="inlineStr"/>
      <c r="G5252" t="inlineStr"/>
      <c r="H5252" t="inlineStr"/>
    </row>
    <row r="5253">
      <c r="A5253" t="inlineStr">
        <is>
          <t>8bcf163e-65c4-4e0f-8f9d-eac5bd3325c5.jpg</t>
        </is>
      </c>
      <c r="B5253">
        <f>HYPERLINK("Объекты недвижимости, не соответствующие градостроительным нормам_00-022_Август/8bcf163e-65c4-4e0f-8f9d-eac5bd3325c5.jpg","open")</f>
        <v/>
      </c>
      <c r="C5253" t="inlineStr">
        <is>
          <t>cbf95b01-f708-45a3-9ec0-3603469b538e</t>
        </is>
      </c>
      <c r="D5253" t="n">
        <v>55.83791</v>
      </c>
      <c r="E5253" t="n">
        <v>37.44211</v>
      </c>
      <c r="F5253" t="inlineStr"/>
      <c r="G5253" t="inlineStr"/>
      <c r="H5253" t="inlineStr"/>
    </row>
    <row r="5254">
      <c r="A5254" t="inlineStr">
        <is>
          <t>92d472cc-9cb7-4748-8468-844694307e63.jpg</t>
        </is>
      </c>
      <c r="B5254">
        <f>HYPERLINK("Объекты недвижимости, не соответствующие градостроительным нормам_00-022_Август/92d472cc-9cb7-4748-8468-844694307e63.jpg","open")</f>
        <v/>
      </c>
      <c r="C5254" t="inlineStr">
        <is>
          <t>8cde1fd0-eca1-4510-86ab-3c743b65fdfc</t>
        </is>
      </c>
      <c r="D5254" t="n">
        <v>55.70296</v>
      </c>
      <c r="E5254" t="n">
        <v>37.61643</v>
      </c>
      <c r="F5254" t="inlineStr"/>
      <c r="G5254" t="inlineStr"/>
      <c r="H5254" t="inlineStr"/>
    </row>
    <row r="5255">
      <c r="A5255" t="inlineStr">
        <is>
          <t>b7c7dfdf-44bc-40eb-93a4-e5411de1fbad.jpg</t>
        </is>
      </c>
      <c r="B5255">
        <f>HYPERLINK("Объекты недвижимости, не соответствующие градостроительным нормам_00-022_Август/b7c7dfdf-44bc-40eb-93a4-e5411de1fbad.jpg","open")</f>
        <v/>
      </c>
      <c r="C5255" t="inlineStr">
        <is>
          <t>1a55986c-2c3f-40c0-b3d1-014dce77832e</t>
        </is>
      </c>
      <c r="D5255" t="n">
        <v>55.62788</v>
      </c>
      <c r="E5255" t="n">
        <v>37.61988</v>
      </c>
      <c r="F5255" t="inlineStr"/>
      <c r="G5255" t="inlineStr"/>
      <c r="H5255" t="inlineStr"/>
    </row>
    <row r="5256">
      <c r="A5256" t="inlineStr">
        <is>
          <t>a70705a5-684b-4730-8047-fce5fb4e3ca7.jpg</t>
        </is>
      </c>
      <c r="B5256">
        <f>HYPERLINK("Объекты недвижимости, не соответствующие градостроительным нормам_00-022_Август/a70705a5-684b-4730-8047-fce5fb4e3ca7.jpg","open")</f>
        <v/>
      </c>
      <c r="C5256" t="inlineStr">
        <is>
          <t>ed2bf0f1-3a66-4913-896e-4420a9796c0b</t>
        </is>
      </c>
      <c r="D5256" t="n">
        <v>55.62785</v>
      </c>
      <c r="E5256" t="n">
        <v>37.62005</v>
      </c>
      <c r="F5256" t="inlineStr"/>
      <c r="G5256" t="inlineStr"/>
      <c r="H5256" t="inlineStr"/>
    </row>
    <row r="5257">
      <c r="A5257" t="inlineStr">
        <is>
          <t>193e9901-894b-4f1b-a670-22ee5df5d38d.jpg</t>
        </is>
      </c>
      <c r="B5257">
        <f>HYPERLINK("Объекты недвижимости, не соответствующие градостроительным нормам_00-022_Август/193e9901-894b-4f1b-a670-22ee5df5d38d.jpg","open")</f>
        <v/>
      </c>
      <c r="C5257" t="inlineStr">
        <is>
          <t>caa4772d-6278-4484-a046-ee25514bf521</t>
        </is>
      </c>
      <c r="D5257" t="n">
        <v>55.76578</v>
      </c>
      <c r="E5257" t="n">
        <v>37.70142</v>
      </c>
      <c r="F5257" t="inlineStr"/>
      <c r="G5257" t="inlineStr"/>
      <c r="H5257" t="inlineStr"/>
    </row>
    <row r="5258">
      <c r="A5258" t="inlineStr">
        <is>
          <t>65e67d97-091b-49f2-bf60-a2709f772b12.jpg</t>
        </is>
      </c>
      <c r="B5258">
        <f>HYPERLINK("Объекты недвижимости, не соответствующие градостроительным нормам_00-022_Август/65e67d97-091b-49f2-bf60-a2709f772b12.jpg","open")</f>
        <v/>
      </c>
      <c r="C5258" t="inlineStr">
        <is>
          <t>ed2bf0f1-3a66-4913-896e-4420a9796c0b</t>
        </is>
      </c>
      <c r="D5258" t="n">
        <v>55.63868</v>
      </c>
      <c r="E5258" t="n">
        <v>37.62038</v>
      </c>
      <c r="F5258" t="inlineStr"/>
      <c r="G5258" t="inlineStr"/>
      <c r="H5258" t="inlineStr"/>
    </row>
    <row r="5259">
      <c r="A5259" t="inlineStr">
        <is>
          <t>29a5836b-c5a4-4387-8ae4-79f528142a37.jpg</t>
        </is>
      </c>
      <c r="B5259">
        <f>HYPERLINK("Объекты недвижимости, не соответствующие градостроительным нормам_00-022_Август/29a5836b-c5a4-4387-8ae4-79f528142a37.jpg","open")</f>
        <v/>
      </c>
      <c r="C5259" t="inlineStr">
        <is>
          <t>caa4772d-6278-4484-a046-ee25514bf521</t>
        </is>
      </c>
      <c r="D5259" t="n">
        <v>55.7714</v>
      </c>
      <c r="E5259" t="n">
        <v>37.70579</v>
      </c>
      <c r="F5259" t="inlineStr"/>
      <c r="G5259" t="inlineStr"/>
      <c r="H5259" t="inlineStr"/>
    </row>
    <row r="5260">
      <c r="A5260" t="inlineStr">
        <is>
          <t>076e7c8c-e86f-41c7-86ff-7dfb7b95434c.jpg</t>
        </is>
      </c>
      <c r="B5260">
        <f>HYPERLINK("Объекты недвижимости, не соответствующие градостроительным нормам_00-022_Август/076e7c8c-e86f-41c7-86ff-7dfb7b95434c.jpg","open")</f>
        <v/>
      </c>
      <c r="C5260" t="inlineStr">
        <is>
          <t>cbf95b01-f708-45a3-9ec0-3603469b538e</t>
        </is>
      </c>
      <c r="D5260" t="n">
        <v>55.84346</v>
      </c>
      <c r="E5260" t="n">
        <v>37.43847</v>
      </c>
      <c r="F5260" t="inlineStr"/>
      <c r="G5260" t="inlineStr"/>
      <c r="H5260" t="inlineStr"/>
    </row>
    <row r="5261">
      <c r="A5261" t="inlineStr">
        <is>
          <t>cca5c879-07cd-4e21-92dd-d53e6739d9fb.jpg</t>
        </is>
      </c>
      <c r="B5261">
        <f>HYPERLINK("Объекты недвижимости, не соответствующие градостроительным нормам_00-022_Август/cca5c879-07cd-4e21-92dd-d53e6739d9fb.jpg","open")</f>
        <v/>
      </c>
      <c r="C5261" t="inlineStr">
        <is>
          <t>cbf95b01-f708-45a3-9ec0-3603469b538e</t>
        </is>
      </c>
      <c r="D5261" t="n">
        <v>55.84366</v>
      </c>
      <c r="E5261" t="n">
        <v>37.43555</v>
      </c>
      <c r="F5261" t="inlineStr"/>
      <c r="G5261" t="inlineStr"/>
      <c r="H5261" t="inlineStr"/>
    </row>
    <row r="5262">
      <c r="A5262" t="inlineStr">
        <is>
          <t>f91870ea-0203-47bb-90d7-6ca27619becb.jpg</t>
        </is>
      </c>
      <c r="B5262">
        <f>HYPERLINK("Объекты недвижимости, не соответствующие градостроительным нормам_00-022_Август/f91870ea-0203-47bb-90d7-6ca27619becb.jpg","open")</f>
        <v/>
      </c>
      <c r="C5262" t="inlineStr">
        <is>
          <t>cbf95b01-f708-45a3-9ec0-3603469b538e</t>
        </is>
      </c>
      <c r="D5262" t="n">
        <v>55.8437</v>
      </c>
      <c r="E5262" t="n">
        <v>37.43479</v>
      </c>
      <c r="F5262" t="inlineStr"/>
      <c r="G5262" t="inlineStr"/>
      <c r="H5262" t="inlineStr"/>
    </row>
    <row r="5263">
      <c r="A5263" t="inlineStr">
        <is>
          <t>b3e10e8c-2280-4416-a76e-d3afa0ac6135.jpg</t>
        </is>
      </c>
      <c r="B5263">
        <f>HYPERLINK("Объекты недвижимости, не соответствующие градостроительным нормам_00-022_Август/b3e10e8c-2280-4416-a76e-d3afa0ac6135.jpg","open")</f>
        <v/>
      </c>
      <c r="C5263" t="inlineStr">
        <is>
          <t>cbf95b01-f708-45a3-9ec0-3603469b538e</t>
        </is>
      </c>
      <c r="D5263" t="n">
        <v>55.84543</v>
      </c>
      <c r="E5263" t="n">
        <v>37.43177</v>
      </c>
      <c r="F5263" t="inlineStr"/>
      <c r="G5263" t="inlineStr"/>
      <c r="H5263" t="inlineStr"/>
    </row>
    <row r="5264">
      <c r="A5264" t="inlineStr">
        <is>
          <t>90a9f138-e04a-4abd-af02-b99a2be0f52a.jpg</t>
        </is>
      </c>
      <c r="B5264">
        <f>HYPERLINK("Объекты недвижимости, не соответствующие градостроительным нормам_00-022_Август/90a9f138-e04a-4abd-af02-b99a2be0f52a.jpg","open")</f>
        <v/>
      </c>
      <c r="C5264" t="inlineStr">
        <is>
          <t>cbf95b01-f708-45a3-9ec0-3603469b538e</t>
        </is>
      </c>
      <c r="D5264" t="n">
        <v>55.84637</v>
      </c>
      <c r="E5264" t="n">
        <v>37.43501</v>
      </c>
      <c r="F5264" t="inlineStr"/>
      <c r="G5264" t="inlineStr"/>
      <c r="H5264" t="inlineStr"/>
    </row>
    <row r="5265">
      <c r="A5265" t="inlineStr">
        <is>
          <t>4c2041d5-77b7-43d2-9594-a5dc0e352114.jpg</t>
        </is>
      </c>
      <c r="B5265">
        <f>HYPERLINK("Объекты недвижимости, не соответствующие градостроительным нормам_00-022_Август/4c2041d5-77b7-43d2-9594-a5dc0e352114.jpg","open")</f>
        <v/>
      </c>
      <c r="C5265" t="inlineStr">
        <is>
          <t>caa4772d-6278-4484-a046-ee25514bf521</t>
        </is>
      </c>
      <c r="D5265" t="n">
        <v>55.77858</v>
      </c>
      <c r="E5265" t="n">
        <v>37.72021</v>
      </c>
      <c r="F5265" t="inlineStr"/>
      <c r="G5265" t="inlineStr"/>
      <c r="H5265" t="inlineStr"/>
    </row>
    <row r="5266">
      <c r="A5266" t="inlineStr">
        <is>
          <t>afceb402-4d9f-4375-b00c-d00a45add9f8.jpg</t>
        </is>
      </c>
      <c r="B5266">
        <f>HYPERLINK("Объекты недвижимости, не соответствующие градостроительным нормам_00-022_Август/afceb402-4d9f-4375-b00c-d00a45add9f8.jpg","open")</f>
        <v/>
      </c>
      <c r="C5266" t="inlineStr">
        <is>
          <t>caa4772d-6278-4484-a046-ee25514bf521</t>
        </is>
      </c>
      <c r="D5266" t="n">
        <v>55.7786</v>
      </c>
      <c r="E5266" t="n">
        <v>37.7202</v>
      </c>
      <c r="F5266" t="inlineStr"/>
      <c r="G5266" t="inlineStr"/>
      <c r="H5266" t="inlineStr"/>
    </row>
    <row r="5267">
      <c r="A5267" t="inlineStr">
        <is>
          <t>29810a57-e85e-4654-bb2b-caabd6239462.jpg</t>
        </is>
      </c>
      <c r="B5267">
        <f>HYPERLINK("Объекты недвижимости, не соответствующие градостроительным нормам_00-022_Август/29810a57-e85e-4654-bb2b-caabd6239462.jpg","open")</f>
        <v/>
      </c>
      <c r="C5267" t="inlineStr">
        <is>
          <t>a1a9db89-3f74-42ef-8fad-ad69705102cd</t>
        </is>
      </c>
      <c r="D5267" t="n">
        <v>55.84585</v>
      </c>
      <c r="E5267" t="n">
        <v>37.44664</v>
      </c>
      <c r="F5267" t="inlineStr"/>
      <c r="G5267" t="inlineStr"/>
      <c r="H5267" t="inlineStr"/>
    </row>
    <row r="5268">
      <c r="A5268" t="inlineStr">
        <is>
          <t>7849fefd-50d7-412d-97d1-a9495b99d253.jpg</t>
        </is>
      </c>
      <c r="B5268">
        <f>HYPERLINK("Объекты недвижимости, не соответствующие градостроительным нормам_00-022_Август/7849fefd-50d7-412d-97d1-a9495b99d253.jpg","open")</f>
        <v/>
      </c>
      <c r="C5268" t="inlineStr">
        <is>
          <t>caa4772d-6278-4484-a046-ee25514bf521</t>
        </is>
      </c>
      <c r="D5268" t="n">
        <v>55.78267</v>
      </c>
      <c r="E5268" t="n">
        <v>37.72504</v>
      </c>
      <c r="F5268" t="inlineStr"/>
      <c r="G5268" t="inlineStr"/>
      <c r="H5268" t="inlineStr"/>
    </row>
    <row r="5269">
      <c r="A5269" t="inlineStr">
        <is>
          <t>4128189a-594e-48d9-b6da-a682a777e401.jpg</t>
        </is>
      </c>
      <c r="B5269">
        <f>HYPERLINK("Объекты недвижимости, не соответствующие градостроительным нормам_00-022_Август/4128189a-594e-48d9-b6da-a682a777e401.jpg","open")</f>
        <v/>
      </c>
      <c r="C5269" t="inlineStr">
        <is>
          <t>ed2bf0f1-3a66-4913-896e-4420a9796c0b</t>
        </is>
      </c>
      <c r="D5269" t="n">
        <v>55.63633</v>
      </c>
      <c r="E5269" t="n">
        <v>37.59445</v>
      </c>
      <c r="F5269" t="inlineStr"/>
      <c r="G5269" t="inlineStr"/>
      <c r="H5269" t="inlineStr"/>
    </row>
    <row r="5270">
      <c r="A5270" t="inlineStr">
        <is>
          <t>5b229b0d-b80b-4c7e-b6fb-09c9f9af3138.jpg</t>
        </is>
      </c>
      <c r="B5270">
        <f>HYPERLINK("Объекты недвижимости, не соответствующие градостроительным нормам_00-022_Август/5b229b0d-b80b-4c7e-b6fb-09c9f9af3138.jpg","open")</f>
        <v/>
      </c>
      <c r="C5270" t="inlineStr">
        <is>
          <t>1a55986c-2c3f-40c0-b3d1-014dce77832e</t>
        </is>
      </c>
      <c r="D5270" t="n">
        <v>55.63633</v>
      </c>
      <c r="E5270" t="n">
        <v>37.59445</v>
      </c>
      <c r="F5270" t="inlineStr"/>
      <c r="G5270" t="inlineStr"/>
      <c r="H5270" t="inlineStr"/>
    </row>
    <row r="5271">
      <c r="A5271" t="inlineStr">
        <is>
          <t>b750d0d3-7b92-4cc3-a7b4-2681cb09afe8.jpg</t>
        </is>
      </c>
      <c r="B5271">
        <f>HYPERLINK("Объекты недвижимости, не соответствующие градостроительным нормам_00-022_Август/b750d0d3-7b92-4cc3-a7b4-2681cb09afe8.jpg","open")</f>
        <v/>
      </c>
      <c r="C5271" t="inlineStr">
        <is>
          <t>a1a9db89-3f74-42ef-8fad-ad69705102cd</t>
        </is>
      </c>
      <c r="D5271" t="n">
        <v>55.84484</v>
      </c>
      <c r="E5271" t="n">
        <v>37.45819</v>
      </c>
      <c r="F5271" t="inlineStr"/>
      <c r="G5271" t="inlineStr"/>
      <c r="H5271" t="inlineStr"/>
    </row>
    <row r="5272">
      <c r="A5272" t="inlineStr">
        <is>
          <t>64933c4a-a413-46db-8ec4-f739f4cff000.jpg</t>
        </is>
      </c>
      <c r="B5272">
        <f>HYPERLINK("Объекты недвижимости, не соответствующие градостроительным нормам_00-022_Август/64933c4a-a413-46db-8ec4-f739f4cff000.jpg","open")</f>
        <v/>
      </c>
      <c r="C5272" t="inlineStr">
        <is>
          <t>cbf95b01-f708-45a3-9ec0-3603469b538e</t>
        </is>
      </c>
      <c r="D5272" t="n">
        <v>55.84909</v>
      </c>
      <c r="E5272" t="n">
        <v>37.45314</v>
      </c>
      <c r="F5272" t="inlineStr"/>
      <c r="G5272" t="inlineStr"/>
      <c r="H5272" t="inlineStr"/>
    </row>
    <row r="5273">
      <c r="A5273" t="inlineStr">
        <is>
          <t>a115f869-d199-484d-a24f-10b99b8c5938.jpg</t>
        </is>
      </c>
      <c r="B5273">
        <f>HYPERLINK("Объекты недвижимости, не соответствующие градостроительным нормам_00-022_Август/a115f869-d199-484d-a24f-10b99b8c5938.jpg","open")</f>
        <v/>
      </c>
      <c r="C5273" t="inlineStr">
        <is>
          <t>1a55986c-2c3f-40c0-b3d1-014dce77832e</t>
        </is>
      </c>
      <c r="D5273" t="n">
        <v>55.63762</v>
      </c>
      <c r="E5273" t="n">
        <v>37.5975</v>
      </c>
      <c r="F5273" t="inlineStr"/>
      <c r="G5273" t="inlineStr"/>
      <c r="H5273" t="inlineStr"/>
    </row>
    <row r="5274">
      <c r="A5274" t="inlineStr">
        <is>
          <t>33207476-e1d4-4af0-80f2-716fa3cfb26b.jpg</t>
        </is>
      </c>
      <c r="B5274">
        <f>HYPERLINK("Объекты недвижимости, не соответствующие градостроительным нормам_00-022_Август/33207476-e1d4-4af0-80f2-716fa3cfb26b.jpg","open")</f>
        <v/>
      </c>
      <c r="C5274" t="inlineStr">
        <is>
          <t>cbf95b01-f708-45a3-9ec0-3603469b538e</t>
        </is>
      </c>
      <c r="D5274" t="n">
        <v>55.84988</v>
      </c>
      <c r="E5274" t="n">
        <v>37.42562</v>
      </c>
      <c r="F5274" t="inlineStr"/>
      <c r="G5274" t="inlineStr"/>
      <c r="H5274" t="inlineStr"/>
    </row>
    <row r="5275">
      <c r="A5275" t="inlineStr">
        <is>
          <t>565a784d-5ceb-4039-8255-7747e65b7ab1.jpg</t>
        </is>
      </c>
      <c r="B5275">
        <f>HYPERLINK("Объекты недвижимости, не соответствующие градостроительным нормам_00-022_Август/565a784d-5ceb-4039-8255-7747e65b7ab1.jpg","open")</f>
        <v/>
      </c>
      <c r="C5275" t="inlineStr">
        <is>
          <t>0dd30d74-4dbc-46a8-b638-91e1431bb398</t>
        </is>
      </c>
      <c r="D5275" t="n">
        <v>55.5649</v>
      </c>
      <c r="E5275" t="n">
        <v>36.78437</v>
      </c>
      <c r="F5275" t="inlineStr"/>
      <c r="G5275" t="inlineStr"/>
      <c r="H5275" t="inlineStr"/>
    </row>
    <row r="5276">
      <c r="A5276" t="inlineStr">
        <is>
          <t>75c2afd3-cc70-441e-a7bb-6bf9d9ef6b7f.jpg</t>
        </is>
      </c>
      <c r="B5276">
        <f>HYPERLINK("Объекты недвижимости, не соответствующие градостроительным нормам_00-022_Август/75c2afd3-cc70-441e-a7bb-6bf9d9ef6b7f.jpg","open")</f>
        <v/>
      </c>
      <c r="C5276" t="inlineStr">
        <is>
          <t>8cde1fd0-eca1-4510-86ab-3c743b65fdfc</t>
        </is>
      </c>
      <c r="D5276" t="n">
        <v>55.77121</v>
      </c>
      <c r="E5276" t="n">
        <v>37.39431</v>
      </c>
      <c r="F5276" t="inlineStr"/>
      <c r="G5276" t="inlineStr"/>
      <c r="H5276" t="inlineStr"/>
    </row>
    <row r="5277">
      <c r="A5277" t="inlineStr">
        <is>
          <t>78f0727b-24fd-436e-aafb-250788b40637.jpg</t>
        </is>
      </c>
      <c r="B5277">
        <f>HYPERLINK("Объекты недвижимости, не соответствующие градостроительным нормам_00-022_Август/78f0727b-24fd-436e-aafb-250788b40637.jpg","open")</f>
        <v/>
      </c>
      <c r="C5277" t="inlineStr">
        <is>
          <t>cbf95b01-f708-45a3-9ec0-3603469b538e</t>
        </is>
      </c>
      <c r="D5277" t="n">
        <v>55.84163</v>
      </c>
      <c r="E5277" t="n">
        <v>37.43876</v>
      </c>
      <c r="F5277" t="inlineStr"/>
      <c r="G5277" t="inlineStr"/>
      <c r="H5277" t="inlineStr"/>
    </row>
    <row r="5278">
      <c r="A5278" t="inlineStr">
        <is>
          <t>34da26e6-2dc0-4a91-9c67-f8f9998e431f.jpg</t>
        </is>
      </c>
      <c r="B5278">
        <f>HYPERLINK("Объекты недвижимости, не соответствующие градостроительным нормам_00-022_Август/34da26e6-2dc0-4a91-9c67-f8f9998e431f.jpg","open")</f>
        <v/>
      </c>
      <c r="C5278" t="inlineStr">
        <is>
          <t>cbf95b01-f708-45a3-9ec0-3603469b538e</t>
        </is>
      </c>
      <c r="D5278" t="n">
        <v>55.84156</v>
      </c>
      <c r="E5278" t="n">
        <v>37.43874</v>
      </c>
      <c r="F5278" t="inlineStr"/>
      <c r="G5278" t="inlineStr"/>
      <c r="H5278" t="inlineStr"/>
    </row>
    <row r="5279">
      <c r="A5279" t="inlineStr">
        <is>
          <t>2d3292b1-1717-438e-9a2f-d0c582908535.jpg</t>
        </is>
      </c>
      <c r="B5279">
        <f>HYPERLINK("Объекты недвижимости, не соответствующие градостроительным нормам_00-022_Август/2d3292b1-1717-438e-9a2f-d0c582908535.jpg","open")</f>
        <v/>
      </c>
      <c r="C5279" t="inlineStr">
        <is>
          <t>cbf95b01-f708-45a3-9ec0-3603469b538e</t>
        </is>
      </c>
      <c r="D5279" t="n">
        <v>55.8415</v>
      </c>
      <c r="E5279" t="n">
        <v>37.43872</v>
      </c>
      <c r="F5279" t="inlineStr"/>
      <c r="G5279" t="inlineStr"/>
      <c r="H5279" t="inlineStr"/>
    </row>
    <row r="5280">
      <c r="A5280" t="inlineStr">
        <is>
          <t>b62aee11-af11-4b97-9597-1fc9a99d81ac.jpg</t>
        </is>
      </c>
      <c r="B5280">
        <f>HYPERLINK("Объекты недвижимости, не соответствующие градостроительным нормам_00-022_Август/b62aee11-af11-4b97-9597-1fc9a99d81ac.jpg","open")</f>
        <v/>
      </c>
      <c r="C5280" t="inlineStr">
        <is>
          <t>cbf95b01-f708-45a3-9ec0-3603469b538e</t>
        </is>
      </c>
      <c r="D5280" t="n">
        <v>55.84393</v>
      </c>
      <c r="E5280" t="n">
        <v>37.43929</v>
      </c>
      <c r="F5280" t="inlineStr"/>
      <c r="G5280" t="inlineStr"/>
      <c r="H5280" t="inlineStr"/>
    </row>
    <row r="5281">
      <c r="A5281" t="inlineStr">
        <is>
          <t>5c840518-dbd3-47ce-a64e-a85600b0dfd6.jpg</t>
        </is>
      </c>
      <c r="B5281">
        <f>HYPERLINK("Объекты недвижимости, не соответствующие градостроительным нормам_00-022_Август/5c840518-dbd3-47ce-a64e-a85600b0dfd6.jpg","open")</f>
        <v/>
      </c>
      <c r="C5281" t="inlineStr">
        <is>
          <t>cbf95b01-f708-45a3-9ec0-3603469b538e</t>
        </is>
      </c>
      <c r="D5281" t="n">
        <v>55.84138</v>
      </c>
      <c r="E5281" t="n">
        <v>37.4387</v>
      </c>
      <c r="F5281" t="inlineStr"/>
      <c r="G5281" t="inlineStr"/>
      <c r="H5281" t="inlineStr"/>
    </row>
    <row r="5282">
      <c r="A5282" t="inlineStr">
        <is>
          <t>2ccd1259-4ed6-4d5e-ab27-f25c2501efda.jpg</t>
        </is>
      </c>
      <c r="B5282">
        <f>HYPERLINK("Объекты недвижимости, не соответствующие градостроительным нормам_00-022_Август/2ccd1259-4ed6-4d5e-ab27-f25c2501efda.jpg","open")</f>
        <v/>
      </c>
      <c r="C5282" t="inlineStr">
        <is>
          <t>cbf95b01-f708-45a3-9ec0-3603469b538e</t>
        </is>
      </c>
      <c r="D5282" t="n">
        <v>55.8409</v>
      </c>
      <c r="E5282" t="n">
        <v>37.43859</v>
      </c>
      <c r="F5282" t="inlineStr"/>
      <c r="G5282" t="inlineStr"/>
      <c r="H5282" t="inlineStr"/>
    </row>
    <row r="5283">
      <c r="A5283" t="inlineStr">
        <is>
          <t>2772ece4-0378-4b34-bb2a-c101840c0319.jpg</t>
        </is>
      </c>
      <c r="B5283">
        <f>HYPERLINK("Объекты недвижимости, не соответствующие градостроительным нормам_00-022_Август/2772ece4-0378-4b34-bb2a-c101840c0319.jpg","open")</f>
        <v/>
      </c>
      <c r="C5283" t="inlineStr">
        <is>
          <t>a1a9db89-3f74-42ef-8fad-ad69705102cd</t>
        </is>
      </c>
      <c r="D5283" t="n">
        <v>55.84095</v>
      </c>
      <c r="E5283" t="n">
        <v>37.43861</v>
      </c>
      <c r="F5283" t="inlineStr"/>
      <c r="G5283" t="inlineStr"/>
      <c r="H5283" t="inlineStr"/>
    </row>
    <row r="5284">
      <c r="A5284" t="inlineStr">
        <is>
          <t>9ad2786f-699e-47d3-9556-b2c33531c6b4.jpg</t>
        </is>
      </c>
      <c r="B5284">
        <f>HYPERLINK("Объекты недвижимости, не соответствующие градостроительным нормам_00-022_Август/9ad2786f-699e-47d3-9556-b2c33531c6b4.jpg","open")</f>
        <v/>
      </c>
      <c r="C5284" t="inlineStr">
        <is>
          <t>cbf95b01-f708-45a3-9ec0-3603469b538e</t>
        </is>
      </c>
      <c r="D5284" t="n">
        <v>55.8407</v>
      </c>
      <c r="E5284" t="n">
        <v>37.43856</v>
      </c>
      <c r="F5284" t="inlineStr"/>
      <c r="G5284" t="inlineStr"/>
      <c r="H5284" t="inlineStr"/>
    </row>
    <row r="5285">
      <c r="A5285" t="inlineStr">
        <is>
          <t>85227532-2f62-410e-91aa-d9774045da5c.jpg</t>
        </is>
      </c>
      <c r="B5285">
        <f>HYPERLINK("Объекты недвижимости, не соответствующие градостроительным нормам_00-022_Август/85227532-2f62-410e-91aa-d9774045da5c.jpg","open")</f>
        <v/>
      </c>
      <c r="C5285" t="inlineStr">
        <is>
          <t>cbf95b01-f708-45a3-9ec0-3603469b538e</t>
        </is>
      </c>
      <c r="D5285" t="n">
        <v>55.83875</v>
      </c>
      <c r="E5285" t="n">
        <v>37.43822</v>
      </c>
      <c r="F5285" t="inlineStr"/>
      <c r="G5285" t="inlineStr"/>
      <c r="H5285" t="inlineStr"/>
    </row>
    <row r="5286">
      <c r="A5286" t="inlineStr">
        <is>
          <t>87b9c3f6-ef4d-403c-ba53-c37896304401.jpg</t>
        </is>
      </c>
      <c r="B5286">
        <f>HYPERLINK("Объекты недвижимости, не соответствующие градостроительным нормам_00-022_Август/87b9c3f6-ef4d-403c-ba53-c37896304401.jpg","open")</f>
        <v/>
      </c>
      <c r="C5286" t="inlineStr">
        <is>
          <t>8cde1fd0-eca1-4510-86ab-3c743b65fdfc</t>
        </is>
      </c>
      <c r="D5286" t="n">
        <v>55.76886</v>
      </c>
      <c r="E5286" t="n">
        <v>37.40532</v>
      </c>
      <c r="F5286" t="inlineStr"/>
      <c r="G5286" t="inlineStr"/>
      <c r="H5286" t="inlineStr"/>
    </row>
    <row r="5287">
      <c r="A5287" t="inlineStr">
        <is>
          <t>00d9666b-0b1c-42ad-9243-816fc41c9ae3.jpg</t>
        </is>
      </c>
      <c r="B5287">
        <f>HYPERLINK("Объекты недвижимости, не соответствующие градостроительным нормам_00-022_Август/00d9666b-0b1c-42ad-9243-816fc41c9ae3.jpg","open")</f>
        <v/>
      </c>
      <c r="C5287" t="inlineStr">
        <is>
          <t>cbf95b01-f708-45a3-9ec0-3603469b538e</t>
        </is>
      </c>
      <c r="D5287" t="n">
        <v>55.83289</v>
      </c>
      <c r="E5287" t="n">
        <v>37.45341</v>
      </c>
      <c r="F5287" t="inlineStr"/>
      <c r="G5287" t="inlineStr"/>
      <c r="H5287" t="inlineStr"/>
    </row>
    <row r="5288">
      <c r="A5288" t="inlineStr">
        <is>
          <t>ef7269a5-29f7-417a-8439-b565553952fd.jpg</t>
        </is>
      </c>
      <c r="B5288">
        <f>HYPERLINK("Объекты недвижимости, не соответствующие градостроительным нормам_00-022_Август/ef7269a5-29f7-417a-8439-b565553952fd.jpg","open")</f>
        <v/>
      </c>
      <c r="C5288" t="inlineStr">
        <is>
          <t>cbf95b01-f708-45a3-9ec0-3603469b538e</t>
        </is>
      </c>
      <c r="D5288" t="n">
        <v>55.83284</v>
      </c>
      <c r="E5288" t="n">
        <v>37.4534</v>
      </c>
      <c r="F5288" t="inlineStr"/>
      <c r="G5288" t="inlineStr"/>
      <c r="H5288" t="inlineStr"/>
    </row>
    <row r="5289">
      <c r="A5289" t="inlineStr">
        <is>
          <t>95c5e2d9-1033-4add-a4ff-e9b45dfff551.jpg</t>
        </is>
      </c>
      <c r="B5289">
        <f>HYPERLINK("Объекты недвижимости, не соответствующие градостроительным нормам_00-022_Август/95c5e2d9-1033-4add-a4ff-e9b45dfff551.jpg","open")</f>
        <v/>
      </c>
      <c r="C5289" t="inlineStr">
        <is>
          <t>cbf95b01-f708-45a3-9ec0-3603469b538e</t>
        </is>
      </c>
      <c r="D5289" t="n">
        <v>55.81741</v>
      </c>
      <c r="E5289" t="n">
        <v>37.45816</v>
      </c>
      <c r="F5289" t="inlineStr"/>
      <c r="G5289" t="inlineStr"/>
      <c r="H5289" t="inlineStr"/>
    </row>
    <row r="5290">
      <c r="A5290" t="inlineStr">
        <is>
          <t>7a57c26a-e25b-4c12-bb27-2941d829fd0f.jpg</t>
        </is>
      </c>
      <c r="B5290">
        <f>HYPERLINK("Объекты недвижимости, не соответствующие градостроительным нормам_00-022_Август/7a57c26a-e25b-4c12-bb27-2941d829fd0f.jpg","open")</f>
        <v/>
      </c>
      <c r="C5290" t="inlineStr">
        <is>
          <t>93848fc8-17e7-4748-9ebc-c7e379e11d2f</t>
        </is>
      </c>
      <c r="D5290" t="n">
        <v>55.78232</v>
      </c>
      <c r="E5290" t="n">
        <v>37.69675</v>
      </c>
      <c r="F5290" t="inlineStr"/>
      <c r="G5290" t="inlineStr"/>
      <c r="H5290" t="inlineStr"/>
    </row>
    <row r="5291">
      <c r="A5291" t="inlineStr">
        <is>
          <t>c90d66a8-cbde-4e9e-b633-777ba7278fa2.jpg</t>
        </is>
      </c>
      <c r="B5291">
        <f>HYPERLINK("Объекты недвижимости, не соответствующие градостроительным нормам_00-022_Август/c90d66a8-cbde-4e9e-b633-777ba7278fa2.jpg","open")</f>
        <v/>
      </c>
      <c r="C5291" t="inlineStr">
        <is>
          <t>93848fc8-17e7-4748-9ebc-c7e379e11d2f</t>
        </is>
      </c>
      <c r="D5291" t="n">
        <v>55.78009</v>
      </c>
      <c r="E5291" t="n">
        <v>37.69513</v>
      </c>
      <c r="F5291" t="inlineStr"/>
      <c r="G5291" t="inlineStr"/>
      <c r="H5291" t="inlineStr"/>
    </row>
    <row r="5292">
      <c r="A5292" t="inlineStr">
        <is>
          <t>901dc765-79d0-4940-b2e0-bb5e44735de8.jpg</t>
        </is>
      </c>
      <c r="B5292">
        <f>HYPERLINK("Объекты недвижимости, не соответствующие градостроительным нормам_00-022_Август/901dc765-79d0-4940-b2e0-bb5e44735de8.jpg","open")</f>
        <v/>
      </c>
      <c r="C5292" t="inlineStr">
        <is>
          <t>cbf95b01-f708-45a3-9ec0-3603469b538e</t>
        </is>
      </c>
      <c r="D5292" t="n">
        <v>55.8125</v>
      </c>
      <c r="E5292" t="n">
        <v>37.46064</v>
      </c>
      <c r="F5292" t="inlineStr"/>
      <c r="G5292" t="inlineStr"/>
      <c r="H5292" t="inlineStr"/>
    </row>
    <row r="5293">
      <c r="A5293" t="inlineStr">
        <is>
          <t>1ca01f78-5441-4d0c-b63c-3e4e8428cca1.jpg</t>
        </is>
      </c>
      <c r="B5293">
        <f>HYPERLINK("Объекты недвижимости, не соответствующие градостроительным нормам_00-022_Август/1ca01f78-5441-4d0c-b63c-3e4e8428cca1.jpg","open")</f>
        <v/>
      </c>
      <c r="C5293" t="inlineStr">
        <is>
          <t>93848fc8-17e7-4748-9ebc-c7e379e11d2f</t>
        </is>
      </c>
      <c r="D5293" t="n">
        <v>55.78184</v>
      </c>
      <c r="E5293" t="n">
        <v>37.6967</v>
      </c>
      <c r="F5293" t="inlineStr"/>
      <c r="G5293" t="inlineStr"/>
      <c r="H5293" t="inlineStr"/>
    </row>
    <row r="5294">
      <c r="A5294" t="inlineStr">
        <is>
          <t>485c6b50-a58f-417f-aecc-98a34d5b4f5b.jpg</t>
        </is>
      </c>
      <c r="B5294">
        <f>HYPERLINK("Объекты недвижимости, не соответствующие градостроительным нормам_00-022_Август/485c6b50-a58f-417f-aecc-98a34d5b4f5b.jpg","open")</f>
        <v/>
      </c>
      <c r="C5294" t="inlineStr">
        <is>
          <t>cbf95b01-f708-45a3-9ec0-3603469b538e</t>
        </is>
      </c>
      <c r="D5294" t="n">
        <v>55.81197</v>
      </c>
      <c r="E5294" t="n">
        <v>37.46273</v>
      </c>
      <c r="F5294" t="inlineStr"/>
      <c r="G5294" t="inlineStr"/>
      <c r="H5294" t="inlineStr"/>
    </row>
    <row r="5295">
      <c r="A5295" t="inlineStr">
        <is>
          <t>7f67184d-917c-49f1-926f-4d0000ddf01c.jpg</t>
        </is>
      </c>
      <c r="B5295">
        <f>HYPERLINK("Объекты недвижимости, не соответствующие градостроительным нормам_00-022_Август/7f67184d-917c-49f1-926f-4d0000ddf01c.jpg","open")</f>
        <v/>
      </c>
      <c r="C5295" t="inlineStr">
        <is>
          <t>93848fc8-17e7-4748-9ebc-c7e379e11d2f</t>
        </is>
      </c>
      <c r="D5295" t="n">
        <v>55.78653</v>
      </c>
      <c r="E5295" t="n">
        <v>37.69696</v>
      </c>
      <c r="F5295" t="inlineStr"/>
      <c r="G5295" t="inlineStr"/>
      <c r="H5295" t="inlineStr"/>
    </row>
    <row r="5296">
      <c r="A5296" t="inlineStr">
        <is>
          <t>30b02a54-a883-4019-8fed-3290512a2c6a.jpg</t>
        </is>
      </c>
      <c r="B5296">
        <f>HYPERLINK("Объекты недвижимости, не соответствующие градостроительным нормам_00-022_Август/30b02a54-a883-4019-8fed-3290512a2c6a.jpg","open")</f>
        <v/>
      </c>
      <c r="C5296" t="inlineStr">
        <is>
          <t>93848fc8-17e7-4748-9ebc-c7e379e11d2f</t>
        </is>
      </c>
      <c r="D5296" t="n">
        <v>55.78721</v>
      </c>
      <c r="E5296" t="n">
        <v>37.69066</v>
      </c>
      <c r="F5296" t="inlineStr"/>
      <c r="G5296" t="inlineStr"/>
      <c r="H5296" t="inlineStr"/>
    </row>
    <row r="5297">
      <c r="A5297" t="inlineStr">
        <is>
          <t>fc4475b3-e4a5-41f6-8ddf-8c96cdc588eb.jpg</t>
        </is>
      </c>
      <c r="B5297">
        <f>HYPERLINK("Объекты недвижимости, не соответствующие градостроительным нормам_00-022_Август/fc4475b3-e4a5-41f6-8ddf-8c96cdc588eb.jpg","open")</f>
        <v/>
      </c>
      <c r="C5297" t="inlineStr">
        <is>
          <t>93848fc8-17e7-4748-9ebc-c7e379e11d2f</t>
        </is>
      </c>
      <c r="D5297" t="n">
        <v>55.78739</v>
      </c>
      <c r="E5297" t="n">
        <v>37.691</v>
      </c>
      <c r="F5297" t="inlineStr"/>
      <c r="G5297" t="inlineStr"/>
      <c r="H5297" t="inlineStr"/>
    </row>
    <row r="5298">
      <c r="A5298" t="inlineStr">
        <is>
          <t>f570a6bd-b8fa-4c85-9c4a-28956e211ef5.jpg</t>
        </is>
      </c>
      <c r="B5298">
        <f>HYPERLINK("Объекты недвижимости, не соответствующие градостроительным нормам_00-022_Август/f570a6bd-b8fa-4c85-9c4a-28956e211ef5.jpg","open")</f>
        <v/>
      </c>
      <c r="C5298" t="inlineStr">
        <is>
          <t>dd48f742-b338-42e2-bbaf-b3a9701b437c</t>
        </is>
      </c>
      <c r="D5298" t="n">
        <v>55.94724</v>
      </c>
      <c r="E5298" t="n">
        <v>37.33435</v>
      </c>
      <c r="F5298" t="inlineStr"/>
      <c r="G5298" t="inlineStr"/>
      <c r="H5298" t="inlineStr"/>
    </row>
    <row r="5299">
      <c r="A5299" t="inlineStr">
        <is>
          <t>3925258e-1593-4d0f-9e23-7c9b00c9fb9b.jpg</t>
        </is>
      </c>
      <c r="B5299">
        <f>HYPERLINK("Объекты недвижимости, не соответствующие градостроительным нормам_00-022_Август/3925258e-1593-4d0f-9e23-7c9b00c9fb9b.jpg","open")</f>
        <v/>
      </c>
      <c r="C5299" t="inlineStr">
        <is>
          <t>8cde1fd0-eca1-4510-86ab-3c743b65fdfc</t>
        </is>
      </c>
      <c r="D5299" t="n">
        <v>55.65722</v>
      </c>
      <c r="E5299" t="n">
        <v>37.49578</v>
      </c>
      <c r="F5299" t="inlineStr"/>
      <c r="G5299" t="inlineStr"/>
      <c r="H5299" t="inlineStr"/>
    </row>
    <row r="5300">
      <c r="A5300" t="inlineStr">
        <is>
          <t>ed61c667-2979-4f2d-850e-067ca85f4c0a.jpg</t>
        </is>
      </c>
      <c r="B5300">
        <f>HYPERLINK("Объекты недвижимости, не соответствующие градостроительным нормам_00-022_Август/ed61c667-2979-4f2d-850e-067ca85f4c0a.jpg","open")</f>
        <v/>
      </c>
      <c r="C5300" t="inlineStr">
        <is>
          <t>1c951e11-4940-43c6-a447-394097e5609a</t>
        </is>
      </c>
      <c r="D5300" t="n">
        <v>55.65733</v>
      </c>
      <c r="E5300" t="n">
        <v>37.49604</v>
      </c>
      <c r="F5300" t="inlineStr"/>
      <c r="G5300" t="inlineStr"/>
      <c r="H5300" t="inlineStr"/>
    </row>
    <row r="5301">
      <c r="A5301" t="inlineStr">
        <is>
          <t>4704c13d-2891-4307-b20a-85664a92960f.jpg</t>
        </is>
      </c>
      <c r="B5301">
        <f>HYPERLINK("Объекты недвижимости, не соответствующие градостроительным нормам_00-022_Август/4704c13d-2891-4307-b20a-85664a92960f.jpg","open")</f>
        <v/>
      </c>
      <c r="C5301" t="inlineStr">
        <is>
          <t>cbf95b01-f708-45a3-9ec0-3603469b538e</t>
        </is>
      </c>
      <c r="D5301" t="n">
        <v>55.9708</v>
      </c>
      <c r="E5301" t="n">
        <v>37.43039</v>
      </c>
      <c r="F5301" t="inlineStr"/>
      <c r="G5301" t="inlineStr"/>
      <c r="H5301" t="inlineStr"/>
    </row>
    <row r="5302">
      <c r="A5302" t="inlineStr">
        <is>
          <t>0b09a74f-b290-4901-8216-020f481ce789.jpg</t>
        </is>
      </c>
      <c r="B5302">
        <f>HYPERLINK("Объекты недвижимости, не соответствующие градостроительным нормам_00-022_Август/0b09a74f-b290-4901-8216-020f481ce789.jpg","open")</f>
        <v/>
      </c>
      <c r="C5302" t="inlineStr">
        <is>
          <t>cbf95b01-f708-45a3-9ec0-3603469b538e</t>
        </is>
      </c>
      <c r="D5302" t="n">
        <v>55.9708</v>
      </c>
      <c r="E5302" t="n">
        <v>37.43039</v>
      </c>
      <c r="F5302" t="inlineStr"/>
      <c r="G5302" t="inlineStr"/>
      <c r="H5302" t="inlineStr"/>
    </row>
    <row r="5303">
      <c r="A5303" t="inlineStr">
        <is>
          <t>1afc550b-3ceb-40ee-aea7-a5cb28a059ce.jpg</t>
        </is>
      </c>
      <c r="B5303">
        <f>HYPERLINK("Объекты недвижимости, не соответствующие градостроительным нормам_00-022_Август/1afc550b-3ceb-40ee-aea7-a5cb28a059ce.jpg","open")</f>
        <v/>
      </c>
      <c r="C5303" t="inlineStr">
        <is>
          <t>93848fc8-17e7-4748-9ebc-c7e379e11d2f</t>
        </is>
      </c>
      <c r="D5303" t="n">
        <v>55.79076</v>
      </c>
      <c r="E5303" t="n">
        <v>37.69064</v>
      </c>
      <c r="F5303" t="inlineStr"/>
      <c r="G5303" t="inlineStr"/>
      <c r="H5303" t="inlineStr"/>
    </row>
    <row r="5304">
      <c r="A5304" t="inlineStr">
        <is>
          <t>b57e015d-d5a7-4769-9356-5261df5e8cdb.jpg</t>
        </is>
      </c>
      <c r="B5304">
        <f>HYPERLINK("Объекты недвижимости, не соответствующие градостроительным нормам_00-022_Август/b57e015d-d5a7-4769-9356-5261df5e8cdb.jpg","open")</f>
        <v/>
      </c>
      <c r="C5304" t="inlineStr">
        <is>
          <t>cbf95b01-f708-45a3-9ec0-3603469b538e</t>
        </is>
      </c>
      <c r="D5304" t="n">
        <v>55.98138</v>
      </c>
      <c r="E5304" t="n">
        <v>37.40779</v>
      </c>
      <c r="F5304" t="inlineStr"/>
      <c r="G5304" t="inlineStr"/>
      <c r="H5304" t="inlineStr"/>
    </row>
    <row r="5305">
      <c r="A5305" t="inlineStr">
        <is>
          <t>b0d3f010-7341-44ae-9335-abc91952d4ac.jpg</t>
        </is>
      </c>
      <c r="B5305">
        <f>HYPERLINK("Объекты недвижимости, не соответствующие градостроительным нормам_00-022_Август/b0d3f010-7341-44ae-9335-abc91952d4ac.jpg","open")</f>
        <v/>
      </c>
      <c r="C5305" t="inlineStr">
        <is>
          <t>cbf95b01-f708-45a3-9ec0-3603469b538e</t>
        </is>
      </c>
      <c r="D5305" t="n">
        <v>55.98242</v>
      </c>
      <c r="E5305" t="n">
        <v>37.41386</v>
      </c>
      <c r="F5305" t="inlineStr"/>
      <c r="G5305" t="inlineStr"/>
      <c r="H5305" t="inlineStr"/>
    </row>
    <row r="5306">
      <c r="A5306" t="inlineStr">
        <is>
          <t>48b345b7-778f-4fdb-a258-2f7dbbf87cd1.jpg</t>
        </is>
      </c>
      <c r="B5306">
        <f>HYPERLINK("Объекты недвижимости, не соответствующие градостроительным нормам_00-022_Август/48b345b7-778f-4fdb-a258-2f7dbbf87cd1.jpg","open")</f>
        <v/>
      </c>
      <c r="C5306" t="inlineStr">
        <is>
          <t>cbf95b01-f708-45a3-9ec0-3603469b538e</t>
        </is>
      </c>
      <c r="D5306" t="n">
        <v>55.98242</v>
      </c>
      <c r="E5306" t="n">
        <v>37.41559</v>
      </c>
      <c r="F5306" t="inlineStr"/>
      <c r="G5306" t="inlineStr"/>
      <c r="H5306" t="inlineStr"/>
    </row>
    <row r="5307">
      <c r="A5307" t="inlineStr">
        <is>
          <t>b9261e2a-35e0-4ffb-9dcd-46501c4354f4.jpg</t>
        </is>
      </c>
      <c r="B5307">
        <f>HYPERLINK("Объекты недвижимости, не соответствующие градостроительным нормам_00-022_Август/b9261e2a-35e0-4ffb-9dcd-46501c4354f4.jpg","open")</f>
        <v/>
      </c>
      <c r="C5307" t="inlineStr">
        <is>
          <t>8cde1fd0-eca1-4510-86ab-3c743b65fdfc</t>
        </is>
      </c>
      <c r="D5307" t="n">
        <v>55.66765</v>
      </c>
      <c r="E5307" t="n">
        <v>37.49507</v>
      </c>
      <c r="F5307" t="inlineStr"/>
      <c r="G5307" t="inlineStr"/>
      <c r="H5307" t="inlineStr"/>
    </row>
    <row r="5308">
      <c r="A5308" t="inlineStr">
        <is>
          <t>c456a51e-087f-4334-846e-08c1c6e61f1a.jpg</t>
        </is>
      </c>
      <c r="B5308">
        <f>HYPERLINK("Объекты недвижимости, не соответствующие градостроительным нормам_00-022_Август/c456a51e-087f-4334-846e-08c1c6e61f1a.jpg","open")</f>
        <v/>
      </c>
      <c r="C5308" t="inlineStr">
        <is>
          <t>cbf95b01-f708-45a3-9ec0-3603469b538e</t>
        </is>
      </c>
      <c r="D5308" t="n">
        <v>55.96686</v>
      </c>
      <c r="E5308" t="n">
        <v>37.42596</v>
      </c>
      <c r="F5308" t="inlineStr"/>
      <c r="G5308" t="inlineStr"/>
      <c r="H5308" t="inlineStr"/>
    </row>
    <row r="5309">
      <c r="A5309" t="inlineStr">
        <is>
          <t>8ff9d49d-177e-4eac-9c9f-5b4abba38e1d.jpg</t>
        </is>
      </c>
      <c r="B5309">
        <f>HYPERLINK("Объекты недвижимости, не соответствующие градостроительным нормам_00-022_Август/8ff9d49d-177e-4eac-9c9f-5b4abba38e1d.jpg","open")</f>
        <v/>
      </c>
      <c r="C5309" t="inlineStr">
        <is>
          <t>ed2bf0f1-3a66-4913-896e-4420a9796c0b</t>
        </is>
      </c>
      <c r="D5309" t="n">
        <v>55.63991</v>
      </c>
      <c r="E5309" t="n">
        <v>37.6237</v>
      </c>
      <c r="F5309" t="inlineStr"/>
      <c r="G5309" t="inlineStr"/>
      <c r="H5309" t="inlineStr"/>
    </row>
    <row r="5310">
      <c r="A5310" t="inlineStr">
        <is>
          <t>02f79e40-6d5c-4ece-8cb3-05aee1fd1ed0.jpg</t>
        </is>
      </c>
      <c r="B5310">
        <f>HYPERLINK("Объекты недвижимости, не соответствующие градостроительным нормам_00-022_Август/02f79e40-6d5c-4ece-8cb3-05aee1fd1ed0.jpg","open")</f>
        <v/>
      </c>
      <c r="C5310" t="inlineStr">
        <is>
          <t>a1a9db89-3f74-42ef-8fad-ad69705102cd</t>
        </is>
      </c>
      <c r="D5310" t="n">
        <v>55.97151</v>
      </c>
      <c r="E5310" t="n">
        <v>37.43618</v>
      </c>
      <c r="F5310" t="inlineStr"/>
      <c r="G5310" t="inlineStr"/>
      <c r="H5310" t="inlineStr"/>
    </row>
    <row r="5311">
      <c r="A5311" t="inlineStr">
        <is>
          <t>70109b59-ce50-488e-ac83-9bd01dc1d719.jpg</t>
        </is>
      </c>
      <c r="B5311">
        <f>HYPERLINK("Объекты недвижимости, не соответствующие градостроительным нормам_00-022_Август/70109b59-ce50-488e-ac83-9bd01dc1d719.jpg","open")</f>
        <v/>
      </c>
      <c r="C5311" t="inlineStr">
        <is>
          <t>cbf95b01-f708-45a3-9ec0-3603469b538e</t>
        </is>
      </c>
      <c r="D5311" t="n">
        <v>55.96648</v>
      </c>
      <c r="E5311" t="n">
        <v>37.40776</v>
      </c>
      <c r="F5311" t="inlineStr"/>
      <c r="G5311" t="inlineStr"/>
      <c r="H5311" t="inlineStr"/>
    </row>
    <row r="5312">
      <c r="A5312" t="inlineStr">
        <is>
          <t>c4421ca4-c1d0-46af-9195-c12d2c7d7ec0.jpg</t>
        </is>
      </c>
      <c r="B5312">
        <f>HYPERLINK("Объекты недвижимости, не соответствующие градостроительным нормам_00-022_Август/c4421ca4-c1d0-46af-9195-c12d2c7d7ec0.jpg","open")</f>
        <v/>
      </c>
      <c r="C5312" t="inlineStr">
        <is>
          <t>cbf95b01-f708-45a3-9ec0-3603469b538e</t>
        </is>
      </c>
      <c r="D5312" t="n">
        <v>55.96648</v>
      </c>
      <c r="E5312" t="n">
        <v>37.40776</v>
      </c>
      <c r="F5312" t="inlineStr"/>
      <c r="G5312" t="inlineStr"/>
      <c r="H5312" t="inlineStr"/>
    </row>
    <row r="5313">
      <c r="A5313" t="inlineStr">
        <is>
          <t>08085fb5-33a6-448d-bd9b-7f527de040ef.jpg</t>
        </is>
      </c>
      <c r="B5313">
        <f>HYPERLINK("Объекты недвижимости, не соответствующие градостроительным нормам_00-022_Август/08085fb5-33a6-448d-bd9b-7f527de040ef.jpg","open")</f>
        <v/>
      </c>
      <c r="C5313" t="inlineStr">
        <is>
          <t>cbf95b01-f708-45a3-9ec0-3603469b538e</t>
        </is>
      </c>
      <c r="D5313" t="n">
        <v>56.01781</v>
      </c>
      <c r="E5313" t="n">
        <v>37.3734</v>
      </c>
      <c r="F5313" t="inlineStr"/>
      <c r="G5313" t="inlineStr"/>
      <c r="H5313" t="inlineStr"/>
    </row>
    <row r="5314">
      <c r="A5314" t="inlineStr">
        <is>
          <t>d54b8079-fd94-44a0-981d-f8b634a38ba8.jpg</t>
        </is>
      </c>
      <c r="B5314">
        <f>HYPERLINK("Объекты недвижимости, не соответствующие градостроительным нормам_00-022_Август/d54b8079-fd94-44a0-981d-f8b634a38ba8.jpg","open")</f>
        <v/>
      </c>
      <c r="C5314" t="inlineStr">
        <is>
          <t>cbf95b01-f708-45a3-9ec0-3603469b538e</t>
        </is>
      </c>
      <c r="D5314" t="n">
        <v>56.01308</v>
      </c>
      <c r="E5314" t="n">
        <v>37.23343</v>
      </c>
      <c r="F5314" t="inlineStr"/>
      <c r="G5314" t="inlineStr"/>
      <c r="H5314" t="inlineStr"/>
    </row>
    <row r="5315">
      <c r="A5315" t="inlineStr">
        <is>
          <t>975a9d79-274b-483a-8de7-f43f0b8311f0.jpg</t>
        </is>
      </c>
      <c r="B5315">
        <f>HYPERLINK("Объекты недвижимости, не соответствующие градостроительным нормам_00-022_Август/975a9d79-274b-483a-8de7-f43f0b8311f0.jpg","open")</f>
        <v/>
      </c>
      <c r="C5315" t="inlineStr">
        <is>
          <t>cbf95b01-f708-45a3-9ec0-3603469b538e</t>
        </is>
      </c>
      <c r="D5315" t="n">
        <v>56.01308</v>
      </c>
      <c r="E5315" t="n">
        <v>37.23343</v>
      </c>
      <c r="F5315" t="inlineStr"/>
      <c r="G5315" t="inlineStr"/>
      <c r="H5315" t="inlineStr"/>
    </row>
    <row r="5316">
      <c r="A5316" t="inlineStr">
        <is>
          <t>dd23b416-4850-44f3-b48c-cc9cd6d56e43.jpg</t>
        </is>
      </c>
      <c r="B5316">
        <f>HYPERLINK("Объекты недвижимости, не соответствующие градостроительным нормам_00-022_Август/dd23b416-4850-44f3-b48c-cc9cd6d56e43.jpg","open")</f>
        <v/>
      </c>
      <c r="C5316" t="inlineStr">
        <is>
          <t>cbf95b01-f708-45a3-9ec0-3603469b538e</t>
        </is>
      </c>
      <c r="D5316" t="n">
        <v>56.01308</v>
      </c>
      <c r="E5316" t="n">
        <v>37.23343</v>
      </c>
      <c r="F5316" t="inlineStr"/>
      <c r="G5316" t="inlineStr"/>
      <c r="H5316" t="inlineStr"/>
    </row>
    <row r="5317">
      <c r="A5317" t="inlineStr">
        <is>
          <t>dce9aad7-0892-4c9c-abab-ba02a7952ef2.jpg</t>
        </is>
      </c>
      <c r="B5317">
        <f>HYPERLINK("Объекты недвижимости, не соответствующие градостроительным нормам_00-022_Август/dce9aad7-0892-4c9c-abab-ba02a7952ef2.jpg","open")</f>
        <v/>
      </c>
      <c r="C5317" t="inlineStr">
        <is>
          <t>a1a9db89-3f74-42ef-8fad-ad69705102cd</t>
        </is>
      </c>
      <c r="D5317" t="n">
        <v>56.01308</v>
      </c>
      <c r="E5317" t="n">
        <v>37.23343</v>
      </c>
      <c r="F5317" t="inlineStr"/>
      <c r="G5317" t="inlineStr"/>
      <c r="H5317" t="inlineStr"/>
    </row>
    <row r="5318">
      <c r="A5318" t="inlineStr">
        <is>
          <t>f7bf6d73-1749-41ca-8227-c956b1a75083.jpg</t>
        </is>
      </c>
      <c r="B5318">
        <f>HYPERLINK("Объекты недвижимости, не соответствующие градостроительным нормам_00-022_Август/f7bf6d73-1749-41ca-8227-c956b1a75083.jpg","open")</f>
        <v/>
      </c>
      <c r="C5318" t="inlineStr">
        <is>
          <t>cbf95b01-f708-45a3-9ec0-3603469b538e</t>
        </is>
      </c>
      <c r="D5318" t="n">
        <v>56.01308</v>
      </c>
      <c r="E5318" t="n">
        <v>37.23343</v>
      </c>
      <c r="F5318" t="inlineStr"/>
      <c r="G5318" t="inlineStr"/>
      <c r="H5318" t="inlineStr"/>
    </row>
    <row r="5319">
      <c r="A5319" t="inlineStr">
        <is>
          <t>67196f06-bddd-4d68-bf31-467fca7e4c51.jpg</t>
        </is>
      </c>
      <c r="B5319">
        <f>HYPERLINK("Объекты недвижимости, не соответствующие градостроительным нормам_00-022_Август/67196f06-bddd-4d68-bf31-467fca7e4c51.jpg","open")</f>
        <v/>
      </c>
      <c r="C5319" t="inlineStr">
        <is>
          <t>cbf95b01-f708-45a3-9ec0-3603469b538e</t>
        </is>
      </c>
      <c r="D5319" t="n">
        <v>56.01308</v>
      </c>
      <c r="E5319" t="n">
        <v>37.23343</v>
      </c>
      <c r="F5319" t="inlineStr"/>
      <c r="G5319" t="inlineStr"/>
      <c r="H5319" t="inlineStr"/>
    </row>
    <row r="5320">
      <c r="A5320" t="inlineStr">
        <is>
          <t>9e8eae7f-3413-44cd-8cc2-9b1642717e1d.jpg</t>
        </is>
      </c>
      <c r="B5320">
        <f>HYPERLINK("Объекты недвижимости, не соответствующие градостроительным нормам_00-022_Август/9e8eae7f-3413-44cd-8cc2-9b1642717e1d.jpg","open")</f>
        <v/>
      </c>
      <c r="C5320" t="inlineStr">
        <is>
          <t>ed2bf0f1-3a66-4913-896e-4420a9796c0b</t>
        </is>
      </c>
      <c r="D5320" t="n">
        <v>55.64068</v>
      </c>
      <c r="E5320" t="n">
        <v>37.62489</v>
      </c>
      <c r="F5320" t="inlineStr"/>
      <c r="G5320" t="inlineStr"/>
      <c r="H5320" t="inlineStr"/>
    </row>
    <row r="5321">
      <c r="A5321" t="inlineStr">
        <is>
          <t>27bdcf92-b467-41d8-85ec-2c2c64d4cc86.jpg</t>
        </is>
      </c>
      <c r="B5321">
        <f>HYPERLINK("Объекты недвижимости, не соответствующие градостроительным нормам_00-022_Август/27bdcf92-b467-41d8-85ec-2c2c64d4cc86.jpg","open")</f>
        <v/>
      </c>
      <c r="C5321" t="inlineStr">
        <is>
          <t>cbf95b01-f708-45a3-9ec0-3603469b538e</t>
        </is>
      </c>
      <c r="D5321" t="n">
        <v>56.01308</v>
      </c>
      <c r="E5321" t="n">
        <v>37.23343</v>
      </c>
      <c r="F5321" t="inlineStr"/>
      <c r="G5321" t="inlineStr"/>
      <c r="H5321" t="inlineStr"/>
    </row>
    <row r="5322">
      <c r="A5322" t="inlineStr">
        <is>
          <t>0d9e8787-3364-478d-9e39-743161c196a7.jpg</t>
        </is>
      </c>
      <c r="B5322">
        <f>HYPERLINK("Объекты недвижимости, не соответствующие градостроительным нормам_00-022_Август/0d9e8787-3364-478d-9e39-743161c196a7.jpg","open")</f>
        <v/>
      </c>
      <c r="C5322" t="inlineStr">
        <is>
          <t>1c951e11-4940-43c6-a447-394097e5609a</t>
        </is>
      </c>
      <c r="D5322" t="n">
        <v>55.65392</v>
      </c>
      <c r="E5322" t="n">
        <v>37.4885</v>
      </c>
      <c r="F5322" t="inlineStr"/>
      <c r="G5322" t="inlineStr"/>
      <c r="H5322" t="inlineStr"/>
    </row>
    <row r="5323">
      <c r="A5323" t="inlineStr">
        <is>
          <t>e106a86f-033a-49f2-a4c5-50519b9fb5f9.jpg</t>
        </is>
      </c>
      <c r="B5323">
        <f>HYPERLINK("Объекты недвижимости, не соответствующие градостроительным нормам_00-022_Август/e106a86f-033a-49f2-a4c5-50519b9fb5f9.jpg","open")</f>
        <v/>
      </c>
      <c r="C5323" t="inlineStr">
        <is>
          <t>8cde1fd0-eca1-4510-86ab-3c743b65fdfc</t>
        </is>
      </c>
      <c r="D5323" t="n">
        <v>55.65398</v>
      </c>
      <c r="E5323" t="n">
        <v>37.48863</v>
      </c>
      <c r="F5323" t="inlineStr"/>
      <c r="G5323" t="inlineStr"/>
      <c r="H5323" t="inlineStr"/>
    </row>
    <row r="5324">
      <c r="A5324" t="inlineStr">
        <is>
          <t>f6b7c8b5-44e1-4afd-b860-8c60dad22189.jpg</t>
        </is>
      </c>
      <c r="B5324">
        <f>HYPERLINK("Объекты недвижимости, не соответствующие градостроительным нормам_00-022_Август/f6b7c8b5-44e1-4afd-b860-8c60dad22189.jpg","open")</f>
        <v/>
      </c>
      <c r="C5324" t="inlineStr">
        <is>
          <t>cbf95b01-f708-45a3-9ec0-3603469b538e</t>
        </is>
      </c>
      <c r="D5324" t="n">
        <v>55.79323</v>
      </c>
      <c r="E5324" t="n">
        <v>37.57236</v>
      </c>
      <c r="F5324" t="inlineStr"/>
      <c r="G5324" t="inlineStr"/>
      <c r="H5324" t="inlineStr"/>
    </row>
    <row r="5325">
      <c r="A5325" t="inlineStr">
        <is>
          <t>ef5320dc-cbcc-46d4-93d7-f06170467bfc.jpg</t>
        </is>
      </c>
      <c r="B5325">
        <f>HYPERLINK("Объекты недвижимости, не соответствующие градостроительным нормам_00-022_Август/ef5320dc-cbcc-46d4-93d7-f06170467bfc.jpg","open")</f>
        <v/>
      </c>
      <c r="C5325" t="inlineStr">
        <is>
          <t>cbf95b01-f708-45a3-9ec0-3603469b538e</t>
        </is>
      </c>
      <c r="D5325" t="n">
        <v>55.79329</v>
      </c>
      <c r="E5325" t="n">
        <v>37.56495</v>
      </c>
      <c r="F5325" t="inlineStr"/>
      <c r="G5325" t="inlineStr"/>
      <c r="H5325" t="inlineStr"/>
    </row>
    <row r="5326">
      <c r="A5326" t="inlineStr">
        <is>
          <t>921b0656-0865-4e18-8239-7caa009243c2.jpg</t>
        </is>
      </c>
      <c r="B5326">
        <f>HYPERLINK("Объекты недвижимости, не соответствующие градостроительным нормам_00-022_Август/921b0656-0865-4e18-8239-7caa009243c2.jpg","open")</f>
        <v/>
      </c>
      <c r="C5326" t="inlineStr">
        <is>
          <t>cbf95b01-f708-45a3-9ec0-3603469b538e</t>
        </is>
      </c>
      <c r="D5326" t="n">
        <v>55.79404</v>
      </c>
      <c r="E5326" t="n">
        <v>37.56468</v>
      </c>
      <c r="F5326" t="inlineStr"/>
      <c r="G5326" t="inlineStr"/>
      <c r="H5326" t="inlineStr"/>
    </row>
    <row r="5327">
      <c r="A5327" t="inlineStr">
        <is>
          <t>3100a56b-de59-401b-a1f6-c3f397405d7b.jpg</t>
        </is>
      </c>
      <c r="B5327">
        <f>HYPERLINK("Объекты недвижимости, не соответствующие градостроительным нормам_00-022_Август/3100a56b-de59-401b-a1f6-c3f397405d7b.jpg","open")</f>
        <v/>
      </c>
      <c r="C5327" t="inlineStr">
        <is>
          <t>cbf95b01-f708-45a3-9ec0-3603469b538e</t>
        </is>
      </c>
      <c r="D5327" t="n">
        <v>55.7953</v>
      </c>
      <c r="E5327" t="n">
        <v>37.56419</v>
      </c>
      <c r="F5327" t="inlineStr"/>
      <c r="G5327" t="inlineStr"/>
      <c r="H5327" t="inlineStr"/>
    </row>
    <row r="5328">
      <c r="A5328" t="inlineStr">
        <is>
          <t>a33b25d7-0547-445f-a0d7-da7733de4963.jpg</t>
        </is>
      </c>
      <c r="B5328">
        <f>HYPERLINK("Объекты недвижимости, не соответствующие градостроительным нормам_00-022_Август/a33b25d7-0547-445f-a0d7-da7733de4963.jpg","open")</f>
        <v/>
      </c>
      <c r="C5328" t="inlineStr">
        <is>
          <t>cbf95b01-f708-45a3-9ec0-3603469b538e</t>
        </is>
      </c>
      <c r="D5328" t="n">
        <v>55.79592</v>
      </c>
      <c r="E5328" t="n">
        <v>37.56345</v>
      </c>
      <c r="F5328" t="inlineStr"/>
      <c r="G5328" t="inlineStr"/>
      <c r="H5328" t="inlineStr"/>
    </row>
    <row r="5329">
      <c r="A5329" t="inlineStr">
        <is>
          <t>8515be42-0172-4b2e-9cbf-35fbc001c0e0.jpg</t>
        </is>
      </c>
      <c r="B5329">
        <f>HYPERLINK("Объекты недвижимости, не соответствующие градостроительным нормам_00-022_Август/8515be42-0172-4b2e-9cbf-35fbc001c0e0.jpg","open")</f>
        <v/>
      </c>
      <c r="C5329" t="inlineStr">
        <is>
          <t>a1a9db89-3f74-42ef-8fad-ad69705102cd</t>
        </is>
      </c>
      <c r="D5329" t="n">
        <v>55.79647</v>
      </c>
      <c r="E5329" t="n">
        <v>37.56284</v>
      </c>
      <c r="F5329" t="inlineStr"/>
      <c r="G5329" t="inlineStr"/>
      <c r="H5329" t="inlineStr"/>
    </row>
    <row r="5330">
      <c r="A5330" t="inlineStr">
        <is>
          <t>9ea26c61-9d62-44c8-a86a-96b54efb0c95.jpg</t>
        </is>
      </c>
      <c r="B5330">
        <f>HYPERLINK("Объекты недвижимости, не соответствующие градостроительным нормам_00-022_Август/9ea26c61-9d62-44c8-a86a-96b54efb0c95.jpg","open")</f>
        <v/>
      </c>
      <c r="C5330" t="inlineStr">
        <is>
          <t>cbf95b01-f708-45a3-9ec0-3603469b538e</t>
        </is>
      </c>
      <c r="D5330" t="n">
        <v>55.79702</v>
      </c>
      <c r="E5330" t="n">
        <v>37.56422</v>
      </c>
      <c r="F5330" t="inlineStr"/>
      <c r="G5330" t="inlineStr"/>
      <c r="H5330" t="inlineStr"/>
    </row>
    <row r="5331">
      <c r="A5331" t="inlineStr">
        <is>
          <t>ae0993fc-a3ce-4883-9ff0-9111fbbaabd8.jpg</t>
        </is>
      </c>
      <c r="B5331">
        <f>HYPERLINK("Объекты недвижимости, не соответствующие градостроительным нормам_00-022_Август/ae0993fc-a3ce-4883-9ff0-9111fbbaabd8.jpg","open")</f>
        <v/>
      </c>
      <c r="C5331" t="inlineStr">
        <is>
          <t>1c951e11-4940-43c6-a447-394097e5609a</t>
        </is>
      </c>
      <c r="D5331" t="n">
        <v>55.65532</v>
      </c>
      <c r="E5331" t="n">
        <v>37.48072</v>
      </c>
      <c r="F5331" t="inlineStr"/>
      <c r="G5331" t="inlineStr"/>
      <c r="H5331" t="inlineStr"/>
    </row>
    <row r="5332">
      <c r="A5332" t="inlineStr">
        <is>
          <t>38bc66c2-b28e-4033-8fb9-8816d739c644.jpg</t>
        </is>
      </c>
      <c r="B5332">
        <f>HYPERLINK("Объекты недвижимости, не соответствующие градостроительным нормам_00-022_Август/38bc66c2-b28e-4033-8fb9-8816d739c644.jpg","open")</f>
        <v/>
      </c>
      <c r="C5332" t="inlineStr">
        <is>
          <t>93848fc8-17e7-4748-9ebc-c7e379e11d2f</t>
        </is>
      </c>
      <c r="D5332" t="n">
        <v>55.81905</v>
      </c>
      <c r="E5332" t="n">
        <v>37.6717</v>
      </c>
      <c r="F5332" t="inlineStr"/>
      <c r="G5332" t="inlineStr"/>
      <c r="H5332" t="inlineStr"/>
    </row>
    <row r="5333">
      <c r="A5333" t="inlineStr">
        <is>
          <t>ce2e3484-fdb5-4672-b5a4-547526713118.jpg</t>
        </is>
      </c>
      <c r="B5333">
        <f>HYPERLINK("Объекты недвижимости, не соответствующие градостроительным нормам_00-022_Август/ce2e3484-fdb5-4672-b5a4-547526713118.jpg","open")</f>
        <v/>
      </c>
      <c r="C5333" t="inlineStr">
        <is>
          <t>8cde1fd0-eca1-4510-86ab-3c743b65fdfc</t>
        </is>
      </c>
      <c r="D5333" t="n">
        <v>55.65923</v>
      </c>
      <c r="E5333" t="n">
        <v>37.48181</v>
      </c>
      <c r="F5333" t="inlineStr"/>
      <c r="G5333" t="inlineStr"/>
      <c r="H5333" t="inlineStr"/>
    </row>
    <row r="5334">
      <c r="A5334" t="inlineStr">
        <is>
          <t>ba0dfc3c-0712-4956-b9e0-ef5ac6e46b90.jpg</t>
        </is>
      </c>
      <c r="B5334">
        <f>HYPERLINK("Объекты недвижимости, не соответствующие градостроительным нормам_00-022_Август/ba0dfc3c-0712-4956-b9e0-ef5ac6e46b90.jpg","open")</f>
        <v/>
      </c>
      <c r="C5334" t="inlineStr">
        <is>
          <t>f9ad0a8f-1e33-4fca-bdfe-5b844d3ee381</t>
        </is>
      </c>
      <c r="D5334" t="n">
        <v>55.74685</v>
      </c>
      <c r="E5334" t="n">
        <v>37.56186</v>
      </c>
      <c r="F5334" t="inlineStr"/>
      <c r="G5334" t="inlineStr"/>
      <c r="H5334" t="inlineStr"/>
    </row>
    <row r="5335">
      <c r="A5335" t="inlineStr">
        <is>
          <t>45d55458-11b7-4e12-bae1-bb294045d9f0.jpg</t>
        </is>
      </c>
      <c r="B5335">
        <f>HYPERLINK("Объекты недвижимости, не соответствующие градостроительным нормам_00-022_Август/45d55458-11b7-4e12-bae1-bb294045d9f0.jpg","open")</f>
        <v/>
      </c>
      <c r="C5335" t="inlineStr">
        <is>
          <t>ab4e767f-65c0-455b-af20-a5527124fd21</t>
        </is>
      </c>
      <c r="D5335" t="n">
        <v>55.74685</v>
      </c>
      <c r="E5335" t="n">
        <v>37.56186</v>
      </c>
      <c r="F5335" t="inlineStr"/>
      <c r="G5335" t="inlineStr"/>
      <c r="H5335" t="inlineStr"/>
    </row>
    <row r="5336">
      <c r="A5336" t="inlineStr">
        <is>
          <t>60847523-371b-42b2-82ac-5eeba148df42.jpg</t>
        </is>
      </c>
      <c r="B5336">
        <f>HYPERLINK("Объекты недвижимости, не соответствующие градостроительным нормам_00-022_Август/60847523-371b-42b2-82ac-5eeba148df42.jpg","open")</f>
        <v/>
      </c>
      <c r="C5336" t="inlineStr">
        <is>
          <t>a1a9db89-3f74-42ef-8fad-ad69705102cd</t>
        </is>
      </c>
      <c r="D5336" t="n">
        <v>55.7992</v>
      </c>
      <c r="E5336" t="n">
        <v>37.56257</v>
      </c>
      <c r="F5336" t="inlineStr"/>
      <c r="G5336" t="inlineStr"/>
      <c r="H5336" t="inlineStr"/>
    </row>
    <row r="5337">
      <c r="A5337" t="inlineStr">
        <is>
          <t>b22b57cb-6c75-45cd-91d3-eb37ad0d3e80.jpg</t>
        </is>
      </c>
      <c r="B5337">
        <f>HYPERLINK("Объекты недвижимости, не соответствующие градостроительным нормам_00-022_Август/b22b57cb-6c75-45cd-91d3-eb37ad0d3e80.jpg","open")</f>
        <v/>
      </c>
      <c r="C5337" t="inlineStr">
        <is>
          <t>cbf95b01-f708-45a3-9ec0-3603469b538e</t>
        </is>
      </c>
      <c r="D5337" t="n">
        <v>55.7992</v>
      </c>
      <c r="E5337" t="n">
        <v>37.56255</v>
      </c>
      <c r="F5337" t="inlineStr"/>
      <c r="G5337" t="inlineStr"/>
      <c r="H5337" t="inlineStr"/>
    </row>
    <row r="5338">
      <c r="A5338" t="inlineStr">
        <is>
          <t>526dbdb7-819c-4978-b4b9-5d8d4fbbc457.jpg</t>
        </is>
      </c>
      <c r="B5338">
        <f>HYPERLINK("Объекты недвижимости, не соответствующие градостроительным нормам_00-022_Август/526dbdb7-819c-4978-b4b9-5d8d4fbbc457.jpg","open")</f>
        <v/>
      </c>
      <c r="C5338" t="inlineStr">
        <is>
          <t>ab4e767f-65c0-455b-af20-a5527124fd21</t>
        </is>
      </c>
      <c r="D5338" t="n">
        <v>55.747</v>
      </c>
      <c r="E5338" t="n">
        <v>37.564</v>
      </c>
      <c r="F5338" t="inlineStr"/>
      <c r="G5338" t="inlineStr"/>
      <c r="H5338" t="inlineStr"/>
    </row>
    <row r="5339">
      <c r="A5339" t="inlineStr">
        <is>
          <t>024e13f3-19d4-45c6-bc2a-9db679c44a9d.jpg</t>
        </is>
      </c>
      <c r="B5339">
        <f>HYPERLINK("Объекты недвижимости, не соответствующие градостроительным нормам_00-022_Август/024e13f3-19d4-45c6-bc2a-9db679c44a9d.jpg","open")</f>
        <v/>
      </c>
      <c r="C5339" t="inlineStr">
        <is>
          <t>cbf95b01-f708-45a3-9ec0-3603469b538e</t>
        </is>
      </c>
      <c r="D5339" t="n">
        <v>55.79668</v>
      </c>
      <c r="E5339" t="n">
        <v>37.56329</v>
      </c>
      <c r="F5339" t="inlineStr"/>
      <c r="G5339" t="inlineStr"/>
      <c r="H5339" t="inlineStr"/>
    </row>
    <row r="5340">
      <c r="A5340" t="inlineStr">
        <is>
          <t>b8106e25-b528-4bec-a8b0-ba51726be91b.jpg</t>
        </is>
      </c>
      <c r="B5340">
        <f>HYPERLINK("Объекты недвижимости, не соответствующие градостроительным нормам_00-022_Август/b8106e25-b528-4bec-a8b0-ba51726be91b.jpg","open")</f>
        <v/>
      </c>
      <c r="C5340" t="inlineStr">
        <is>
          <t>a1a9db89-3f74-42ef-8fad-ad69705102cd</t>
        </is>
      </c>
      <c r="D5340" t="n">
        <v>55.79596</v>
      </c>
      <c r="E5340" t="n">
        <v>37.56335</v>
      </c>
      <c r="F5340" t="inlineStr"/>
      <c r="G5340" t="inlineStr"/>
      <c r="H5340" t="inlineStr"/>
    </row>
    <row r="5341">
      <c r="A5341" t="inlineStr">
        <is>
          <t>a16fb44f-1836-4a8c-888f-ec46c7f6d984.jpg</t>
        </is>
      </c>
      <c r="B5341">
        <f>HYPERLINK("Объекты недвижимости, не соответствующие градостроительным нормам_00-022_Август/a16fb44f-1836-4a8c-888f-ec46c7f6d984.jpg","open")</f>
        <v/>
      </c>
      <c r="C5341" t="inlineStr">
        <is>
          <t>a1a9db89-3f74-42ef-8fad-ad69705102cd</t>
        </is>
      </c>
      <c r="D5341" t="n">
        <v>55.79584</v>
      </c>
      <c r="E5341" t="n">
        <v>37.56351</v>
      </c>
      <c r="F5341" t="inlineStr"/>
      <c r="G5341" t="inlineStr"/>
      <c r="H5341" t="inlineStr"/>
    </row>
    <row r="5342">
      <c r="A5342" t="inlineStr">
        <is>
          <t>4f5ec03e-918b-4d6a-90e2-182b1b65f9ec.jpg</t>
        </is>
      </c>
      <c r="B5342">
        <f>HYPERLINK("Объекты недвижимости, не соответствующие градостроительным нормам_00-022_Август/4f5ec03e-918b-4d6a-90e2-182b1b65f9ec.jpg","open")</f>
        <v/>
      </c>
      <c r="C5342" t="inlineStr">
        <is>
          <t>cbf95b01-f708-45a3-9ec0-3603469b538e</t>
        </is>
      </c>
      <c r="D5342" t="n">
        <v>55.80098</v>
      </c>
      <c r="E5342" t="n">
        <v>37.56522</v>
      </c>
      <c r="F5342" t="inlineStr"/>
      <c r="G5342" t="inlineStr"/>
      <c r="H5342" t="inlineStr"/>
    </row>
    <row r="5343">
      <c r="A5343" t="inlineStr">
        <is>
          <t>59d08a08-e9bd-4817-9c5f-5121d367f981.jpg</t>
        </is>
      </c>
      <c r="B5343">
        <f>HYPERLINK("Объекты недвижимости, не соответствующие градостроительным нормам_00-022_Август/59d08a08-e9bd-4817-9c5f-5121d367f981.jpg","open")</f>
        <v/>
      </c>
      <c r="C5343" t="inlineStr">
        <is>
          <t>cbf95b01-f708-45a3-9ec0-3603469b538e</t>
        </is>
      </c>
      <c r="D5343" t="n">
        <v>55.80113</v>
      </c>
      <c r="E5343" t="n">
        <v>37.565</v>
      </c>
      <c r="F5343" t="inlineStr"/>
      <c r="G5343" t="inlineStr"/>
      <c r="H5343" t="inlineStr"/>
    </row>
    <row r="5344">
      <c r="A5344" t="inlineStr">
        <is>
          <t>4fbd08a4-f9de-4ea5-ba98-d804dbec5bc1.jpg</t>
        </is>
      </c>
      <c r="B5344">
        <f>HYPERLINK("Объекты недвижимости, не соответствующие градостроительным нормам_00-022_Август/4fbd08a4-f9de-4ea5-ba98-d804dbec5bc1.jpg","open")</f>
        <v/>
      </c>
      <c r="C5344" t="inlineStr">
        <is>
          <t>cbf95b01-f708-45a3-9ec0-3603469b538e</t>
        </is>
      </c>
      <c r="D5344" t="n">
        <v>55.80126</v>
      </c>
      <c r="E5344" t="n">
        <v>37.56485</v>
      </c>
      <c r="F5344" t="inlineStr"/>
      <c r="G5344" t="inlineStr"/>
      <c r="H5344" t="inlineStr"/>
    </row>
    <row r="5345">
      <c r="A5345" t="inlineStr">
        <is>
          <t>610f530c-c76c-4c4d-92c7-2c32d56039a3.jpg</t>
        </is>
      </c>
      <c r="B5345">
        <f>HYPERLINK("Объекты недвижимости, не соответствующие градостроительным нормам_00-022_Август/610f530c-c76c-4c4d-92c7-2c32d56039a3.jpg","open")</f>
        <v/>
      </c>
      <c r="C5345" t="inlineStr">
        <is>
          <t>caa4772d-6278-4484-a046-ee25514bf521</t>
        </is>
      </c>
      <c r="D5345" t="n">
        <v>55.71055</v>
      </c>
      <c r="E5345" t="n">
        <v>37.6698</v>
      </c>
      <c r="F5345" t="inlineStr"/>
      <c r="G5345" t="inlineStr"/>
      <c r="H5345" t="inlineStr"/>
    </row>
    <row r="5346">
      <c r="A5346" t="inlineStr">
        <is>
          <t>6bb4d41e-6ff9-4f99-a949-65b4f4e91524.jpg</t>
        </is>
      </c>
      <c r="B5346">
        <f>HYPERLINK("Объекты недвижимости, не соответствующие градостроительным нормам_00-022_Август/6bb4d41e-6ff9-4f99-a949-65b4f4e91524.jpg","open")</f>
        <v/>
      </c>
      <c r="C5346" t="inlineStr">
        <is>
          <t>cbf95b01-f708-45a3-9ec0-3603469b538e</t>
        </is>
      </c>
      <c r="D5346" t="n">
        <v>55.80154</v>
      </c>
      <c r="E5346" t="n">
        <v>37.5647</v>
      </c>
      <c r="F5346" t="inlineStr"/>
      <c r="G5346" t="inlineStr"/>
      <c r="H5346" t="inlineStr"/>
    </row>
    <row r="5347">
      <c r="A5347" t="inlineStr">
        <is>
          <t>c6664f6a-f0fd-4d58-975f-4f8e559a1baa.jpg</t>
        </is>
      </c>
      <c r="B5347">
        <f>HYPERLINK("Объекты недвижимости, не соответствующие градостроительным нормам_00-022_Август/c6664f6a-f0fd-4d58-975f-4f8e559a1baa.jpg","open")</f>
        <v/>
      </c>
      <c r="C5347" t="inlineStr">
        <is>
          <t>cbf95b01-f708-45a3-9ec0-3603469b538e</t>
        </is>
      </c>
      <c r="D5347" t="n">
        <v>55.80542</v>
      </c>
      <c r="E5347" t="n">
        <v>37.5699</v>
      </c>
      <c r="F5347" t="inlineStr"/>
      <c r="G5347" t="inlineStr"/>
      <c r="H5347" t="inlineStr"/>
    </row>
    <row r="5348">
      <c r="A5348" t="inlineStr">
        <is>
          <t>c90dafe1-a57d-4761-bd81-1468718f3faa.jpg</t>
        </is>
      </c>
      <c r="B5348">
        <f>HYPERLINK("Объекты недвижимости, не соответствующие градостроительным нормам_00-022_Август/c90dafe1-a57d-4761-bd81-1468718f3faa.jpg","open")</f>
        <v/>
      </c>
      <c r="C5348" t="inlineStr">
        <is>
          <t>ed2bf0f1-3a66-4913-896e-4420a9796c0b</t>
        </is>
      </c>
      <c r="D5348" t="n">
        <v>55.59437</v>
      </c>
      <c r="E5348" t="n">
        <v>37.62824</v>
      </c>
      <c r="F5348" t="inlineStr"/>
      <c r="G5348" t="inlineStr"/>
      <c r="H5348" t="inlineStr"/>
    </row>
    <row r="5349">
      <c r="A5349" t="inlineStr">
        <is>
          <t>58a0dcde-cd76-49ee-ba73-35856a06603e.jpg</t>
        </is>
      </c>
      <c r="B5349">
        <f>HYPERLINK("Объекты недвижимости, не соответствующие градостроительным нормам_00-022_Август/58a0dcde-cd76-49ee-ba73-35856a06603e.jpg","open")</f>
        <v/>
      </c>
      <c r="C5349" t="inlineStr">
        <is>
          <t>cbf95b01-f708-45a3-9ec0-3603469b538e</t>
        </is>
      </c>
      <c r="D5349" t="n">
        <v>55.80685</v>
      </c>
      <c r="E5349" t="n">
        <v>37.57386</v>
      </c>
      <c r="F5349" t="inlineStr"/>
      <c r="G5349" t="inlineStr"/>
      <c r="H5349" t="inlineStr"/>
    </row>
    <row r="5350">
      <c r="A5350" t="inlineStr">
        <is>
          <t>a1d618f0-634d-4961-bb4a-2b91dd2fc445.jpg</t>
        </is>
      </c>
      <c r="B5350">
        <f>HYPERLINK("Объекты недвижимости, не соответствующие градостроительным нормам_00-022_Август/a1d618f0-634d-4961-bb4a-2b91dd2fc445.jpg","open")</f>
        <v/>
      </c>
      <c r="C5350" t="inlineStr">
        <is>
          <t>a1a9db89-3f74-42ef-8fad-ad69705102cd</t>
        </is>
      </c>
      <c r="D5350" t="n">
        <v>55.80445</v>
      </c>
      <c r="E5350" t="n">
        <v>37.57269</v>
      </c>
      <c r="F5350" t="inlineStr"/>
      <c r="G5350" t="inlineStr"/>
      <c r="H5350" t="inlineStr"/>
    </row>
    <row r="5351">
      <c r="A5351" t="inlineStr">
        <is>
          <t>87f7e21c-1453-4800-8a14-076e34fe4d7e.jpg</t>
        </is>
      </c>
      <c r="B5351">
        <f>HYPERLINK("Объекты недвижимости, не соответствующие градостроительным нормам_00-022_Август/87f7e21c-1453-4800-8a14-076e34fe4d7e.jpg","open")</f>
        <v/>
      </c>
      <c r="C5351" t="inlineStr">
        <is>
          <t>cbf95b01-f708-45a3-9ec0-3603469b538e</t>
        </is>
      </c>
      <c r="D5351" t="n">
        <v>55.80899</v>
      </c>
      <c r="E5351" t="n">
        <v>37.57455</v>
      </c>
      <c r="F5351" t="inlineStr"/>
      <c r="G5351" t="inlineStr"/>
      <c r="H5351" t="inlineStr"/>
    </row>
    <row r="5352">
      <c r="A5352" t="inlineStr">
        <is>
          <t>31bf7e5b-7c7d-4ca5-be97-cf9a039ad8b7.jpg</t>
        </is>
      </c>
      <c r="B5352">
        <f>HYPERLINK("Объекты недвижимости, не соответствующие градостроительным нормам_00-022_Август/31bf7e5b-7c7d-4ca5-be97-cf9a039ad8b7.jpg","open")</f>
        <v/>
      </c>
      <c r="C5352" t="inlineStr">
        <is>
          <t>cbf95b01-f708-45a3-9ec0-3603469b538e</t>
        </is>
      </c>
      <c r="D5352" t="n">
        <v>55.81221</v>
      </c>
      <c r="E5352" t="n">
        <v>37.57232</v>
      </c>
      <c r="F5352" t="inlineStr"/>
      <c r="G5352" t="inlineStr"/>
      <c r="H5352" t="inlineStr"/>
    </row>
    <row r="5353">
      <c r="A5353" t="inlineStr">
        <is>
          <t>2e9f3ac9-f179-4ec0-aaf1-90c78a765d8f.jpg</t>
        </is>
      </c>
      <c r="B5353">
        <f>HYPERLINK("Объекты недвижимости, не соответствующие градостроительным нормам_00-022_Август/2e9f3ac9-f179-4ec0-aaf1-90c78a765d8f.jpg","open")</f>
        <v/>
      </c>
      <c r="C5353" t="inlineStr">
        <is>
          <t>93848fc8-17e7-4748-9ebc-c7e379e11d2f</t>
        </is>
      </c>
      <c r="D5353" t="n">
        <v>55.79587</v>
      </c>
      <c r="E5353" t="n">
        <v>37.69955</v>
      </c>
      <c r="F5353" t="inlineStr"/>
      <c r="G5353" t="inlineStr"/>
      <c r="H5353" t="inlineStr"/>
    </row>
    <row r="5354">
      <c r="A5354" t="inlineStr">
        <is>
          <t>f24a9f68-857a-4d5f-9c59-fb8632e12817.jpg</t>
        </is>
      </c>
      <c r="B5354">
        <f>HYPERLINK("Объекты недвижимости, не соответствующие градостроительным нормам_00-022_Август/f24a9f68-857a-4d5f-9c59-fb8632e12817.jpg","open")</f>
        <v/>
      </c>
      <c r="C5354" t="inlineStr">
        <is>
          <t>1c951e11-4940-43c6-a447-394097e5609a</t>
        </is>
      </c>
      <c r="D5354" t="n">
        <v>55.65951</v>
      </c>
      <c r="E5354" t="n">
        <v>37.46618</v>
      </c>
      <c r="F5354" t="inlineStr"/>
      <c r="G5354" t="inlineStr"/>
      <c r="H5354" t="inlineStr"/>
    </row>
    <row r="5355">
      <c r="A5355" t="inlineStr">
        <is>
          <t>3a761439-2690-4880-a2ae-375b85207ec6.jpg</t>
        </is>
      </c>
      <c r="B5355">
        <f>HYPERLINK("Объекты недвижимости, не соответствующие градостроительным нормам_00-022_Август/3a761439-2690-4880-a2ae-375b85207ec6.jpg","open")</f>
        <v/>
      </c>
      <c r="C5355" t="inlineStr">
        <is>
          <t>93848fc8-17e7-4748-9ebc-c7e379e11d2f</t>
        </is>
      </c>
      <c r="D5355" t="n">
        <v>55.79414</v>
      </c>
      <c r="E5355" t="n">
        <v>37.69445</v>
      </c>
      <c r="F5355" t="inlineStr"/>
      <c r="G5355" t="inlineStr"/>
      <c r="H5355" t="inlineStr"/>
    </row>
    <row r="5356">
      <c r="A5356" t="inlineStr">
        <is>
          <t>55c2a93c-6e5d-4af7-8035-bbb179e92798.jpg</t>
        </is>
      </c>
      <c r="B5356">
        <f>HYPERLINK("Объекты недвижимости, не соответствующие градостроительным нормам_00-022_Август/55c2a93c-6e5d-4af7-8035-bbb179e92798.jpg","open")</f>
        <v/>
      </c>
      <c r="C5356" t="inlineStr">
        <is>
          <t>8cde1fd0-eca1-4510-86ab-3c743b65fdfc</t>
        </is>
      </c>
      <c r="D5356" t="n">
        <v>55.66504</v>
      </c>
      <c r="E5356" t="n">
        <v>37.46756</v>
      </c>
      <c r="F5356" t="inlineStr"/>
      <c r="G5356" t="inlineStr"/>
      <c r="H5356" t="inlineStr"/>
    </row>
    <row r="5357">
      <c r="A5357" t="inlineStr">
        <is>
          <t>f51617d9-2a45-4be0-ad3b-de6553cd3e4c.jpg</t>
        </is>
      </c>
      <c r="B5357">
        <f>HYPERLINK("Объекты недвижимости, не соответствующие градостроительным нормам_00-022_Август/f51617d9-2a45-4be0-ad3b-de6553cd3e4c.jpg","open")</f>
        <v/>
      </c>
      <c r="C5357" t="inlineStr">
        <is>
          <t>1c951e11-4940-43c6-a447-394097e5609a</t>
        </is>
      </c>
      <c r="D5357" t="n">
        <v>55.66504</v>
      </c>
      <c r="E5357" t="n">
        <v>37.46762</v>
      </c>
      <c r="F5357" t="inlineStr"/>
      <c r="G5357" t="inlineStr"/>
      <c r="H5357" t="inlineStr"/>
    </row>
    <row r="5358">
      <c r="A5358" t="inlineStr">
        <is>
          <t>5f8e4e84-13eb-4a42-a0c0-eeab1d6773cd.jpg</t>
        </is>
      </c>
      <c r="B5358">
        <f>HYPERLINK("Объекты недвижимости, не соответствующие градостроительным нормам_00-022_Август/5f8e4e84-13eb-4a42-a0c0-eeab1d6773cd.jpg","open")</f>
        <v/>
      </c>
      <c r="C5358" t="inlineStr">
        <is>
          <t>8cde1fd0-eca1-4510-86ab-3c743b65fdfc</t>
        </is>
      </c>
      <c r="D5358" t="n">
        <v>55.66153</v>
      </c>
      <c r="E5358" t="n">
        <v>37.46911</v>
      </c>
      <c r="F5358" t="inlineStr"/>
      <c r="G5358" t="inlineStr"/>
      <c r="H5358" t="inlineStr"/>
    </row>
    <row r="5359">
      <c r="A5359" t="inlineStr">
        <is>
          <t>19ebcd3f-f6a3-49ce-bdd7-1772737ad928.jpg</t>
        </is>
      </c>
      <c r="B5359">
        <f>HYPERLINK("Объекты недвижимости, не соответствующие градостроительным нормам_00-022_Август/19ebcd3f-f6a3-49ce-bdd7-1772737ad928.jpg","open")</f>
        <v/>
      </c>
      <c r="C5359" t="inlineStr">
        <is>
          <t>ed2bf0f1-3a66-4913-896e-4420a9796c0b</t>
        </is>
      </c>
      <c r="D5359" t="n">
        <v>55.57934</v>
      </c>
      <c r="E5359" t="n">
        <v>37.63901</v>
      </c>
      <c r="F5359" t="inlineStr"/>
      <c r="G5359" t="inlineStr"/>
      <c r="H5359" t="inlineStr"/>
    </row>
    <row r="5360">
      <c r="A5360" t="inlineStr">
        <is>
          <t>3554ddbb-f134-4000-8579-6adbf94d4d5f.jpg</t>
        </is>
      </c>
      <c r="B5360">
        <f>HYPERLINK("Объекты недвижимости, не соответствующие градостроительным нормам_00-022_Август/3554ddbb-f134-4000-8579-6adbf94d4d5f.jpg","open")</f>
        <v/>
      </c>
      <c r="C5360" t="inlineStr">
        <is>
          <t>8cde1fd0-eca1-4510-86ab-3c743b65fdfc</t>
        </is>
      </c>
      <c r="D5360" t="n">
        <v>55.66145</v>
      </c>
      <c r="E5360" t="n">
        <v>37.46952</v>
      </c>
      <c r="F5360" t="inlineStr"/>
      <c r="G5360" t="inlineStr"/>
      <c r="H5360" t="inlineStr"/>
    </row>
    <row r="5361">
      <c r="A5361" t="inlineStr">
        <is>
          <t>3a5ea125-48e9-4d26-9221-9629cda2c6b9.jpg</t>
        </is>
      </c>
      <c r="B5361">
        <f>HYPERLINK("Объекты недвижимости, не соответствующие градостроительным нормам_00-022_Август/3a5ea125-48e9-4d26-9221-9629cda2c6b9.jpg","open")</f>
        <v/>
      </c>
      <c r="C5361" t="inlineStr">
        <is>
          <t>cbf95b01-f708-45a3-9ec0-3603469b538e</t>
        </is>
      </c>
      <c r="D5361" t="n">
        <v>55.83385</v>
      </c>
      <c r="E5361" t="n">
        <v>37.57286</v>
      </c>
      <c r="F5361" t="inlineStr"/>
      <c r="G5361" t="inlineStr"/>
      <c r="H5361" t="inlineStr"/>
    </row>
    <row r="5362">
      <c r="A5362" t="inlineStr">
        <is>
          <t>0d7ab3b1-05ea-42ea-830b-1938c902152f.jpg</t>
        </is>
      </c>
      <c r="B5362">
        <f>HYPERLINK("Объекты недвижимости, не соответствующие градостроительным нормам_00-022_Август/0d7ab3b1-05ea-42ea-830b-1938c902152f.jpg","open")</f>
        <v/>
      </c>
      <c r="C5362" t="inlineStr">
        <is>
          <t>cbf95b01-f708-45a3-9ec0-3603469b538e</t>
        </is>
      </c>
      <c r="D5362" t="n">
        <v>55.84189</v>
      </c>
      <c r="E5362" t="n">
        <v>37.57224</v>
      </c>
      <c r="F5362" t="inlineStr"/>
      <c r="G5362" t="inlineStr"/>
      <c r="H5362" t="inlineStr"/>
    </row>
    <row r="5363">
      <c r="A5363" t="inlineStr">
        <is>
          <t>7ed60e8b-fb2c-4397-b4ea-90841beb8fa8.jpg</t>
        </is>
      </c>
      <c r="B5363">
        <f>HYPERLINK("Объекты недвижимости, не соответствующие градостроительным нормам_00-022_Август/7ed60e8b-fb2c-4397-b4ea-90841beb8fa8.jpg","open")</f>
        <v/>
      </c>
      <c r="C5363" t="inlineStr">
        <is>
          <t>cbf95b01-f708-45a3-9ec0-3603469b538e</t>
        </is>
      </c>
      <c r="D5363" t="n">
        <v>55.84689</v>
      </c>
      <c r="E5363" t="n">
        <v>37.57507</v>
      </c>
      <c r="F5363" t="inlineStr"/>
      <c r="G5363" t="inlineStr"/>
      <c r="H5363" t="inlineStr"/>
    </row>
    <row r="5364">
      <c r="A5364" t="inlineStr">
        <is>
          <t>b652412b-17f6-4e7b-a866-48fc11da9839.jpg</t>
        </is>
      </c>
      <c r="B5364">
        <f>HYPERLINK("Объекты недвижимости, не соответствующие градостроительным нормам_00-022_Август/b652412b-17f6-4e7b-a866-48fc11da9839.jpg","open")</f>
        <v/>
      </c>
      <c r="C5364" t="inlineStr">
        <is>
          <t>a1a9db89-3f74-42ef-8fad-ad69705102cd</t>
        </is>
      </c>
      <c r="D5364" t="n">
        <v>55.84528</v>
      </c>
      <c r="E5364" t="n">
        <v>37.57589</v>
      </c>
      <c r="F5364" t="inlineStr"/>
      <c r="G5364" t="inlineStr"/>
      <c r="H5364" t="inlineStr"/>
    </row>
    <row r="5365">
      <c r="A5365" t="inlineStr">
        <is>
          <t>6d8b7572-f2a5-442a-9fb5-a5bca609a3b9.jpg</t>
        </is>
      </c>
      <c r="B5365">
        <f>HYPERLINK("Объекты недвижимости, не соответствующие градостроительным нормам_00-022_Август/6d8b7572-f2a5-442a-9fb5-a5bca609a3b9.jpg","open")</f>
        <v/>
      </c>
      <c r="C5365" t="inlineStr">
        <is>
          <t>caa4772d-6278-4484-a046-ee25514bf521</t>
        </is>
      </c>
      <c r="D5365" t="n">
        <v>55.68141</v>
      </c>
      <c r="E5365" t="n">
        <v>37.67603</v>
      </c>
      <c r="F5365" t="inlineStr"/>
      <c r="G5365" t="inlineStr"/>
      <c r="H5365" t="inlineStr"/>
    </row>
    <row r="5366">
      <c r="A5366" t="inlineStr">
        <is>
          <t>2eedc4cb-8a46-4900-8504-58facbd45b14.jpg</t>
        </is>
      </c>
      <c r="B5366">
        <f>HYPERLINK("Объекты недвижимости, не соответствующие градостроительным нормам_00-022_Август/2eedc4cb-8a46-4900-8504-58facbd45b14.jpg","open")</f>
        <v/>
      </c>
      <c r="C5366" t="inlineStr">
        <is>
          <t>a1a9db89-3f74-42ef-8fad-ad69705102cd</t>
        </is>
      </c>
      <c r="D5366" t="n">
        <v>55.84341</v>
      </c>
      <c r="E5366" t="n">
        <v>37.57997</v>
      </c>
      <c r="F5366" t="inlineStr"/>
      <c r="G5366" t="inlineStr"/>
      <c r="H5366" t="inlineStr"/>
    </row>
    <row r="5367">
      <c r="A5367" t="inlineStr">
        <is>
          <t>128067ab-3c4d-4e0e-bcf3-0c3efee4f85b.jpg</t>
        </is>
      </c>
      <c r="B5367">
        <f>HYPERLINK("Объекты недвижимости, не соответствующие градостроительным нормам_00-022_Август/128067ab-3c4d-4e0e-bcf3-0c3efee4f85b.jpg","open")</f>
        <v/>
      </c>
      <c r="C5367" t="inlineStr">
        <is>
          <t>a1a9db89-3f74-42ef-8fad-ad69705102cd</t>
        </is>
      </c>
      <c r="D5367" t="n">
        <v>55.84242</v>
      </c>
      <c r="E5367" t="n">
        <v>37.57997</v>
      </c>
      <c r="F5367" t="inlineStr"/>
      <c r="G5367" t="inlineStr"/>
      <c r="H5367" t="inlineStr"/>
    </row>
    <row r="5368">
      <c r="A5368" t="inlineStr">
        <is>
          <t>4200657d-75fb-4d2f-b786-251ed76fcb06.jpg</t>
        </is>
      </c>
      <c r="B5368">
        <f>HYPERLINK("Объекты недвижимости, не соответствующие градостроительным нормам_00-022_Август/4200657d-75fb-4d2f-b786-251ed76fcb06.jpg","open")</f>
        <v/>
      </c>
      <c r="C5368" t="inlineStr">
        <is>
          <t>8cde1fd0-eca1-4510-86ab-3c743b65fdfc</t>
        </is>
      </c>
      <c r="D5368" t="n">
        <v>55.64712</v>
      </c>
      <c r="E5368" t="n">
        <v>37.47528</v>
      </c>
      <c r="F5368" t="inlineStr"/>
      <c r="G5368" t="inlineStr"/>
      <c r="H5368" t="inlineStr"/>
    </row>
    <row r="5369">
      <c r="A5369" t="inlineStr">
        <is>
          <t>211d29e2-d06f-482a-9d42-c3ab9f2c6814.jpg</t>
        </is>
      </c>
      <c r="B5369">
        <f>HYPERLINK("Объекты недвижимости, не соответствующие градостроительным нормам_00-022_Август/211d29e2-d06f-482a-9d42-c3ab9f2c6814.jpg","open")</f>
        <v/>
      </c>
      <c r="C5369" t="inlineStr">
        <is>
          <t>cbf95b01-f708-45a3-9ec0-3603469b538e</t>
        </is>
      </c>
      <c r="D5369" t="n">
        <v>55.84439</v>
      </c>
      <c r="E5369" t="n">
        <v>37.58054</v>
      </c>
      <c r="F5369" t="inlineStr"/>
      <c r="G5369" t="inlineStr"/>
      <c r="H5369" t="inlineStr"/>
    </row>
    <row r="5370">
      <c r="A5370" t="inlineStr">
        <is>
          <t>d2aba3e2-ee58-4544-abd5-f2cfab785cd1.jpg</t>
        </is>
      </c>
      <c r="B5370">
        <f>HYPERLINK("Объекты недвижимости, не соответствующие градостроительным нормам_00-022_Август/d2aba3e2-ee58-4544-abd5-f2cfab785cd1.jpg","open")</f>
        <v/>
      </c>
      <c r="C5370" t="inlineStr">
        <is>
          <t>cbf95b01-f708-45a3-9ec0-3603469b538e</t>
        </is>
      </c>
      <c r="D5370" t="n">
        <v>55.84424</v>
      </c>
      <c r="E5370" t="n">
        <v>37.58453</v>
      </c>
      <c r="F5370" t="inlineStr"/>
      <c r="G5370" t="inlineStr"/>
      <c r="H5370" t="inlineStr"/>
    </row>
    <row r="5371">
      <c r="A5371" t="inlineStr">
        <is>
          <t>2851455d-2633-451a-b92d-eeeaf95d34c9.jpg</t>
        </is>
      </c>
      <c r="B5371">
        <f>HYPERLINK("Объекты недвижимости, не соответствующие градостроительным нормам_00-022_Август/2851455d-2633-451a-b92d-eeeaf95d34c9.jpg","open")</f>
        <v/>
      </c>
      <c r="C5371" t="inlineStr">
        <is>
          <t>cbf95b01-f708-45a3-9ec0-3603469b538e</t>
        </is>
      </c>
      <c r="D5371" t="n">
        <v>55.83888</v>
      </c>
      <c r="E5371" t="n">
        <v>37.58955</v>
      </c>
      <c r="F5371" t="inlineStr"/>
      <c r="G5371" t="inlineStr"/>
      <c r="H5371" t="inlineStr"/>
    </row>
    <row r="5372">
      <c r="A5372" t="inlineStr">
        <is>
          <t>8b0c8e82-bf5b-458d-a67c-2b8ae828b227.jpg</t>
        </is>
      </c>
      <c r="B5372">
        <f>HYPERLINK("Объекты недвижимости, не соответствующие градостроительным нормам_00-022_Август/8b0c8e82-bf5b-458d-a67c-2b8ae828b227.jpg","open")</f>
        <v/>
      </c>
      <c r="C5372" t="inlineStr">
        <is>
          <t>cbf95b01-f708-45a3-9ec0-3603469b538e</t>
        </is>
      </c>
      <c r="D5372" t="n">
        <v>55.83602</v>
      </c>
      <c r="E5372" t="n">
        <v>37.59094</v>
      </c>
      <c r="F5372" t="inlineStr"/>
      <c r="G5372" t="inlineStr"/>
      <c r="H5372" t="inlineStr"/>
    </row>
    <row r="5373">
      <c r="A5373" t="inlineStr">
        <is>
          <t>0a09efd9-47af-49c5-a5d8-416c4f8d2175.jpg</t>
        </is>
      </c>
      <c r="B5373">
        <f>HYPERLINK("Объекты недвижимости, не соответствующие градостроительным нормам_00-022_Август/0a09efd9-47af-49c5-a5d8-416c4f8d2175.jpg","open")</f>
        <v/>
      </c>
      <c r="C5373" t="inlineStr">
        <is>
          <t>cbf95b01-f708-45a3-9ec0-3603469b538e</t>
        </is>
      </c>
      <c r="D5373" t="n">
        <v>55.83588</v>
      </c>
      <c r="E5373" t="n">
        <v>37.59099</v>
      </c>
      <c r="F5373" t="inlineStr"/>
      <c r="G5373" t="inlineStr"/>
      <c r="H5373" t="inlineStr"/>
    </row>
    <row r="5374">
      <c r="A5374" t="inlineStr">
        <is>
          <t>1ea5420b-f6c3-47a5-8f6d-49e2a168d964.jpg</t>
        </is>
      </c>
      <c r="B5374">
        <f>HYPERLINK("Объекты недвижимости, не соответствующие градостроительным нормам_00-022_Август/1ea5420b-f6c3-47a5-8f6d-49e2a168d964.jpg","open")</f>
        <v/>
      </c>
      <c r="C5374" t="inlineStr">
        <is>
          <t>ab4e767f-65c0-455b-af20-a5527124fd21</t>
        </is>
      </c>
      <c r="D5374" t="n">
        <v>55.68511</v>
      </c>
      <c r="E5374" t="n">
        <v>37.54</v>
      </c>
      <c r="F5374" t="inlineStr"/>
      <c r="G5374" t="inlineStr"/>
      <c r="H5374" t="inlineStr"/>
    </row>
    <row r="5375">
      <c r="A5375" t="inlineStr">
        <is>
          <t>cfebb7b7-f39e-49f9-b985-d26c0c273dd1.jpg</t>
        </is>
      </c>
      <c r="B5375">
        <f>HYPERLINK("Объекты недвижимости, не соответствующие градостроительным нормам_00-022_Август/cfebb7b7-f39e-49f9-b985-d26c0c273dd1.jpg","open")</f>
        <v/>
      </c>
      <c r="C5375" t="inlineStr">
        <is>
          <t>cbf95b01-f708-45a3-9ec0-3603469b538e</t>
        </is>
      </c>
      <c r="D5375" t="n">
        <v>55.83402</v>
      </c>
      <c r="E5375" t="n">
        <v>37.59163</v>
      </c>
      <c r="F5375" t="inlineStr"/>
      <c r="G5375" t="inlineStr"/>
      <c r="H5375" t="inlineStr"/>
    </row>
    <row r="5376">
      <c r="A5376" t="inlineStr">
        <is>
          <t>f579b782-7164-437a-857e-f221c73d3e0d.jpg</t>
        </is>
      </c>
      <c r="B5376">
        <f>HYPERLINK("Объекты недвижимости, не соответствующие градостроительным нормам_00-022_Август/f579b782-7164-437a-857e-f221c73d3e0d.jpg","open")</f>
        <v/>
      </c>
      <c r="C5376" t="inlineStr">
        <is>
          <t>cbf95b01-f708-45a3-9ec0-3603469b538e</t>
        </is>
      </c>
      <c r="D5376" t="n">
        <v>55.83265</v>
      </c>
      <c r="E5376" t="n">
        <v>37.5915</v>
      </c>
      <c r="F5376" t="inlineStr"/>
      <c r="G5376" t="inlineStr"/>
      <c r="H5376" t="inlineStr"/>
    </row>
    <row r="5377">
      <c r="A5377" t="inlineStr">
        <is>
          <t>13aa065e-e575-4fc0-beae-fc75660a6884.jpg</t>
        </is>
      </c>
      <c r="B5377">
        <f>HYPERLINK("Объекты недвижимости, не соответствующие градостроительным нормам_00-022_Август/13aa065e-e575-4fc0-beae-fc75660a6884.jpg","open")</f>
        <v/>
      </c>
      <c r="C5377" t="inlineStr">
        <is>
          <t>ed2bf0f1-3a66-4913-896e-4420a9796c0b</t>
        </is>
      </c>
      <c r="D5377" t="n">
        <v>55.58062</v>
      </c>
      <c r="E5377" t="n">
        <v>37.64822</v>
      </c>
      <c r="F5377" t="inlineStr"/>
      <c r="G5377" t="inlineStr"/>
      <c r="H5377" t="inlineStr"/>
    </row>
    <row r="5378">
      <c r="A5378" t="inlineStr">
        <is>
          <t>d9d5f7d1-d7f1-4f8b-a276-befd5036b674.jpg</t>
        </is>
      </c>
      <c r="B5378">
        <f>HYPERLINK("Объекты недвижимости, не соответствующие градостроительным нормам_00-022_Август/d9d5f7d1-d7f1-4f8b-a276-befd5036b674.jpg","open")</f>
        <v/>
      </c>
      <c r="C5378" t="inlineStr">
        <is>
          <t>cbf95b01-f708-45a3-9ec0-3603469b538e</t>
        </is>
      </c>
      <c r="D5378" t="n">
        <v>55.83071</v>
      </c>
      <c r="E5378" t="n">
        <v>37.58468</v>
      </c>
      <c r="F5378" t="inlineStr"/>
      <c r="G5378" t="inlineStr"/>
      <c r="H5378" t="inlineStr"/>
    </row>
    <row r="5379">
      <c r="A5379" t="inlineStr">
        <is>
          <t>fb5427b4-8ccb-4fcd-8b43-bd1863d1703f.jpg</t>
        </is>
      </c>
      <c r="B5379">
        <f>HYPERLINK("Объекты недвижимости, не соответствующие градостроительным нормам_00-022_Август/fb5427b4-8ccb-4fcd-8b43-bd1863d1703f.jpg","open")</f>
        <v/>
      </c>
      <c r="C5379" t="inlineStr">
        <is>
          <t>ed2bf0f1-3a66-4913-896e-4420a9796c0b</t>
        </is>
      </c>
      <c r="D5379" t="n">
        <v>55.58076</v>
      </c>
      <c r="E5379" t="n">
        <v>37.64259</v>
      </c>
      <c r="F5379" t="inlineStr"/>
      <c r="G5379" t="inlineStr"/>
      <c r="H5379" t="inlineStr"/>
    </row>
    <row r="5380">
      <c r="A5380" t="inlineStr">
        <is>
          <t>54a87419-aba9-4318-b72a-0d6eea354aef.jpg</t>
        </is>
      </c>
      <c r="B5380">
        <f>HYPERLINK("Объекты недвижимости, не соответствующие градостроительным нормам_00-022_Август/54a87419-aba9-4318-b72a-0d6eea354aef.jpg","open")</f>
        <v/>
      </c>
      <c r="C5380" t="inlineStr">
        <is>
          <t>cbf95b01-f708-45a3-9ec0-3603469b538e</t>
        </is>
      </c>
      <c r="D5380" t="n">
        <v>55.82202</v>
      </c>
      <c r="E5380" t="n">
        <v>37.60265</v>
      </c>
      <c r="F5380" t="inlineStr"/>
      <c r="G5380" t="inlineStr"/>
      <c r="H5380" t="inlineStr"/>
    </row>
    <row r="5381">
      <c r="A5381" t="inlineStr">
        <is>
          <t>2cf51a27-fda2-4596-9050-e67c277e7f1e.jpg</t>
        </is>
      </c>
      <c r="B5381">
        <f>HYPERLINK("Объекты недвижимости, не соответствующие градостроительным нормам_00-022_Август/2cf51a27-fda2-4596-9050-e67c277e7f1e.jpg","open")</f>
        <v/>
      </c>
      <c r="C5381" t="inlineStr">
        <is>
          <t>cbf95b01-f708-45a3-9ec0-3603469b538e</t>
        </is>
      </c>
      <c r="D5381" t="n">
        <v>55.81804</v>
      </c>
      <c r="E5381" t="n">
        <v>37.60363</v>
      </c>
      <c r="F5381" t="inlineStr"/>
      <c r="G5381" t="inlineStr"/>
      <c r="H5381" t="inlineStr"/>
    </row>
    <row r="5382">
      <c r="A5382" t="inlineStr">
        <is>
          <t>0dfe1b04-33d9-469f-9b4b-64a1a491d00f.jpg</t>
        </is>
      </c>
      <c r="B5382">
        <f>HYPERLINK("Объекты недвижимости, не соответствующие градостроительным нормам_00-022_Август/0dfe1b04-33d9-469f-9b4b-64a1a491d00f.jpg","open")</f>
        <v/>
      </c>
      <c r="C5382" t="inlineStr">
        <is>
          <t>fb40ed24-21ef-458a-a239-038ab19932cc</t>
        </is>
      </c>
      <c r="D5382" t="n">
        <v>55.81816</v>
      </c>
      <c r="E5382" t="n">
        <v>37.77523</v>
      </c>
      <c r="F5382" t="inlineStr"/>
      <c r="G5382" t="inlineStr"/>
      <c r="H5382" t="inlineStr"/>
    </row>
    <row r="5383">
      <c r="A5383" t="inlineStr">
        <is>
          <t>de29c762-16cf-4bb9-baf1-4011595c12c6.jpg</t>
        </is>
      </c>
      <c r="B5383">
        <f>HYPERLINK("Объекты недвижимости, не соответствующие градостроительным нормам_00-022_Август/de29c762-16cf-4bb9-baf1-4011595c12c6.jpg","open")</f>
        <v/>
      </c>
      <c r="C5383" t="inlineStr">
        <is>
          <t>cbf95b01-f708-45a3-9ec0-3603469b538e</t>
        </is>
      </c>
      <c r="D5383" t="n">
        <v>55.81191</v>
      </c>
      <c r="E5383" t="n">
        <v>37.61867</v>
      </c>
      <c r="F5383" t="inlineStr"/>
      <c r="G5383" t="inlineStr"/>
      <c r="H5383" t="inlineStr"/>
    </row>
    <row r="5384">
      <c r="A5384" t="inlineStr">
        <is>
          <t>c34d8ccc-8a05-49e8-a908-d7065f5880e6.jpg</t>
        </is>
      </c>
      <c r="B5384">
        <f>HYPERLINK("Объекты недвижимости, не соответствующие градостроительным нормам_00-022_Август/c34d8ccc-8a05-49e8-a908-d7065f5880e6.jpg","open")</f>
        <v/>
      </c>
      <c r="C5384" t="inlineStr">
        <is>
          <t>cbf95b01-f708-45a3-9ec0-3603469b538e</t>
        </is>
      </c>
      <c r="D5384" t="n">
        <v>55.80974</v>
      </c>
      <c r="E5384" t="n">
        <v>37.61759</v>
      </c>
      <c r="F5384" t="inlineStr"/>
      <c r="G5384" t="inlineStr"/>
      <c r="H5384" t="inlineStr"/>
    </row>
    <row r="5385">
      <c r="A5385" t="inlineStr">
        <is>
          <t>d32ae981-2a1e-42bd-bb50-c6b2afb99d70.jpg</t>
        </is>
      </c>
      <c r="B5385">
        <f>HYPERLINK("Объекты недвижимости, не соответствующие градостроительным нормам_00-022_Август/d32ae981-2a1e-42bd-bb50-c6b2afb99d70.jpg","open")</f>
        <v/>
      </c>
      <c r="C5385" t="inlineStr">
        <is>
          <t>1a55986c-2c3f-40c0-b3d1-014dce77832e</t>
        </is>
      </c>
      <c r="D5385" t="n">
        <v>55.57973</v>
      </c>
      <c r="E5385" t="n">
        <v>37.65573</v>
      </c>
      <c r="F5385" t="inlineStr"/>
      <c r="G5385" t="inlineStr"/>
      <c r="H5385" t="inlineStr"/>
    </row>
    <row r="5386">
      <c r="A5386" t="inlineStr">
        <is>
          <t>17c8777a-6b38-44bf-aa55-f8feea397e58.jpg</t>
        </is>
      </c>
      <c r="B5386">
        <f>HYPERLINK("Объекты недвижимости, не соответствующие градостроительным нормам_00-022_Август/17c8777a-6b38-44bf-aa55-f8feea397e58.jpg","open")</f>
        <v/>
      </c>
      <c r="C5386" t="inlineStr">
        <is>
          <t>ed2bf0f1-3a66-4913-896e-4420a9796c0b</t>
        </is>
      </c>
      <c r="D5386" t="n">
        <v>55.57951</v>
      </c>
      <c r="E5386" t="n">
        <v>37.65807</v>
      </c>
      <c r="F5386" t="inlineStr"/>
      <c r="G5386" t="inlineStr"/>
      <c r="H5386" t="inlineStr"/>
    </row>
    <row r="5387">
      <c r="A5387" t="inlineStr">
        <is>
          <t>01d18ec5-41e2-4e37-b50a-6ff1644590b3.jpg</t>
        </is>
      </c>
      <c r="B5387">
        <f>HYPERLINK("Объекты недвижимости, не соответствующие градостроительным нормам_00-022_Август/01d18ec5-41e2-4e37-b50a-6ff1644590b3.jpg","open")</f>
        <v/>
      </c>
      <c r="C5387" t="inlineStr">
        <is>
          <t>cbf95b01-f708-45a3-9ec0-3603469b538e</t>
        </is>
      </c>
      <c r="D5387" t="n">
        <v>55.79076</v>
      </c>
      <c r="E5387" t="n">
        <v>37.61328</v>
      </c>
      <c r="F5387" t="inlineStr"/>
      <c r="G5387" t="inlineStr"/>
      <c r="H5387" t="inlineStr"/>
    </row>
    <row r="5388">
      <c r="A5388" t="inlineStr">
        <is>
          <t>af39ef44-b013-48e0-805c-0226bdde6e49.jpg</t>
        </is>
      </c>
      <c r="B5388">
        <f>HYPERLINK("Объекты недвижимости, не соответствующие градостроительным нормам_00-022_Август/af39ef44-b013-48e0-805c-0226bdde6e49.jpg","open")</f>
        <v/>
      </c>
      <c r="C5388" t="inlineStr">
        <is>
          <t>a1a9db89-3f74-42ef-8fad-ad69705102cd</t>
        </is>
      </c>
      <c r="D5388" t="n">
        <v>55.78693</v>
      </c>
      <c r="E5388" t="n">
        <v>37.61367</v>
      </c>
      <c r="F5388" t="inlineStr"/>
      <c r="G5388" t="inlineStr"/>
      <c r="H5388" t="inlineStr"/>
    </row>
    <row r="5389">
      <c r="A5389" t="inlineStr">
        <is>
          <t>a4ea1703-c1e3-4e65-bdfb-eee19d8a833e.jpg</t>
        </is>
      </c>
      <c r="B5389">
        <f>HYPERLINK("Объекты недвижимости, не соответствующие градостроительным нормам_00-022_Август/a4ea1703-c1e3-4e65-bdfb-eee19d8a833e.jpg","open")</f>
        <v/>
      </c>
      <c r="C5389" t="inlineStr">
        <is>
          <t>cbf95b01-f708-45a3-9ec0-3603469b538e</t>
        </is>
      </c>
      <c r="D5389" t="n">
        <v>55.78664</v>
      </c>
      <c r="E5389" t="n">
        <v>37.61369</v>
      </c>
      <c r="F5389" t="inlineStr"/>
      <c r="G5389" t="inlineStr"/>
      <c r="H5389" t="inlineStr"/>
    </row>
    <row r="5390">
      <c r="A5390" t="inlineStr">
        <is>
          <t>b64d139c-3262-47a1-8965-2d73feacc964.jpg</t>
        </is>
      </c>
      <c r="B5390">
        <f>HYPERLINK("Объекты недвижимости, не соответствующие градостроительным нормам_00-022_Август/b64d139c-3262-47a1-8965-2d73feacc964.jpg","open")</f>
        <v/>
      </c>
      <c r="C5390" t="inlineStr">
        <is>
          <t>cbf95b01-f708-45a3-9ec0-3603469b538e</t>
        </is>
      </c>
      <c r="D5390" t="n">
        <v>55.78489</v>
      </c>
      <c r="E5390" t="n">
        <v>37.61385</v>
      </c>
      <c r="F5390" t="inlineStr"/>
      <c r="G5390" t="inlineStr"/>
      <c r="H5390" t="inlineStr"/>
    </row>
    <row r="5391">
      <c r="A5391" t="inlineStr">
        <is>
          <t>39c97100-f1fc-4f5f-9fc9-1f9d59bc3e36.jpg</t>
        </is>
      </c>
      <c r="B5391">
        <f>HYPERLINK("Объекты недвижимости, не соответствующие градостроительным нормам_00-022_Август/39c97100-f1fc-4f5f-9fc9-1f9d59bc3e36.jpg","open")</f>
        <v/>
      </c>
      <c r="C5391" t="inlineStr">
        <is>
          <t>dd48f742-b338-42e2-bbaf-b3a9701b437c</t>
        </is>
      </c>
      <c r="D5391" t="n">
        <v>55.98417</v>
      </c>
      <c r="E5391" t="n">
        <v>37.28485</v>
      </c>
      <c r="F5391" t="inlineStr"/>
      <c r="G5391" t="inlineStr"/>
      <c r="H5391" t="inlineStr"/>
    </row>
    <row r="5392">
      <c r="A5392" t="inlineStr">
        <is>
          <t>e876a7b2-4eec-4f7d-9e8b-9930acdd9e38.jpg</t>
        </is>
      </c>
      <c r="B5392">
        <f>HYPERLINK("Объекты недвижимости, не соответствующие градостроительным нормам_00-022_Август/e876a7b2-4eec-4f7d-9e8b-9930acdd9e38.jpg","open")</f>
        <v/>
      </c>
      <c r="C5392" t="inlineStr">
        <is>
          <t>1c951e11-4940-43c6-a447-394097e5609a</t>
        </is>
      </c>
      <c r="D5392" t="n">
        <v>55.6586</v>
      </c>
      <c r="E5392" t="n">
        <v>37.45563</v>
      </c>
      <c r="F5392" t="inlineStr"/>
      <c r="G5392" t="inlineStr"/>
      <c r="H5392" t="inlineStr"/>
    </row>
    <row r="5393">
      <c r="A5393" t="inlineStr">
        <is>
          <t>0f08d138-aa62-424d-af47-9375d4f72468.jpg</t>
        </is>
      </c>
      <c r="B5393">
        <f>HYPERLINK("Объекты недвижимости, не соответствующие градостроительным нормам_00-022_Август/0f08d138-aa62-424d-af47-9375d4f72468.jpg","open")</f>
        <v/>
      </c>
      <c r="C5393" t="inlineStr">
        <is>
          <t>a1a9db89-3f74-42ef-8fad-ad69705102cd</t>
        </is>
      </c>
      <c r="D5393" t="n">
        <v>55.77372</v>
      </c>
      <c r="E5393" t="n">
        <v>37.60323</v>
      </c>
      <c r="F5393" t="inlineStr"/>
      <c r="G5393" t="inlineStr"/>
      <c r="H5393" t="inlineStr"/>
    </row>
    <row r="5394">
      <c r="A5394" t="inlineStr">
        <is>
          <t>7aca1531-6030-40bb-88b3-4b7b71a8583e.jpg</t>
        </is>
      </c>
      <c r="B5394">
        <f>HYPERLINK("Объекты недвижимости, не соответствующие градостроительным нормам_00-022_Август/7aca1531-6030-40bb-88b3-4b7b71a8583e.jpg","open")</f>
        <v/>
      </c>
      <c r="C5394" t="inlineStr">
        <is>
          <t>8cde1fd0-eca1-4510-86ab-3c743b65fdfc</t>
        </is>
      </c>
      <c r="D5394" t="n">
        <v>55.65924</v>
      </c>
      <c r="E5394" t="n">
        <v>37.4538</v>
      </c>
      <c r="F5394" t="inlineStr"/>
      <c r="G5394" t="inlineStr"/>
      <c r="H5394" t="inlineStr"/>
    </row>
    <row r="5395">
      <c r="A5395" t="inlineStr">
        <is>
          <t>f4ec973a-8b24-4715-8bac-fdc31df53e1a.jpg</t>
        </is>
      </c>
      <c r="B5395">
        <f>HYPERLINK("Объекты недвижимости, не соответствующие градостроительным нормам_00-022_Август/f4ec973a-8b24-4715-8bac-fdc31df53e1a.jpg","open")</f>
        <v/>
      </c>
      <c r="C5395" t="inlineStr">
        <is>
          <t>cbf95b01-f708-45a3-9ec0-3603469b538e</t>
        </is>
      </c>
      <c r="D5395" t="n">
        <v>55.77372</v>
      </c>
      <c r="E5395" t="n">
        <v>37.60323</v>
      </c>
      <c r="F5395" t="inlineStr"/>
      <c r="G5395" t="inlineStr"/>
      <c r="H5395" t="inlineStr"/>
    </row>
    <row r="5396">
      <c r="A5396" t="inlineStr">
        <is>
          <t>d9d7d14e-04bb-4819-8663-6d07efe2a948.jpg</t>
        </is>
      </c>
      <c r="B5396">
        <f>HYPERLINK("Объекты недвижимости, не соответствующие градостроительным нормам_00-022_Август/d9d7d14e-04bb-4819-8663-6d07efe2a948.jpg","open")</f>
        <v/>
      </c>
      <c r="C5396" t="inlineStr">
        <is>
          <t>cbf95b01-f708-45a3-9ec0-3603469b538e</t>
        </is>
      </c>
      <c r="D5396" t="n">
        <v>55.77372</v>
      </c>
      <c r="E5396" t="n">
        <v>37.60323</v>
      </c>
      <c r="F5396" t="inlineStr"/>
      <c r="G5396" t="inlineStr"/>
      <c r="H5396" t="inlineStr"/>
    </row>
    <row r="5397">
      <c r="A5397" t="inlineStr">
        <is>
          <t>ed022b96-39e1-4360-be61-59b7ee3ff9db.jpg</t>
        </is>
      </c>
      <c r="B5397">
        <f>HYPERLINK("Объекты недвижимости, не соответствующие градостроительным нормам_00-022_Август/ed022b96-39e1-4360-be61-59b7ee3ff9db.jpg","open")</f>
        <v/>
      </c>
      <c r="C5397" t="inlineStr">
        <is>
          <t>a1a9db89-3f74-42ef-8fad-ad69705102cd</t>
        </is>
      </c>
      <c r="D5397" t="n">
        <v>55.73686</v>
      </c>
      <c r="E5397" t="n">
        <v>37.52759</v>
      </c>
      <c r="F5397" t="inlineStr"/>
      <c r="G5397" t="inlineStr"/>
      <c r="H5397" t="inlineStr"/>
    </row>
    <row r="5398">
      <c r="A5398" t="inlineStr">
        <is>
          <t>5276d1e4-6c18-4e99-8c85-a68f78673df7.jpg</t>
        </is>
      </c>
      <c r="B5398">
        <f>HYPERLINK("Объекты недвижимости, не соответствующие градостроительным нормам_00-022_Август/5276d1e4-6c18-4e99-8c85-a68f78673df7.jpg","open")</f>
        <v/>
      </c>
      <c r="C5398" t="inlineStr">
        <is>
          <t>cbf95b01-f708-45a3-9ec0-3603469b538e</t>
        </is>
      </c>
      <c r="D5398" t="n">
        <v>55.73686</v>
      </c>
      <c r="E5398" t="n">
        <v>37.52759</v>
      </c>
      <c r="F5398" t="inlineStr"/>
      <c r="G5398" t="inlineStr"/>
      <c r="H5398" t="inlineStr"/>
    </row>
    <row r="5399">
      <c r="A5399" t="inlineStr">
        <is>
          <t>b8e515bc-2aa0-4118-8c1a-48658810e7ab.jpg</t>
        </is>
      </c>
      <c r="B5399">
        <f>HYPERLINK("Объекты недвижимости, не соответствующие градостроительным нормам_00-022_Август/b8e515bc-2aa0-4118-8c1a-48658810e7ab.jpg","open")</f>
        <v/>
      </c>
      <c r="C5399" t="inlineStr">
        <is>
          <t>ab4e767f-65c0-455b-af20-a5527124fd21</t>
        </is>
      </c>
      <c r="D5399" t="n">
        <v>55.66853</v>
      </c>
      <c r="E5399" t="n">
        <v>37.50143</v>
      </c>
      <c r="F5399" t="inlineStr"/>
      <c r="G5399" t="inlineStr"/>
      <c r="H5399" t="inlineStr"/>
    </row>
    <row r="5400">
      <c r="A5400" t="inlineStr">
        <is>
          <t>f3cccf87-6333-4cd1-8467-9629a862b654.jpg</t>
        </is>
      </c>
      <c r="B5400">
        <f>HYPERLINK("Объекты недвижимости, не соответствующие градостроительным нормам_00-022_Август/f3cccf87-6333-4cd1-8467-9629a862b654.jpg","open")</f>
        <v/>
      </c>
      <c r="C5400" t="inlineStr">
        <is>
          <t>8cde1fd0-eca1-4510-86ab-3c743b65fdfc</t>
        </is>
      </c>
      <c r="D5400" t="n">
        <v>55.66772</v>
      </c>
      <c r="E5400" t="n">
        <v>37.44358</v>
      </c>
      <c r="F5400" t="inlineStr"/>
      <c r="G5400" t="inlineStr"/>
      <c r="H5400" t="inlineStr"/>
    </row>
    <row r="5401">
      <c r="A5401" t="inlineStr">
        <is>
          <t>1c99e741-3ed2-4157-95fb-e01cc33a0185.jpg</t>
        </is>
      </c>
      <c r="B5401">
        <f>HYPERLINK("Объекты недвижимости, не соответствующие градостроительным нормам_00-022_Август/1c99e741-3ed2-4157-95fb-e01cc33a0185.jpg","open")</f>
        <v/>
      </c>
      <c r="C5401" t="inlineStr">
        <is>
          <t>93848fc8-17e7-4748-9ebc-c7e379e11d2f</t>
        </is>
      </c>
      <c r="D5401" t="n">
        <v>55.80418</v>
      </c>
      <c r="E5401" t="n">
        <v>37.6842</v>
      </c>
      <c r="F5401" t="inlineStr"/>
      <c r="G5401" t="inlineStr"/>
      <c r="H5401" t="inlineStr"/>
    </row>
    <row r="5402">
      <c r="A5402" t="inlineStr">
        <is>
          <t>2b9c92ff-9c03-4e4e-b188-27287b08b346.jpg</t>
        </is>
      </c>
      <c r="B5402">
        <f>HYPERLINK("Объекты недвижимости, не соответствующие градостроительным нормам_00-022_Август/2b9c92ff-9c03-4e4e-b188-27287b08b346.jpg","open")</f>
        <v/>
      </c>
      <c r="C5402" t="inlineStr">
        <is>
          <t>8cde1fd0-eca1-4510-86ab-3c743b65fdfc</t>
        </is>
      </c>
      <c r="D5402" t="n">
        <v>55.66969</v>
      </c>
      <c r="E5402" t="n">
        <v>37.46338</v>
      </c>
      <c r="F5402" t="inlineStr"/>
      <c r="G5402" t="inlineStr"/>
      <c r="H5402" t="inlineStr"/>
    </row>
    <row r="5403">
      <c r="A5403" t="inlineStr">
        <is>
          <t>fb805b67-b0a1-4560-b85a-1932bdf4d630.jpg</t>
        </is>
      </c>
      <c r="B5403">
        <f>HYPERLINK("Объекты недвижимости, не соответствующие градостроительным нормам_00-022_Август/fb805b67-b0a1-4560-b85a-1932bdf4d630.jpg","open")</f>
        <v/>
      </c>
      <c r="C5403" t="inlineStr">
        <is>
          <t>8cde1fd0-eca1-4510-86ab-3c743b65fdfc</t>
        </is>
      </c>
      <c r="D5403" t="n">
        <v>55.6705</v>
      </c>
      <c r="E5403" t="n">
        <v>37.46409</v>
      </c>
      <c r="F5403" t="inlineStr"/>
      <c r="G5403" t="inlineStr"/>
      <c r="H5403" t="inlineStr"/>
    </row>
    <row r="5404">
      <c r="A5404" t="inlineStr">
        <is>
          <t>93c8c494-9f15-4de3-b66c-fa7658db03cb.jpg</t>
        </is>
      </c>
      <c r="B5404">
        <f>HYPERLINK("Объекты недвижимости, не соответствующие градостроительным нормам_00-022_Август/93c8c494-9f15-4de3-b66c-fa7658db03cb.jpg","open")</f>
        <v/>
      </c>
      <c r="C5404" t="inlineStr">
        <is>
          <t>cbf95b01-f708-45a3-9ec0-3603469b538e</t>
        </is>
      </c>
      <c r="D5404" t="n">
        <v>55.83106</v>
      </c>
      <c r="E5404" t="n">
        <v>37.48808</v>
      </c>
      <c r="F5404" t="inlineStr"/>
      <c r="G5404" t="inlineStr"/>
      <c r="H5404" t="inlineStr"/>
    </row>
    <row r="5405">
      <c r="A5405" t="inlineStr">
        <is>
          <t>0203a91c-0725-4ad6-9bc9-eef2ad480f8c.jpg</t>
        </is>
      </c>
      <c r="B5405">
        <f>HYPERLINK("Объекты недвижимости, не соответствующие градостроительным нормам_00-022_Август/0203a91c-0725-4ad6-9bc9-eef2ad480f8c.jpg","open")</f>
        <v/>
      </c>
      <c r="C5405" t="inlineStr">
        <is>
          <t>93848fc8-17e7-4748-9ebc-c7e379e11d2f</t>
        </is>
      </c>
      <c r="D5405" t="n">
        <v>55.79729</v>
      </c>
      <c r="E5405" t="n">
        <v>37.68943</v>
      </c>
      <c r="F5405" t="inlineStr"/>
      <c r="G5405" t="inlineStr"/>
      <c r="H5405" t="inlineStr"/>
    </row>
    <row r="5406">
      <c r="A5406" t="inlineStr">
        <is>
          <t>b702070e-e7a7-4268-aee4-1b19b38888ea.jpg</t>
        </is>
      </c>
      <c r="B5406">
        <f>HYPERLINK("Объекты недвижимости, не соответствующие градостроительным нормам_00-022_Август/b702070e-e7a7-4268-aee4-1b19b38888ea.jpg","open")</f>
        <v/>
      </c>
      <c r="C5406" t="inlineStr">
        <is>
          <t>93848fc8-17e7-4748-9ebc-c7e379e11d2f</t>
        </is>
      </c>
      <c r="D5406" t="n">
        <v>55.79425</v>
      </c>
      <c r="E5406" t="n">
        <v>37.69167</v>
      </c>
      <c r="F5406" t="inlineStr"/>
      <c r="G5406" t="inlineStr"/>
      <c r="H5406" t="inlineStr"/>
    </row>
    <row r="5407">
      <c r="A5407" t="inlineStr">
        <is>
          <t>b6918223-0ea0-42b2-a2a1-61f99c6ddf44.jpg</t>
        </is>
      </c>
      <c r="B5407">
        <f>HYPERLINK("Объекты недвижимости, не соответствующие градостроительным нормам_00-022_Август/b6918223-0ea0-42b2-a2a1-61f99c6ddf44.jpg","open")</f>
        <v/>
      </c>
      <c r="C5407" t="inlineStr">
        <is>
          <t>cbf95b01-f708-45a3-9ec0-3603469b538e</t>
        </is>
      </c>
      <c r="D5407" t="n">
        <v>55.87432</v>
      </c>
      <c r="E5407" t="n">
        <v>37.45468</v>
      </c>
      <c r="F5407" t="inlineStr"/>
      <c r="G5407" t="inlineStr"/>
      <c r="H5407" t="inlineStr"/>
    </row>
    <row r="5408">
      <c r="A5408" t="inlineStr">
        <is>
          <t>ec9d7242-3a6e-47da-b00c-4a5a0d20f7a9.jpg</t>
        </is>
      </c>
      <c r="B5408">
        <f>HYPERLINK("Объекты недвижимости, не соответствующие градостроительным нормам_00-022_Август/ec9d7242-3a6e-47da-b00c-4a5a0d20f7a9.jpg","open")</f>
        <v/>
      </c>
      <c r="C5408" t="inlineStr">
        <is>
          <t>8cde1fd0-eca1-4510-86ab-3c743b65fdfc</t>
        </is>
      </c>
      <c r="D5408" t="n">
        <v>55.66717</v>
      </c>
      <c r="E5408" t="n">
        <v>37.47097</v>
      </c>
      <c r="F5408" t="inlineStr"/>
      <c r="G5408" t="inlineStr"/>
      <c r="H5408" t="inlineStr"/>
    </row>
    <row r="5409">
      <c r="A5409" t="inlineStr">
        <is>
          <t>b41ae69d-0cb1-41c8-a2ea-bec5699f3b72.jpg</t>
        </is>
      </c>
      <c r="B5409">
        <f>HYPERLINK("Объекты недвижимости, не соответствующие градостроительным нормам_00-022_Август/b41ae69d-0cb1-41c8-a2ea-bec5699f3b72.jpg","open")</f>
        <v/>
      </c>
      <c r="C5409" t="inlineStr">
        <is>
          <t>1c951e11-4940-43c6-a447-394097e5609a</t>
        </is>
      </c>
      <c r="D5409" t="n">
        <v>55.66706</v>
      </c>
      <c r="E5409" t="n">
        <v>37.47073</v>
      </c>
      <c r="F5409" t="inlineStr"/>
      <c r="G5409" t="inlineStr"/>
      <c r="H5409" t="inlineStr"/>
    </row>
    <row r="5410">
      <c r="A5410" t="inlineStr">
        <is>
          <t>17f9e6fe-9ea8-4689-87ce-0e280ab6066a.jpg</t>
        </is>
      </c>
      <c r="B5410">
        <f>HYPERLINK("Объекты недвижимости, не соответствующие градостроительным нормам_00-022_Август/17f9e6fe-9ea8-4689-87ce-0e280ab6066a.jpg","open")</f>
        <v/>
      </c>
      <c r="C5410" t="inlineStr">
        <is>
          <t>8cde1fd0-eca1-4510-86ab-3c743b65fdfc</t>
        </is>
      </c>
      <c r="D5410" t="n">
        <v>55.66732</v>
      </c>
      <c r="E5410" t="n">
        <v>37.4713</v>
      </c>
      <c r="F5410" t="inlineStr"/>
      <c r="G5410" t="inlineStr"/>
      <c r="H5410" t="inlineStr"/>
    </row>
    <row r="5411">
      <c r="A5411" t="inlineStr">
        <is>
          <t>980dc7f7-6019-49ee-9892-35b38fabf35d.jpg</t>
        </is>
      </c>
      <c r="B5411">
        <f>HYPERLINK("Объекты недвижимости, не соответствующие градостроительным нормам_00-022_Август/980dc7f7-6019-49ee-9892-35b38fabf35d.jpg","open")</f>
        <v/>
      </c>
      <c r="C5411" t="inlineStr">
        <is>
          <t>1a55986c-2c3f-40c0-b3d1-014dce77832e</t>
        </is>
      </c>
      <c r="D5411" t="n">
        <v>55.58685</v>
      </c>
      <c r="E5411" t="n">
        <v>37.65109</v>
      </c>
      <c r="F5411" t="inlineStr"/>
      <c r="G5411" t="inlineStr"/>
      <c r="H5411" t="inlineStr"/>
    </row>
    <row r="5412">
      <c r="A5412" t="inlineStr">
        <is>
          <t>94bfc8d2-4c09-46cf-8f28-c979bd83f223.jpg</t>
        </is>
      </c>
      <c r="B5412">
        <f>HYPERLINK("Объекты недвижимости, не соответствующие градостроительным нормам_00-022_Август/94bfc8d2-4c09-46cf-8f28-c979bd83f223.jpg","open")</f>
        <v/>
      </c>
      <c r="C5412" t="inlineStr">
        <is>
          <t>cbf95b01-f708-45a3-9ec0-3603469b538e</t>
        </is>
      </c>
      <c r="D5412" t="n">
        <v>55.88451</v>
      </c>
      <c r="E5412" t="n">
        <v>37.47245</v>
      </c>
      <c r="F5412" t="inlineStr"/>
      <c r="G5412" t="inlineStr"/>
      <c r="H5412" t="inlineStr"/>
    </row>
    <row r="5413">
      <c r="A5413" t="inlineStr">
        <is>
          <t>5cef2ac3-4659-4af5-bab2-675b3bb3feea.jpg</t>
        </is>
      </c>
      <c r="B5413">
        <f>HYPERLINK("Объекты недвижимости, не соответствующие градостроительным нормам_00-022_Август/5cef2ac3-4659-4af5-bab2-675b3bb3feea.jpg","open")</f>
        <v/>
      </c>
      <c r="C5413" t="inlineStr">
        <is>
          <t>93848fc8-17e7-4748-9ebc-c7e379e11d2f</t>
        </is>
      </c>
      <c r="D5413" t="n">
        <v>55.79355</v>
      </c>
      <c r="E5413" t="n">
        <v>37.68394</v>
      </c>
      <c r="F5413" t="inlineStr"/>
      <c r="G5413" t="inlineStr"/>
      <c r="H5413" t="inlineStr"/>
    </row>
    <row r="5414">
      <c r="A5414" t="inlineStr">
        <is>
          <t>79a5db28-52ff-4a95-84d6-16a3da3aab0b.jpg</t>
        </is>
      </c>
      <c r="B5414">
        <f>HYPERLINK("Объекты недвижимости, не соответствующие градостроительным нормам_00-022_Август/79a5db28-52ff-4a95-84d6-16a3da3aab0b.jpg","open")</f>
        <v/>
      </c>
      <c r="C5414" t="inlineStr">
        <is>
          <t>8cde1fd0-eca1-4510-86ab-3c743b65fdfc</t>
        </is>
      </c>
      <c r="D5414" t="n">
        <v>55.66618</v>
      </c>
      <c r="E5414" t="n">
        <v>37.48317</v>
      </c>
      <c r="F5414" t="inlineStr"/>
      <c r="G5414" t="inlineStr"/>
      <c r="H5414" t="inlineStr"/>
    </row>
    <row r="5415">
      <c r="A5415" t="inlineStr">
        <is>
          <t>eda3c387-c71b-40ee-8860-0a3a4ff1e682.jpg</t>
        </is>
      </c>
      <c r="B5415">
        <f>HYPERLINK("Объекты недвижимости, не соответствующие градостроительным нормам_00-022_Август/eda3c387-c71b-40ee-8860-0a3a4ff1e682.jpg","open")</f>
        <v/>
      </c>
      <c r="C5415" t="inlineStr">
        <is>
          <t>93848fc8-17e7-4748-9ebc-c7e379e11d2f</t>
        </is>
      </c>
      <c r="D5415" t="n">
        <v>55.79261</v>
      </c>
      <c r="E5415" t="n">
        <v>37.68291</v>
      </c>
      <c r="F5415" t="inlineStr"/>
      <c r="G5415" t="inlineStr"/>
      <c r="H5415" t="inlineStr"/>
    </row>
    <row r="5416">
      <c r="A5416" t="inlineStr">
        <is>
          <t>356cb616-24a3-47de-9a3f-3c008b167061.jpg</t>
        </is>
      </c>
      <c r="B5416">
        <f>HYPERLINK("Объекты недвижимости, не соответствующие градостроительным нормам_00-022_Август/356cb616-24a3-47de-9a3f-3c008b167061.jpg","open")</f>
        <v/>
      </c>
      <c r="C5416" t="inlineStr">
        <is>
          <t>ed2bf0f1-3a66-4913-896e-4420a9796c0b</t>
        </is>
      </c>
      <c r="D5416" t="n">
        <v>55.58678</v>
      </c>
      <c r="E5416" t="n">
        <v>37.62693</v>
      </c>
      <c r="F5416" t="inlineStr"/>
      <c r="G5416" t="inlineStr"/>
      <c r="H5416" t="inlineStr"/>
    </row>
    <row r="5417">
      <c r="A5417" t="inlineStr">
        <is>
          <t>5ae42e01-b9ef-4bd4-a3cd-667da696cf69.jpg</t>
        </is>
      </c>
      <c r="B5417">
        <f>HYPERLINK("Объекты недвижимости, не соответствующие градостроительным нормам_00-022_Август/5ae42e01-b9ef-4bd4-a3cd-667da696cf69.jpg","open")</f>
        <v/>
      </c>
      <c r="C5417" t="inlineStr">
        <is>
          <t>ed2bf0f1-3a66-4913-896e-4420a9796c0b</t>
        </is>
      </c>
      <c r="D5417" t="n">
        <v>55.58196</v>
      </c>
      <c r="E5417" t="n">
        <v>37.63794</v>
      </c>
      <c r="F5417" t="inlineStr"/>
      <c r="G5417" t="inlineStr"/>
      <c r="H5417" t="inlineStr"/>
    </row>
    <row r="5418">
      <c r="A5418" t="inlineStr">
        <is>
          <t>26c8fef1-0196-4cb2-9736-b3d925252071.jpg</t>
        </is>
      </c>
      <c r="B5418">
        <f>HYPERLINK("Объекты недвижимости, не соответствующие градостроительным нормам_00-022_Август/26c8fef1-0196-4cb2-9736-b3d925252071.jpg","open")</f>
        <v/>
      </c>
      <c r="C5418" t="inlineStr">
        <is>
          <t>caa4772d-6278-4484-a046-ee25514bf521</t>
        </is>
      </c>
      <c r="D5418" t="n">
        <v>55.75287</v>
      </c>
      <c r="E5418" t="n">
        <v>37.51572</v>
      </c>
      <c r="F5418" t="inlineStr"/>
      <c r="G5418" t="inlineStr"/>
      <c r="H5418" t="inlineStr"/>
    </row>
    <row r="5419">
      <c r="A5419" t="inlineStr">
        <is>
          <t>2333826a-294e-4802-afdd-1a331f39273a.jpg</t>
        </is>
      </c>
      <c r="B5419">
        <f>HYPERLINK("Объекты недвижимости, не соответствующие градостроительным нормам_00-022_Август/2333826a-294e-4802-afdd-1a331f39273a.jpg","open")</f>
        <v/>
      </c>
      <c r="C5419" t="inlineStr">
        <is>
          <t>ab4e767f-65c0-455b-af20-a5527124fd21</t>
        </is>
      </c>
      <c r="D5419" t="n">
        <v>55.68518</v>
      </c>
      <c r="E5419" t="n">
        <v>37.47867</v>
      </c>
      <c r="F5419" t="inlineStr"/>
      <c r="G5419" t="inlineStr"/>
      <c r="H5419" t="inlineStr"/>
    </row>
    <row r="5420">
      <c r="A5420" t="inlineStr">
        <is>
          <t>2aec9604-9bfb-4e43-a90f-d85e167721b1.jpg</t>
        </is>
      </c>
      <c r="B5420">
        <f>HYPERLINK("Объекты недвижимости, не соответствующие градостроительным нормам_00-022_Август/2aec9604-9bfb-4e43-a90f-d85e167721b1.jpg","open")</f>
        <v/>
      </c>
      <c r="C5420" t="inlineStr">
        <is>
          <t>8cde1fd0-eca1-4510-86ab-3c743b65fdfc</t>
        </is>
      </c>
      <c r="D5420" t="n">
        <v>55.67137</v>
      </c>
      <c r="E5420" t="n">
        <v>37.46529</v>
      </c>
      <c r="F5420" t="inlineStr"/>
      <c r="G5420" t="inlineStr"/>
      <c r="H5420" t="inlineStr"/>
    </row>
    <row r="5421">
      <c r="A5421" t="inlineStr">
        <is>
          <t>4ed820e8-b14f-460a-a946-547ae113f631.jpg</t>
        </is>
      </c>
      <c r="B5421">
        <f>HYPERLINK("Объекты недвижимости, не соответствующие градостроительным нормам_00-022_Август/4ed820e8-b14f-460a-a946-547ae113f631.jpg","open")</f>
        <v/>
      </c>
      <c r="C5421" t="inlineStr">
        <is>
          <t>a1a9db89-3f74-42ef-8fad-ad69705102cd</t>
        </is>
      </c>
      <c r="D5421" t="n">
        <v>55.88745</v>
      </c>
      <c r="E5421" t="n">
        <v>37.67282</v>
      </c>
      <c r="F5421" t="inlineStr"/>
      <c r="G5421" t="inlineStr"/>
      <c r="H5421" t="inlineStr"/>
    </row>
    <row r="5422">
      <c r="A5422" t="inlineStr">
        <is>
          <t>741fbbcc-eef2-487c-bcae-8f1437eac199.jpg</t>
        </is>
      </c>
      <c r="B5422">
        <f>HYPERLINK("Объекты недвижимости, не соответствующие градостроительным нормам_00-022_Август/741fbbcc-eef2-487c-bcae-8f1437eac199.jpg","open")</f>
        <v/>
      </c>
      <c r="C5422" t="inlineStr">
        <is>
          <t>f9ad0a8f-1e33-4fca-bdfe-5b844d3ee381</t>
        </is>
      </c>
      <c r="D5422" t="n">
        <v>55.78313</v>
      </c>
      <c r="E5422" t="n">
        <v>37.36065</v>
      </c>
      <c r="F5422" t="inlineStr"/>
      <c r="G5422" t="inlineStr"/>
      <c r="H5422" t="inlineStr"/>
    </row>
    <row r="5423">
      <c r="A5423" t="inlineStr">
        <is>
          <t>1040a5eb-9c4a-40c5-8a63-3607c8969dae.jpg</t>
        </is>
      </c>
      <c r="B5423">
        <f>HYPERLINK("Объекты недвижимости, не соответствующие градостроительным нормам_00-022_Август/1040a5eb-9c4a-40c5-8a63-3607c8969dae.jpg","open")</f>
        <v/>
      </c>
      <c r="C5423" t="inlineStr">
        <is>
          <t>93848fc8-17e7-4748-9ebc-c7e379e11d2f</t>
        </is>
      </c>
      <c r="D5423" t="n">
        <v>55.78933</v>
      </c>
      <c r="E5423" t="n">
        <v>37.65662</v>
      </c>
      <c r="F5423" t="inlineStr"/>
      <c r="G5423" t="inlineStr"/>
      <c r="H5423" t="inlineStr"/>
    </row>
    <row r="5424">
      <c r="A5424" t="inlineStr">
        <is>
          <t>69fce0b4-8dad-4ad6-bfc4-533066943418.jpg</t>
        </is>
      </c>
      <c r="B5424">
        <f>HYPERLINK("Объекты недвижимости, не соответствующие градостроительным нормам_00-022_Август/69fce0b4-8dad-4ad6-bfc4-533066943418.jpg","open")</f>
        <v/>
      </c>
      <c r="C5424" t="inlineStr">
        <is>
          <t>a1a9db89-3f74-42ef-8fad-ad69705102cd</t>
        </is>
      </c>
      <c r="D5424" t="n">
        <v>55.88747</v>
      </c>
      <c r="E5424" t="n">
        <v>37.67134</v>
      </c>
      <c r="F5424" t="inlineStr"/>
      <c r="G5424" t="inlineStr"/>
      <c r="H5424" t="inlineStr"/>
    </row>
    <row r="5425">
      <c r="A5425" t="inlineStr">
        <is>
          <t>150aecc5-b62c-4143-b1d3-5e514678134f.jpg</t>
        </is>
      </c>
      <c r="B5425">
        <f>HYPERLINK("Объекты недвижимости, не соответствующие градостроительным нормам_00-022_Август/150aecc5-b62c-4143-b1d3-5e514678134f.jpg","open")</f>
        <v/>
      </c>
      <c r="C5425" t="inlineStr">
        <is>
          <t>1c951e11-4940-43c6-a447-394097e5609a</t>
        </is>
      </c>
      <c r="D5425" t="n">
        <v>55.67189</v>
      </c>
      <c r="E5425" t="n">
        <v>37.46282</v>
      </c>
      <c r="F5425" t="inlineStr"/>
      <c r="G5425" t="inlineStr"/>
      <c r="H5425" t="inlineStr"/>
    </row>
    <row r="5426">
      <c r="A5426" t="inlineStr">
        <is>
          <t>61c74d39-d2cf-4d1a-8acb-43597545a022.jpg</t>
        </is>
      </c>
      <c r="B5426">
        <f>HYPERLINK("Объекты недвижимости, не соответствующие градостроительным нормам_00-022_Август/61c74d39-d2cf-4d1a-8acb-43597545a022.jpg","open")</f>
        <v/>
      </c>
      <c r="C5426" t="inlineStr">
        <is>
          <t>cbf95b01-f708-45a3-9ec0-3603469b538e</t>
        </is>
      </c>
      <c r="D5426" t="n">
        <v>55.81391</v>
      </c>
      <c r="E5426" t="n">
        <v>37.8285</v>
      </c>
      <c r="F5426" t="inlineStr"/>
      <c r="G5426" t="inlineStr"/>
      <c r="H5426" t="inlineStr"/>
    </row>
    <row r="5427">
      <c r="A5427" t="inlineStr">
        <is>
          <t>9a41ee92-1d42-4581-b4c2-36a9f780e2e2.jpg</t>
        </is>
      </c>
      <c r="B5427">
        <f>HYPERLINK("Объекты недвижимости, не соответствующие градостроительным нормам_00-022_Август/9a41ee92-1d42-4581-b4c2-36a9f780e2e2.jpg","open")</f>
        <v/>
      </c>
      <c r="C5427" t="inlineStr">
        <is>
          <t>cbf95b01-f708-45a3-9ec0-3603469b538e</t>
        </is>
      </c>
      <c r="D5427" t="n">
        <v>55.8139</v>
      </c>
      <c r="E5427" t="n">
        <v>37.8285</v>
      </c>
      <c r="F5427" t="inlineStr"/>
      <c r="G5427" t="inlineStr"/>
      <c r="H5427" t="inlineStr"/>
    </row>
    <row r="5428">
      <c r="A5428" t="inlineStr">
        <is>
          <t>b7bc0d90-49ab-4159-9deb-0cd2e353d7ce.jpg</t>
        </is>
      </c>
      <c r="B5428">
        <f>HYPERLINK("Объекты недвижимости, не соответствующие градостроительным нормам_00-022_Август/b7bc0d90-49ab-4159-9deb-0cd2e353d7ce.jpg","open")</f>
        <v/>
      </c>
      <c r="C5428" t="inlineStr">
        <is>
          <t>93848fc8-17e7-4748-9ebc-c7e379e11d2f</t>
        </is>
      </c>
      <c r="D5428" t="n">
        <v>55.81677</v>
      </c>
      <c r="E5428" t="n">
        <v>37.75587</v>
      </c>
      <c r="F5428" t="inlineStr"/>
      <c r="G5428" t="inlineStr"/>
      <c r="H5428" t="inlineStr"/>
    </row>
    <row r="5429">
      <c r="A5429" t="inlineStr">
        <is>
          <t>9d3f90bb-66e1-4e76-98d8-47aaadb3ab72.jpg</t>
        </is>
      </c>
      <c r="B5429">
        <f>HYPERLINK("Объекты недвижимости, не соответствующие градостроительным нормам_00-022_Август/9d3f90bb-66e1-4e76-98d8-47aaadb3ab72.jpg","open")</f>
        <v/>
      </c>
      <c r="C5429" t="inlineStr">
        <is>
          <t>caa4772d-6278-4484-a046-ee25514bf521</t>
        </is>
      </c>
      <c r="D5429" t="n">
        <v>55.74057</v>
      </c>
      <c r="E5429" t="n">
        <v>37.41552</v>
      </c>
      <c r="F5429" t="inlineStr"/>
      <c r="G5429" t="inlineStr"/>
      <c r="H5429" t="inlineStr"/>
    </row>
    <row r="5430">
      <c r="A5430" t="inlineStr">
        <is>
          <t>9a450463-a718-4fc5-a1a0-7c5d588ddf1b.jpg</t>
        </is>
      </c>
      <c r="B5430">
        <f>HYPERLINK("Объекты недвижимости, не соответствующие градостроительным нормам_00-022_Август/9a450463-a718-4fc5-a1a0-7c5d588ddf1b.jpg","open")</f>
        <v/>
      </c>
      <c r="C5430" t="inlineStr">
        <is>
          <t>caa4772d-6278-4484-a046-ee25514bf521</t>
        </is>
      </c>
      <c r="D5430" t="n">
        <v>55.73978</v>
      </c>
      <c r="E5430" t="n">
        <v>37.41423</v>
      </c>
      <c r="F5430" t="inlineStr"/>
      <c r="G5430" t="inlineStr"/>
      <c r="H5430" t="inlineStr"/>
    </row>
    <row r="5431">
      <c r="A5431" t="inlineStr">
        <is>
          <t>6a15649c-deb9-4481-b60c-40e23aa080b9.jpg</t>
        </is>
      </c>
      <c r="B5431">
        <f>HYPERLINK("Объекты недвижимости, не соответствующие градостроительным нормам_00-022_Август/6a15649c-deb9-4481-b60c-40e23aa080b9.jpg","open")</f>
        <v/>
      </c>
      <c r="C5431" t="inlineStr">
        <is>
          <t>cbf95b01-f708-45a3-9ec0-3603469b538e</t>
        </is>
      </c>
      <c r="D5431" t="n">
        <v>55.79349</v>
      </c>
      <c r="E5431" t="n">
        <v>37.81423</v>
      </c>
      <c r="F5431" t="inlineStr"/>
      <c r="G5431" t="inlineStr"/>
      <c r="H5431" t="inlineStr"/>
    </row>
    <row r="5432">
      <c r="A5432" t="inlineStr">
        <is>
          <t>a75f424e-c574-4143-ac58-8b538850edde.jpg</t>
        </is>
      </c>
      <c r="B5432">
        <f>HYPERLINK("Объекты недвижимости, не соответствующие градостроительным нормам_00-022_Август/a75f424e-c574-4143-ac58-8b538850edde.jpg","open")</f>
        <v/>
      </c>
      <c r="C5432" t="inlineStr">
        <is>
          <t>cbf95b01-f708-45a3-9ec0-3603469b538e</t>
        </is>
      </c>
      <c r="D5432" t="n">
        <v>55.79349</v>
      </c>
      <c r="E5432" t="n">
        <v>37.81409</v>
      </c>
      <c r="F5432" t="inlineStr"/>
      <c r="G5432" t="inlineStr"/>
      <c r="H5432" t="inlineStr"/>
    </row>
    <row r="5433">
      <c r="A5433" t="inlineStr">
        <is>
          <t>c215a9ea-c6cf-4b5f-b113-f7b956affa42.jpg</t>
        </is>
      </c>
      <c r="B5433">
        <f>HYPERLINK("Объекты недвижимости, не соответствующие градостроительным нормам_00-022_Август/c215a9ea-c6cf-4b5f-b113-f7b956affa42.jpg","open")</f>
        <v/>
      </c>
      <c r="C5433" t="inlineStr">
        <is>
          <t>cbf95b01-f708-45a3-9ec0-3603469b538e</t>
        </is>
      </c>
      <c r="D5433" t="n">
        <v>55.79344</v>
      </c>
      <c r="E5433" t="n">
        <v>37.81156</v>
      </c>
      <c r="F5433" t="inlineStr"/>
      <c r="G5433" t="inlineStr"/>
      <c r="H5433" t="inlineStr"/>
    </row>
    <row r="5434">
      <c r="A5434" t="inlineStr">
        <is>
          <t>06f1aa40-b44f-4245-8192-022315e57862.jpg</t>
        </is>
      </c>
      <c r="B5434">
        <f>HYPERLINK("Объекты недвижимости, не соответствующие градостроительным нормам_00-022_Август/06f1aa40-b44f-4245-8192-022315e57862.jpg","open")</f>
        <v/>
      </c>
      <c r="C5434" t="inlineStr">
        <is>
          <t>0dd30d74-4dbc-46a8-b638-91e1431bb398</t>
        </is>
      </c>
      <c r="D5434" t="n">
        <v>55.82267</v>
      </c>
      <c r="E5434" t="n">
        <v>37.78062</v>
      </c>
      <c r="F5434" t="inlineStr"/>
      <c r="G5434" t="inlineStr"/>
      <c r="H5434" t="inlineStr"/>
    </row>
    <row r="5435">
      <c r="A5435" t="inlineStr">
        <is>
          <t>6bbbf95c-9db2-4d38-8c6a-e8b306f6fde2.jpg</t>
        </is>
      </c>
      <c r="B5435">
        <f>HYPERLINK("Объекты недвижимости, не соответствующие градостроительным нормам_00-022_Август/6bbbf95c-9db2-4d38-8c6a-e8b306f6fde2.jpg","open")</f>
        <v/>
      </c>
      <c r="C5435" t="inlineStr">
        <is>
          <t>cbf95b01-f708-45a3-9ec0-3603469b538e</t>
        </is>
      </c>
      <c r="D5435" t="n">
        <v>55.79097</v>
      </c>
      <c r="E5435" t="n">
        <v>37.79168</v>
      </c>
      <c r="F5435" t="inlineStr"/>
      <c r="G5435" t="inlineStr"/>
      <c r="H5435" t="inlineStr"/>
    </row>
    <row r="5436">
      <c r="A5436" t="inlineStr">
        <is>
          <t>defb4c1a-6d59-4cea-82f4-6536eea2615d.jpg</t>
        </is>
      </c>
      <c r="B5436">
        <f>HYPERLINK("Объекты недвижимости, не соответствующие градостроительным нормам_00-022_Август/defb4c1a-6d59-4cea-82f4-6536eea2615d.jpg","open")</f>
        <v/>
      </c>
      <c r="C5436" t="inlineStr">
        <is>
          <t>1a55986c-2c3f-40c0-b3d1-014dce77832e</t>
        </is>
      </c>
      <c r="D5436" t="n">
        <v>55.58588</v>
      </c>
      <c r="E5436" t="n">
        <v>37.7159</v>
      </c>
      <c r="F5436" t="inlineStr"/>
      <c r="G5436" t="inlineStr"/>
      <c r="H5436" t="inlineStr"/>
    </row>
    <row r="5437">
      <c r="A5437" t="inlineStr">
        <is>
          <t>a05089f8-3256-450f-a184-cb2542245856.jpg</t>
        </is>
      </c>
      <c r="B5437">
        <f>HYPERLINK("Объекты недвижимости, не соответствующие градостроительным нормам_00-022_Август/a05089f8-3256-450f-a184-cb2542245856.jpg","open")</f>
        <v/>
      </c>
      <c r="C5437" t="inlineStr">
        <is>
          <t>caa4772d-6278-4484-a046-ee25514bf521</t>
        </is>
      </c>
      <c r="D5437" t="n">
        <v>55.7332</v>
      </c>
      <c r="E5437" t="n">
        <v>37.37621</v>
      </c>
      <c r="F5437" t="inlineStr"/>
      <c r="G5437" t="inlineStr"/>
      <c r="H5437" t="inlineStr"/>
    </row>
    <row r="5438">
      <c r="A5438" t="inlineStr">
        <is>
          <t>b60ea109-54ab-4084-bcf2-ae27c72e96f7.jpg</t>
        </is>
      </c>
      <c r="B5438">
        <f>HYPERLINK("Объекты недвижимости, не соответствующие градостроительным нормам_00-022_Август/b60ea109-54ab-4084-bcf2-ae27c72e96f7.jpg","open")</f>
        <v/>
      </c>
      <c r="C5438" t="inlineStr">
        <is>
          <t>8cde1fd0-eca1-4510-86ab-3c743b65fdfc</t>
        </is>
      </c>
      <c r="D5438" t="n">
        <v>55.96619</v>
      </c>
      <c r="E5438" t="n">
        <v>37.42407</v>
      </c>
      <c r="F5438" t="inlineStr"/>
      <c r="G5438" t="inlineStr"/>
      <c r="H5438" t="inlineStr"/>
    </row>
    <row r="5439">
      <c r="A5439" t="inlineStr">
        <is>
          <t>c25cdb75-179d-458c-8522-65f2c77d2b76.jpg</t>
        </is>
      </c>
      <c r="B5439">
        <f>HYPERLINK("Объекты недвижимости, не соответствующие градостроительным нормам_00-022_Август/c25cdb75-179d-458c-8522-65f2c77d2b76.jpg","open")</f>
        <v/>
      </c>
      <c r="C5439" t="inlineStr">
        <is>
          <t>a1a9db89-3f74-42ef-8fad-ad69705102cd</t>
        </is>
      </c>
      <c r="D5439" t="n">
        <v>55.78901</v>
      </c>
      <c r="E5439" t="n">
        <v>37.78111</v>
      </c>
      <c r="F5439" t="inlineStr"/>
      <c r="G5439" t="inlineStr"/>
      <c r="H5439" t="inlineStr"/>
    </row>
    <row r="5440">
      <c r="A5440" t="inlineStr">
        <is>
          <t>2e470496-4f9d-4847-b265-f15adabe58ee.jpg</t>
        </is>
      </c>
      <c r="B5440">
        <f>HYPERLINK("Объекты недвижимости, не соответствующие градостроительным нормам_00-022_Август/2e470496-4f9d-4847-b265-f15adabe58ee.jpg","open")</f>
        <v/>
      </c>
      <c r="C5440" t="inlineStr">
        <is>
          <t>8cde1fd0-eca1-4510-86ab-3c743b65fdfc</t>
        </is>
      </c>
      <c r="D5440" t="n">
        <v>55.9665</v>
      </c>
      <c r="E5440" t="n">
        <v>37.4043</v>
      </c>
      <c r="F5440" t="inlineStr"/>
      <c r="G5440" t="inlineStr"/>
      <c r="H5440" t="inlineStr"/>
    </row>
    <row r="5441">
      <c r="A5441" t="inlineStr">
        <is>
          <t>3ee74818-1b41-44c0-82a3-772f25525d32.jpg</t>
        </is>
      </c>
      <c r="B5441">
        <f>HYPERLINK("Объекты недвижимости, не соответствующие градостроительным нормам_00-022_Август/3ee74818-1b41-44c0-82a3-772f25525d32.jpg","open")</f>
        <v/>
      </c>
      <c r="C5441" t="inlineStr">
        <is>
          <t>cbf95b01-f708-45a3-9ec0-3603469b538e</t>
        </is>
      </c>
      <c r="D5441" t="n">
        <v>55.79065</v>
      </c>
      <c r="E5441" t="n">
        <v>37.7723</v>
      </c>
      <c r="F5441" t="inlineStr"/>
      <c r="G5441" t="inlineStr"/>
      <c r="H5441" t="inlineStr"/>
    </row>
    <row r="5442">
      <c r="A5442" t="inlineStr">
        <is>
          <t>514da626-366c-4568-99ec-eb5de1fa456e.jpg</t>
        </is>
      </c>
      <c r="B5442">
        <f>HYPERLINK("Объекты недвижимости, не соответствующие градостроительным нормам_00-022_Август/514da626-366c-4568-99ec-eb5de1fa456e.jpg","open")</f>
        <v/>
      </c>
      <c r="C5442" t="inlineStr">
        <is>
          <t>8cde1fd0-eca1-4510-86ab-3c743b65fdfc</t>
        </is>
      </c>
      <c r="D5442" t="n">
        <v>55.97689</v>
      </c>
      <c r="E5442" t="n">
        <v>37.40005</v>
      </c>
      <c r="F5442" t="inlineStr"/>
      <c r="G5442" t="inlineStr"/>
      <c r="H5442" t="inlineStr"/>
    </row>
    <row r="5443">
      <c r="A5443" t="inlineStr">
        <is>
          <t>1284cd2e-e256-44ac-b768-cb9ca5843b8a.jpg</t>
        </is>
      </c>
      <c r="B5443">
        <f>HYPERLINK("Объекты недвижимости, не соответствующие градостроительным нормам_00-022_Август/1284cd2e-e256-44ac-b768-cb9ca5843b8a.jpg","open")</f>
        <v/>
      </c>
      <c r="C5443" t="inlineStr">
        <is>
          <t>8cde1fd0-eca1-4510-86ab-3c743b65fdfc</t>
        </is>
      </c>
      <c r="D5443" t="n">
        <v>55.97723</v>
      </c>
      <c r="E5443" t="n">
        <v>37.42897</v>
      </c>
      <c r="F5443" t="inlineStr"/>
      <c r="G5443" t="inlineStr"/>
      <c r="H5443" t="inlineStr"/>
    </row>
    <row r="5444">
      <c r="A5444" t="inlineStr">
        <is>
          <t>49162086-1051-48ef-8033-7d1b470bfd45.jpg</t>
        </is>
      </c>
      <c r="B5444">
        <f>HYPERLINK("Объекты недвижимости, не соответствующие градостроительным нормам_00-022_Август/49162086-1051-48ef-8033-7d1b470bfd45.jpg","open")</f>
        <v/>
      </c>
      <c r="C5444" t="inlineStr">
        <is>
          <t>8cde1fd0-eca1-4510-86ab-3c743b65fdfc</t>
        </is>
      </c>
      <c r="D5444" t="n">
        <v>55.96497</v>
      </c>
      <c r="E5444" t="n">
        <v>37.41992</v>
      </c>
      <c r="F5444" t="inlineStr"/>
      <c r="G5444" t="inlineStr"/>
      <c r="H5444" t="inlineStr"/>
    </row>
    <row r="5445">
      <c r="A5445" t="inlineStr">
        <is>
          <t>f5691755-edb1-4164-a01b-0b4e6db3e85f.jpg</t>
        </is>
      </c>
      <c r="B5445">
        <f>HYPERLINK("Объекты недвижимости, не соответствующие градостроительным нормам_00-022_Август/f5691755-edb1-4164-a01b-0b4e6db3e85f.jpg","open")</f>
        <v/>
      </c>
      <c r="C5445" t="inlineStr">
        <is>
          <t>8cde1fd0-eca1-4510-86ab-3c743b65fdfc</t>
        </is>
      </c>
      <c r="D5445" t="n">
        <v>55.965</v>
      </c>
      <c r="E5445" t="n">
        <v>37.40928</v>
      </c>
      <c r="F5445" t="inlineStr"/>
      <c r="G5445" t="inlineStr"/>
      <c r="H5445" t="inlineStr"/>
    </row>
    <row r="5446">
      <c r="A5446" t="inlineStr">
        <is>
          <t>1ef0c830-d075-4310-bb32-92f6890af925.jpg</t>
        </is>
      </c>
      <c r="B5446">
        <f>HYPERLINK("Объекты недвижимости, не соответствующие градостроительным нормам_00-022_Август/1ef0c830-d075-4310-bb32-92f6890af925.jpg","open")</f>
        <v/>
      </c>
      <c r="C5446" t="inlineStr">
        <is>
          <t>8cde1fd0-eca1-4510-86ab-3c743b65fdfc</t>
        </is>
      </c>
      <c r="D5446" t="n">
        <v>55.97364</v>
      </c>
      <c r="E5446" t="n">
        <v>37.39931</v>
      </c>
      <c r="F5446" t="inlineStr"/>
      <c r="G5446" t="inlineStr"/>
      <c r="H5446" t="inlineStr"/>
    </row>
    <row r="5447">
      <c r="A5447" t="inlineStr">
        <is>
          <t>dcdb2b14-250f-470b-8d03-04ec895f7cb9.jpg</t>
        </is>
      </c>
      <c r="B5447">
        <f>HYPERLINK("Объекты недвижимости, не соответствующие градостроительным нормам_00-022_Август/dcdb2b14-250f-470b-8d03-04ec895f7cb9.jpg","open")</f>
        <v/>
      </c>
      <c r="C5447" t="inlineStr">
        <is>
          <t>8cde1fd0-eca1-4510-86ab-3c743b65fdfc</t>
        </is>
      </c>
      <c r="D5447" t="n">
        <v>55.97275</v>
      </c>
      <c r="E5447" t="n">
        <v>37.43101</v>
      </c>
      <c r="F5447" t="inlineStr"/>
      <c r="G5447" t="inlineStr"/>
      <c r="H5447" t="inlineStr"/>
    </row>
    <row r="5448">
      <c r="A5448" t="inlineStr">
        <is>
          <t>65235a91-8092-4958-ae79-a18912cfcf35.jpg</t>
        </is>
      </c>
      <c r="B5448">
        <f>HYPERLINK("Объекты недвижимости, не соответствующие градостроительным нормам_00-022_Август/65235a91-8092-4958-ae79-a18912cfcf35.jpg","open")</f>
        <v/>
      </c>
      <c r="C5448" t="inlineStr">
        <is>
          <t>dd48f742-b338-42e2-bbaf-b3a9701b437c</t>
        </is>
      </c>
      <c r="D5448" t="n">
        <v>55.97891</v>
      </c>
      <c r="E5448" t="n">
        <v>37.15071</v>
      </c>
      <c r="F5448" t="inlineStr"/>
      <c r="G5448" t="inlineStr"/>
      <c r="H5448" t="inlineStr"/>
    </row>
    <row r="5449">
      <c r="A5449" t="inlineStr">
        <is>
          <t>2c328bdb-06b5-4e21-9168-d1ac71cfd43b.jpg</t>
        </is>
      </c>
      <c r="B5449">
        <f>HYPERLINK("Объекты недвижимости, не соответствующие градостроительным нормам_00-022_Август/2c328bdb-06b5-4e21-9168-d1ac71cfd43b.jpg","open")</f>
        <v/>
      </c>
      <c r="C5449" t="inlineStr">
        <is>
          <t>8cde1fd0-eca1-4510-86ab-3c743b65fdfc</t>
        </is>
      </c>
      <c r="D5449" t="n">
        <v>55.97072</v>
      </c>
      <c r="E5449" t="n">
        <v>37.39964</v>
      </c>
      <c r="F5449" t="inlineStr"/>
      <c r="G5449" t="inlineStr"/>
      <c r="H5449" t="inlineStr"/>
    </row>
    <row r="5450">
      <c r="A5450" t="inlineStr">
        <is>
          <t>a79ed119-56b9-418e-910f-c9a63b9cee13.jpg</t>
        </is>
      </c>
      <c r="B5450">
        <f>HYPERLINK("Объекты недвижимости, не соответствующие градостроительным нормам_00-022_Август/a79ed119-56b9-418e-910f-c9a63b9cee13.jpg","open")</f>
        <v/>
      </c>
      <c r="C5450" t="inlineStr">
        <is>
          <t>cbf95b01-f708-45a3-9ec0-3603469b538e</t>
        </is>
      </c>
      <c r="D5450" t="n">
        <v>55.76218</v>
      </c>
      <c r="E5450" t="n">
        <v>37.7696</v>
      </c>
      <c r="F5450" t="inlineStr"/>
      <c r="G5450" t="inlineStr"/>
      <c r="H5450" t="inlineStr"/>
    </row>
    <row r="5451">
      <c r="A5451" t="inlineStr">
        <is>
          <t>5183f115-a251-4103-8278-1e9d1d01413d.jpg</t>
        </is>
      </c>
      <c r="B5451">
        <f>HYPERLINK("Объекты недвижимости, не соответствующие градостроительным нормам_00-022_Август/5183f115-a251-4103-8278-1e9d1d01413d.jpg","open")</f>
        <v/>
      </c>
      <c r="C5451" t="inlineStr">
        <is>
          <t>8cde1fd0-eca1-4510-86ab-3c743b65fdfc</t>
        </is>
      </c>
      <c r="D5451" t="n">
        <v>55.97421</v>
      </c>
      <c r="E5451" t="n">
        <v>37.399</v>
      </c>
      <c r="F5451" t="inlineStr"/>
      <c r="G5451" t="inlineStr"/>
      <c r="H5451" t="inlineStr"/>
    </row>
    <row r="5452">
      <c r="A5452" t="inlineStr">
        <is>
          <t>50568119-67f0-4a58-80ec-31f46776ec8d.jpg</t>
        </is>
      </c>
      <c r="B5452">
        <f>HYPERLINK("Объекты недвижимости, не соответствующие градостроительным нормам_00-022_Август/50568119-67f0-4a58-80ec-31f46776ec8d.jpg","open")</f>
        <v/>
      </c>
      <c r="C5452" t="inlineStr">
        <is>
          <t>8cde1fd0-eca1-4510-86ab-3c743b65fdfc</t>
        </is>
      </c>
      <c r="D5452" t="n">
        <v>55.97376</v>
      </c>
      <c r="E5452" t="n">
        <v>37.43133</v>
      </c>
      <c r="F5452" t="inlineStr"/>
      <c r="G5452" t="inlineStr"/>
      <c r="H5452" t="inlineStr"/>
    </row>
    <row r="5453">
      <c r="A5453" t="inlineStr">
        <is>
          <t>6ce18c1e-ac4c-4456-923d-dd35aa2cfbcb.jpg</t>
        </is>
      </c>
      <c r="B5453">
        <f>HYPERLINK("Объекты недвижимости, не соответствующие градостроительным нормам_00-022_Август/6ce18c1e-ac4c-4456-923d-dd35aa2cfbcb.jpg","open")</f>
        <v/>
      </c>
      <c r="C5453" t="inlineStr">
        <is>
          <t>8cde1fd0-eca1-4510-86ab-3c743b65fdfc</t>
        </is>
      </c>
      <c r="D5453" t="n">
        <v>55.97063</v>
      </c>
      <c r="E5453" t="n">
        <v>37.43076</v>
      </c>
      <c r="F5453" t="inlineStr"/>
      <c r="G5453" t="inlineStr"/>
      <c r="H5453" t="inlineStr"/>
    </row>
    <row r="5454">
      <c r="A5454" t="inlineStr">
        <is>
          <t>eb9365d9-c388-4c44-a530-a51151896c12.jpg</t>
        </is>
      </c>
      <c r="B5454">
        <f>HYPERLINK("Объекты недвижимости, не соответствующие градостроительным нормам_00-022_Август/eb9365d9-c388-4c44-a530-a51151896c12.jpg","open")</f>
        <v/>
      </c>
      <c r="C5454" t="inlineStr">
        <is>
          <t>8cde1fd0-eca1-4510-86ab-3c743b65fdfc</t>
        </is>
      </c>
      <c r="D5454" t="n">
        <v>55.9647</v>
      </c>
      <c r="E5454" t="n">
        <v>37.42085</v>
      </c>
      <c r="F5454" t="inlineStr"/>
      <c r="G5454" t="inlineStr"/>
      <c r="H5454" t="inlineStr"/>
    </row>
    <row r="5455">
      <c r="A5455" t="inlineStr">
        <is>
          <t>4e3f70c1-66a7-4df3-8987-4a3b3f59a984.jpg</t>
        </is>
      </c>
      <c r="B5455">
        <f>HYPERLINK("Объекты недвижимости, не соответствующие градостроительным нормам_00-022_Август/4e3f70c1-66a7-4df3-8987-4a3b3f59a984.jpg","open")</f>
        <v/>
      </c>
      <c r="C5455" t="inlineStr">
        <is>
          <t>8cde1fd0-eca1-4510-86ab-3c743b65fdfc</t>
        </is>
      </c>
      <c r="D5455" t="n">
        <v>55.96823</v>
      </c>
      <c r="E5455" t="n">
        <v>37.402</v>
      </c>
      <c r="F5455" t="inlineStr"/>
      <c r="G5455" t="inlineStr"/>
      <c r="H5455" t="inlineStr"/>
    </row>
    <row r="5456">
      <c r="A5456" t="inlineStr">
        <is>
          <t>cbd95de1-b46a-4a21-b851-2bc19001cb3d.jpg</t>
        </is>
      </c>
      <c r="B5456">
        <f>HYPERLINK("Объекты недвижимости, не соответствующие градостроительным нормам_00-022_Август/cbd95de1-b46a-4a21-b851-2bc19001cb3d.jpg","open")</f>
        <v/>
      </c>
      <c r="C5456" t="inlineStr">
        <is>
          <t>8cde1fd0-eca1-4510-86ab-3c743b65fdfc</t>
        </is>
      </c>
      <c r="D5456" t="n">
        <v>55.97347</v>
      </c>
      <c r="E5456" t="n">
        <v>37.39901</v>
      </c>
      <c r="F5456" t="inlineStr"/>
      <c r="G5456" t="inlineStr"/>
      <c r="H5456" t="inlineStr"/>
    </row>
    <row r="5457">
      <c r="A5457" t="inlineStr">
        <is>
          <t>d840c63a-f590-418d-a5fa-98766ee928dc.jpg</t>
        </is>
      </c>
      <c r="B5457">
        <f>HYPERLINK("Объекты недвижимости, не соответствующие градостроительным нормам_00-022_Август/d840c63a-f590-418d-a5fa-98766ee928dc.jpg","open")</f>
        <v/>
      </c>
      <c r="C5457" t="inlineStr">
        <is>
          <t>8cde1fd0-eca1-4510-86ab-3c743b65fdfc</t>
        </is>
      </c>
      <c r="D5457" t="n">
        <v>55.97654</v>
      </c>
      <c r="E5457" t="n">
        <v>37.39984</v>
      </c>
      <c r="F5457" t="inlineStr"/>
      <c r="G5457" t="inlineStr"/>
      <c r="H5457" t="inlineStr"/>
    </row>
    <row r="5458">
      <c r="A5458" t="inlineStr">
        <is>
          <t>e4a04339-d174-439a-8ac1-513a1dece2fb.jpg</t>
        </is>
      </c>
      <c r="B5458">
        <f>HYPERLINK("Объекты недвижимости, не соответствующие градостроительным нормам_00-022_Август/e4a04339-d174-439a-8ac1-513a1dece2fb.jpg","open")</f>
        <v/>
      </c>
      <c r="C5458" t="inlineStr">
        <is>
          <t>8cde1fd0-eca1-4510-86ab-3c743b65fdfc</t>
        </is>
      </c>
      <c r="D5458" t="n">
        <v>55.98073</v>
      </c>
      <c r="E5458" t="n">
        <v>37.40479</v>
      </c>
      <c r="F5458" t="inlineStr"/>
      <c r="G5458" t="inlineStr"/>
      <c r="H5458" t="inlineStr"/>
    </row>
    <row r="5459">
      <c r="A5459" t="inlineStr">
        <is>
          <t>08eb5224-868d-4137-b3af-acba89df3b65.jpg</t>
        </is>
      </c>
      <c r="B5459">
        <f>HYPERLINK("Объекты недвижимости, не соответствующие градостроительным нормам_00-022_Август/08eb5224-868d-4137-b3af-acba89df3b65.jpg","open")</f>
        <v/>
      </c>
      <c r="C5459" t="inlineStr">
        <is>
          <t>8cde1fd0-eca1-4510-86ab-3c743b65fdfc</t>
        </is>
      </c>
      <c r="D5459" t="n">
        <v>55.97685</v>
      </c>
      <c r="E5459" t="n">
        <v>37.42907</v>
      </c>
      <c r="F5459" t="inlineStr"/>
      <c r="G5459" t="inlineStr"/>
      <c r="H5459" t="inlineStr"/>
    </row>
    <row r="5460">
      <c r="A5460" t="inlineStr">
        <is>
          <t>40f0b081-8789-4f8d-9b4b-cc3180696f6d.jpg</t>
        </is>
      </c>
      <c r="B5460">
        <f>HYPERLINK("Объекты недвижимости, не соответствующие градостроительным нормам_00-022_Август/40f0b081-8789-4f8d-9b4b-cc3180696f6d.jpg","open")</f>
        <v/>
      </c>
      <c r="C5460" t="inlineStr">
        <is>
          <t>cbf95b01-f708-45a3-9ec0-3603469b538e</t>
        </is>
      </c>
      <c r="D5460" t="n">
        <v>55.74896</v>
      </c>
      <c r="E5460" t="n">
        <v>37.70386</v>
      </c>
      <c r="F5460" t="inlineStr"/>
      <c r="G5460" t="inlineStr"/>
      <c r="H5460" t="inlineStr"/>
    </row>
    <row r="5461">
      <c r="A5461" t="inlineStr">
        <is>
          <t>152e573f-28c4-4922-8726-710ec23ea1bd.jpg</t>
        </is>
      </c>
      <c r="B5461">
        <f>HYPERLINK("Объекты недвижимости, не соответствующие градостроительным нормам_00-022_Август/152e573f-28c4-4922-8726-710ec23ea1bd.jpg","open")</f>
        <v/>
      </c>
      <c r="C5461" t="inlineStr">
        <is>
          <t>8cde1fd0-eca1-4510-86ab-3c743b65fdfc</t>
        </is>
      </c>
      <c r="D5461" t="n">
        <v>55.96755</v>
      </c>
      <c r="E5461" t="n">
        <v>37.42654</v>
      </c>
      <c r="F5461" t="inlineStr"/>
      <c r="G5461" t="inlineStr"/>
      <c r="H5461" t="inlineStr"/>
    </row>
    <row r="5462">
      <c r="A5462" t="inlineStr">
        <is>
          <t>5f5cd510-0d17-478b-b265-466d099902f0.jpg</t>
        </is>
      </c>
      <c r="B5462">
        <f>HYPERLINK("Объекты недвижимости, не соответствующие градостроительным нормам_00-022_Август/5f5cd510-0d17-478b-b265-466d099902f0.jpg","open")</f>
        <v/>
      </c>
      <c r="C5462" t="inlineStr">
        <is>
          <t>8cde1fd0-eca1-4510-86ab-3c743b65fdfc</t>
        </is>
      </c>
      <c r="D5462" t="n">
        <v>55.96807</v>
      </c>
      <c r="E5462" t="n">
        <v>37.40216</v>
      </c>
      <c r="F5462" t="inlineStr"/>
      <c r="G5462" t="inlineStr"/>
      <c r="H5462" t="inlineStr"/>
    </row>
    <row r="5463">
      <c r="A5463" t="inlineStr">
        <is>
          <t>f6ce872a-b905-4efa-8852-788e3f1e0f0f.jpg</t>
        </is>
      </c>
      <c r="B5463">
        <f>HYPERLINK("Объекты недвижимости, не соответствующие градостроительным нормам_00-022_Август/f6ce872a-b905-4efa-8852-788e3f1e0f0f.jpg","open")</f>
        <v/>
      </c>
      <c r="C5463" t="inlineStr">
        <is>
          <t>8cde1fd0-eca1-4510-86ab-3c743b65fdfc</t>
        </is>
      </c>
      <c r="D5463" t="n">
        <v>55.97059</v>
      </c>
      <c r="E5463" t="n">
        <v>37.39962</v>
      </c>
      <c r="F5463" t="inlineStr"/>
      <c r="G5463" t="inlineStr"/>
      <c r="H5463" t="inlineStr"/>
    </row>
    <row r="5464">
      <c r="A5464" t="inlineStr">
        <is>
          <t>08188af2-9dc9-4e16-bcfe-a9fa6d20a225.jpg</t>
        </is>
      </c>
      <c r="B5464">
        <f>HYPERLINK("Объекты недвижимости, не соответствующие градостроительным нормам_00-022_Август/08188af2-9dc9-4e16-bcfe-a9fa6d20a225.jpg","open")</f>
        <v/>
      </c>
      <c r="C5464" t="inlineStr">
        <is>
          <t>cbf95b01-f708-45a3-9ec0-3603469b538e</t>
        </is>
      </c>
      <c r="D5464" t="n">
        <v>55.74679</v>
      </c>
      <c r="E5464" t="n">
        <v>37.6858</v>
      </c>
      <c r="F5464" t="inlineStr"/>
      <c r="G5464" t="inlineStr"/>
      <c r="H5464" t="inlineStr"/>
    </row>
    <row r="5465">
      <c r="A5465" t="inlineStr">
        <is>
          <t>fae7497e-60af-44da-8223-792d026c0032.jpg</t>
        </is>
      </c>
      <c r="B5465">
        <f>HYPERLINK("Объекты недвижимости, не соответствующие градостроительным нормам_00-022_Август/fae7497e-60af-44da-8223-792d026c0032.jpg","open")</f>
        <v/>
      </c>
      <c r="C5465" t="inlineStr">
        <is>
          <t>cbf95b01-f708-45a3-9ec0-3603469b538e</t>
        </is>
      </c>
      <c r="D5465" t="n">
        <v>55.74679</v>
      </c>
      <c r="E5465" t="n">
        <v>37.6858</v>
      </c>
      <c r="F5465" t="inlineStr"/>
      <c r="G5465" t="inlineStr"/>
      <c r="H5465" t="inlineStr"/>
    </row>
    <row r="5466">
      <c r="A5466" t="inlineStr">
        <is>
          <t>41e707e1-5233-457d-82d3-95c66a072ee7.jpg</t>
        </is>
      </c>
      <c r="B5466">
        <f>HYPERLINK("Объекты недвижимости, не соответствующие градостроительным нормам_00-022_Август/41e707e1-5233-457d-82d3-95c66a072ee7.jpg","open")</f>
        <v/>
      </c>
      <c r="C5466" t="inlineStr">
        <is>
          <t>8cde1fd0-eca1-4510-86ab-3c743b65fdfc</t>
        </is>
      </c>
      <c r="D5466" t="n">
        <v>55.97804</v>
      </c>
      <c r="E5466" t="n">
        <v>37.40135</v>
      </c>
      <c r="F5466" t="inlineStr"/>
      <c r="G5466" t="inlineStr"/>
      <c r="H5466" t="inlineStr"/>
    </row>
    <row r="5467">
      <c r="A5467" t="inlineStr">
        <is>
          <t>c700da54-0e6d-4c02-8c88-ba024b596122.jpg</t>
        </is>
      </c>
      <c r="B5467">
        <f>HYPERLINK("Объекты недвижимости, не соответствующие градостроительным нормам_00-022_Август/c700da54-0e6d-4c02-8c88-ba024b596122.jpg","open")</f>
        <v/>
      </c>
      <c r="C5467" t="inlineStr">
        <is>
          <t>cbf95b01-f708-45a3-9ec0-3603469b538e</t>
        </is>
      </c>
      <c r="D5467" t="n">
        <v>55.74679</v>
      </c>
      <c r="E5467" t="n">
        <v>37.6858</v>
      </c>
      <c r="F5467" t="inlineStr"/>
      <c r="G5467" t="inlineStr"/>
      <c r="H5467" t="inlineStr"/>
    </row>
    <row r="5468">
      <c r="A5468" t="inlineStr">
        <is>
          <t>ed45fed2-fddf-437e-ad6d-c432d67fcf08.jpg</t>
        </is>
      </c>
      <c r="B5468">
        <f>HYPERLINK("Объекты недвижимости, не соответствующие градостроительным нормам_00-022_Август/ed45fed2-fddf-437e-ad6d-c432d67fcf08.jpg","open")</f>
        <v/>
      </c>
      <c r="C5468" t="inlineStr">
        <is>
          <t>cbf95b01-f708-45a3-9ec0-3603469b538e</t>
        </is>
      </c>
      <c r="D5468" t="n">
        <v>55.74679</v>
      </c>
      <c r="E5468" t="n">
        <v>37.6858</v>
      </c>
      <c r="F5468" t="inlineStr"/>
      <c r="G5468" t="inlineStr"/>
      <c r="H5468" t="inlineStr"/>
    </row>
    <row r="5469">
      <c r="A5469" t="inlineStr">
        <is>
          <t>8ebaee4d-a31c-45e2-af7d-a2d077938bc2.jpg</t>
        </is>
      </c>
      <c r="B5469">
        <f>HYPERLINK("Объекты недвижимости, не соответствующие градостроительным нормам_00-022_Август/8ebaee4d-a31c-45e2-af7d-a2d077938bc2.jpg","open")</f>
        <v/>
      </c>
      <c r="C5469" t="inlineStr">
        <is>
          <t>ed2bf0f1-3a66-4913-896e-4420a9796c0b</t>
        </is>
      </c>
      <c r="D5469" t="n">
        <v>55.61043</v>
      </c>
      <c r="E5469" t="n">
        <v>37.65834</v>
      </c>
      <c r="F5469" t="inlineStr"/>
      <c r="G5469" t="inlineStr"/>
      <c r="H5469" t="inlineStr"/>
    </row>
    <row r="5470">
      <c r="A5470" t="inlineStr">
        <is>
          <t>20a9086d-d7ae-450a-87a0-c5c4bb2cc45d.jpg</t>
        </is>
      </c>
      <c r="B5470">
        <f>HYPERLINK("Объекты недвижимости, не соответствующие градостроительным нормам_00-022_Август/20a9086d-d7ae-450a-87a0-c5c4bb2cc45d.jpg","open")</f>
        <v/>
      </c>
      <c r="C5470" t="inlineStr">
        <is>
          <t>1a55986c-2c3f-40c0-b3d1-014dce77832e</t>
        </is>
      </c>
      <c r="D5470" t="n">
        <v>55.61043</v>
      </c>
      <c r="E5470" t="n">
        <v>37.65834</v>
      </c>
      <c r="F5470" t="inlineStr"/>
      <c r="G5470" t="inlineStr"/>
      <c r="H5470" t="inlineStr"/>
    </row>
    <row r="5471">
      <c r="A5471" t="inlineStr">
        <is>
          <t>2cf949d6-9e15-4d8e-acf2-3eb1054bc2ec.jpg</t>
        </is>
      </c>
      <c r="B5471">
        <f>HYPERLINK("Объекты недвижимости, не соответствующие градостроительным нормам_00-022_Август/2cf949d6-9e15-4d8e-acf2-3eb1054bc2ec.jpg","open")</f>
        <v/>
      </c>
      <c r="C5471" t="inlineStr">
        <is>
          <t>ed2bf0f1-3a66-4913-896e-4420a9796c0b</t>
        </is>
      </c>
      <c r="D5471" t="n">
        <v>55.61052</v>
      </c>
      <c r="E5471" t="n">
        <v>37.65872</v>
      </c>
      <c r="F5471" t="inlineStr"/>
      <c r="G5471" t="inlineStr"/>
      <c r="H5471" t="inlineStr"/>
    </row>
    <row r="5472">
      <c r="A5472" t="inlineStr">
        <is>
          <t>ead6a339-07c7-4e26-a8eb-6971c84dadbe.jpg</t>
        </is>
      </c>
      <c r="B5472">
        <f>HYPERLINK("Объекты недвижимости, не соответствующие градостроительным нормам_00-022_Август/ead6a339-07c7-4e26-a8eb-6971c84dadbe.jpg","open")</f>
        <v/>
      </c>
      <c r="C5472" t="inlineStr">
        <is>
          <t>1a55986c-2c3f-40c0-b3d1-014dce77832e</t>
        </is>
      </c>
      <c r="D5472" t="n">
        <v>55.61055</v>
      </c>
      <c r="E5472" t="n">
        <v>37.65904</v>
      </c>
      <c r="F5472" t="inlineStr"/>
      <c r="G5472" t="inlineStr"/>
      <c r="H5472" t="inlineStr"/>
    </row>
    <row r="5473">
      <c r="A5473" t="inlineStr">
        <is>
          <t>5ccf36fc-eb61-453a-b6b3-cbcfeff06b29.jpg</t>
        </is>
      </c>
      <c r="B5473">
        <f>HYPERLINK("Объекты недвижимости, не соответствующие градостроительным нормам_00-022_Август/5ccf36fc-eb61-453a-b6b3-cbcfeff06b29.jpg","open")</f>
        <v/>
      </c>
      <c r="C5473" t="inlineStr">
        <is>
          <t>cbf95b01-f708-45a3-9ec0-3603469b538e</t>
        </is>
      </c>
      <c r="D5473" t="n">
        <v>55.74679</v>
      </c>
      <c r="E5473" t="n">
        <v>37.6858</v>
      </c>
      <c r="F5473" t="inlineStr"/>
      <c r="G5473" t="inlineStr"/>
      <c r="H5473" t="inlineStr"/>
    </row>
    <row r="5474">
      <c r="A5474" t="inlineStr">
        <is>
          <t>5a4b39fb-5a43-42ac-9e8c-83a31488d4c0.jpg</t>
        </is>
      </c>
      <c r="B5474">
        <f>HYPERLINK("Объекты недвижимости, не соответствующие градостроительным нормам_00-022_Август/5a4b39fb-5a43-42ac-9e8c-83a31488d4c0.jpg","open")</f>
        <v/>
      </c>
      <c r="C5474" t="inlineStr">
        <is>
          <t>cbf95b01-f708-45a3-9ec0-3603469b538e</t>
        </is>
      </c>
      <c r="D5474" t="n">
        <v>55.74679</v>
      </c>
      <c r="E5474" t="n">
        <v>37.6858</v>
      </c>
      <c r="F5474" t="inlineStr"/>
      <c r="G5474" t="inlineStr"/>
      <c r="H5474" t="inlineStr"/>
    </row>
    <row r="5475">
      <c r="A5475" t="inlineStr">
        <is>
          <t>e3aaa8ed-09ff-4148-bf6f-b0892e36da2d.jpg</t>
        </is>
      </c>
      <c r="B5475">
        <f>HYPERLINK("Объекты недвижимости, не соответствующие градостроительным нормам_00-022_Август/e3aaa8ed-09ff-4148-bf6f-b0892e36da2d.jpg","open")</f>
        <v/>
      </c>
      <c r="C5475" t="inlineStr">
        <is>
          <t>a1a9db89-3f74-42ef-8fad-ad69705102cd</t>
        </is>
      </c>
      <c r="D5475" t="n">
        <v>55.74679</v>
      </c>
      <c r="E5475" t="n">
        <v>37.6858</v>
      </c>
      <c r="F5475" t="inlineStr"/>
      <c r="G5475" t="inlineStr"/>
      <c r="H5475" t="inlineStr"/>
    </row>
    <row r="5476">
      <c r="A5476" t="inlineStr">
        <is>
          <t>73cf09f3-7bd1-459e-a22e-f4953b2c597d.jpg</t>
        </is>
      </c>
      <c r="B5476">
        <f>HYPERLINK("Объекты недвижимости, не соответствующие градостроительным нормам_00-022_Август/73cf09f3-7bd1-459e-a22e-f4953b2c597d.jpg","open")</f>
        <v/>
      </c>
      <c r="C5476" t="inlineStr">
        <is>
          <t>cbf95b01-f708-45a3-9ec0-3603469b538e</t>
        </is>
      </c>
      <c r="D5476" t="n">
        <v>55.74679</v>
      </c>
      <c r="E5476" t="n">
        <v>37.6858</v>
      </c>
      <c r="F5476" t="inlineStr"/>
      <c r="G5476" t="inlineStr"/>
      <c r="H5476" t="inlineStr"/>
    </row>
    <row r="5477">
      <c r="A5477" t="inlineStr">
        <is>
          <t>47a46bd8-505f-4272-9454-b66b316a7cfa.jpg</t>
        </is>
      </c>
      <c r="B5477">
        <f>HYPERLINK("Объекты недвижимости, не соответствующие градостроительным нормам_00-022_Август/47a46bd8-505f-4272-9454-b66b316a7cfa.jpg","open")</f>
        <v/>
      </c>
      <c r="C5477" t="inlineStr">
        <is>
          <t>cbf95b01-f708-45a3-9ec0-3603469b538e</t>
        </is>
      </c>
      <c r="D5477" t="n">
        <v>55.74679</v>
      </c>
      <c r="E5477" t="n">
        <v>37.6858</v>
      </c>
      <c r="F5477" t="inlineStr"/>
      <c r="G5477" t="inlineStr"/>
      <c r="H5477" t="inlineStr"/>
    </row>
    <row r="5478">
      <c r="A5478" t="inlineStr">
        <is>
          <t>fa71a173-3aa6-4196-825d-ca7e5b979cd3.jpg</t>
        </is>
      </c>
      <c r="B5478">
        <f>HYPERLINK("Объекты недвижимости, не соответствующие градостроительным нормам_00-022_Август/fa71a173-3aa6-4196-825d-ca7e5b979cd3.jpg","open")</f>
        <v/>
      </c>
      <c r="C5478" t="inlineStr">
        <is>
          <t>8cde1fd0-eca1-4510-86ab-3c743b65fdfc</t>
        </is>
      </c>
      <c r="D5478" t="n">
        <v>55.97296</v>
      </c>
      <c r="E5478" t="n">
        <v>37.43115</v>
      </c>
      <c r="F5478" t="inlineStr"/>
      <c r="G5478" t="inlineStr"/>
      <c r="H5478" t="inlineStr"/>
    </row>
    <row r="5479">
      <c r="A5479" t="inlineStr">
        <is>
          <t>716e1f13-b6d3-403e-b524-55baac16a808.jpg</t>
        </is>
      </c>
      <c r="B5479">
        <f>HYPERLINK("Объекты недвижимости, не соответствующие градостроительным нормам_00-022_Август/716e1f13-b6d3-403e-b524-55baac16a808.jpg","open")</f>
        <v/>
      </c>
      <c r="C5479" t="inlineStr">
        <is>
          <t>8cde1fd0-eca1-4510-86ab-3c743b65fdfc</t>
        </is>
      </c>
      <c r="D5479" t="n">
        <v>55.98042</v>
      </c>
      <c r="E5479" t="n">
        <v>37.41096</v>
      </c>
      <c r="F5479" t="inlineStr"/>
      <c r="G5479" t="inlineStr"/>
      <c r="H5479" t="inlineStr"/>
    </row>
    <row r="5480">
      <c r="A5480" t="inlineStr">
        <is>
          <t>278656af-d4c1-4686-9aa4-a1b5f7bed356.jpg</t>
        </is>
      </c>
      <c r="B5480">
        <f>HYPERLINK("Объекты недвижимости, не соответствующие градостроительным нормам_00-022_Август/278656af-d4c1-4686-9aa4-a1b5f7bed356.jpg","open")</f>
        <v/>
      </c>
      <c r="C5480" t="inlineStr">
        <is>
          <t>cbf95b01-f708-45a3-9ec0-3603469b538e</t>
        </is>
      </c>
      <c r="D5480" t="n">
        <v>55.74679</v>
      </c>
      <c r="E5480" t="n">
        <v>37.6858</v>
      </c>
      <c r="F5480" t="inlineStr"/>
      <c r="G5480" t="inlineStr"/>
      <c r="H5480" t="inlineStr"/>
    </row>
    <row r="5481">
      <c r="A5481" t="inlineStr">
        <is>
          <t>8f5c9dc4-02f1-48d3-8ec0-ba6d1e0b4f14.jpg</t>
        </is>
      </c>
      <c r="B5481">
        <f>HYPERLINK("Объекты недвижимости, не соответствующие градостроительным нормам_00-022_Август/8f5c9dc4-02f1-48d3-8ec0-ba6d1e0b4f14.jpg","open")</f>
        <v/>
      </c>
      <c r="C5481" t="inlineStr">
        <is>
          <t>1a55986c-2c3f-40c0-b3d1-014dce77832e</t>
        </is>
      </c>
      <c r="D5481" t="n">
        <v>55.60788</v>
      </c>
      <c r="E5481" t="n">
        <v>37.64461</v>
      </c>
      <c r="F5481" t="inlineStr"/>
      <c r="G5481" t="inlineStr"/>
      <c r="H5481" t="inlineStr"/>
    </row>
    <row r="5482">
      <c r="A5482" t="inlineStr">
        <is>
          <t>5df9f643-70c9-4a4f-81a6-7085980ec32f.jpg</t>
        </is>
      </c>
      <c r="B5482">
        <f>HYPERLINK("Объекты недвижимости, не соответствующие градостроительным нормам_00-022_Август/5df9f643-70c9-4a4f-81a6-7085980ec32f.jpg","open")</f>
        <v/>
      </c>
      <c r="C5482" t="inlineStr">
        <is>
          <t>ed2bf0f1-3a66-4913-896e-4420a9796c0b</t>
        </is>
      </c>
      <c r="D5482" t="n">
        <v>55.60818</v>
      </c>
      <c r="E5482" t="n">
        <v>37.64437</v>
      </c>
      <c r="F5482" t="inlineStr"/>
      <c r="G5482" t="inlineStr"/>
      <c r="H5482" t="inlineStr"/>
    </row>
    <row r="5483">
      <c r="A5483" t="inlineStr">
        <is>
          <t>4877bd29-a276-42f4-89e6-4e8c3585685b.jpg</t>
        </is>
      </c>
      <c r="B5483">
        <f>HYPERLINK("Объекты недвижимости, не соответствующие градостроительным нормам_00-022_Август/4877bd29-a276-42f4-89e6-4e8c3585685b.jpg","open")</f>
        <v/>
      </c>
      <c r="C5483" t="inlineStr">
        <is>
          <t>ab4e767f-65c0-455b-af20-a5527124fd21</t>
        </is>
      </c>
      <c r="D5483" t="n">
        <v>55.69389</v>
      </c>
      <c r="E5483" t="n">
        <v>37.44831</v>
      </c>
      <c r="F5483" t="inlineStr"/>
      <c r="G5483" t="inlineStr"/>
      <c r="H5483" t="inlineStr"/>
    </row>
    <row r="5484">
      <c r="A5484" t="inlineStr">
        <is>
          <t>b7ccc344-ed49-4b70-a85e-6220b6144a89.jpg</t>
        </is>
      </c>
      <c r="B5484">
        <f>HYPERLINK("Объекты недвижимости, не соответствующие градостроительным нормам_00-022_Август/b7ccc344-ed49-4b70-a85e-6220b6144a89.jpg","open")</f>
        <v/>
      </c>
      <c r="C5484" t="inlineStr">
        <is>
          <t>1a55986c-2c3f-40c0-b3d1-014dce77832e</t>
        </is>
      </c>
      <c r="D5484" t="n">
        <v>55.60969</v>
      </c>
      <c r="E5484" t="n">
        <v>37.64647</v>
      </c>
      <c r="F5484" t="inlineStr"/>
      <c r="G5484" t="inlineStr"/>
      <c r="H5484" t="inlineStr"/>
    </row>
    <row r="5485">
      <c r="A5485" t="inlineStr">
        <is>
          <t>e28f06f7-821d-4d72-b52e-ba9759dfa298.jpg</t>
        </is>
      </c>
      <c r="B5485">
        <f>HYPERLINK("Объекты недвижимости, не соответствующие градостроительным нормам_00-022_Август/e28f06f7-821d-4d72-b52e-ba9759dfa298.jpg","open")</f>
        <v/>
      </c>
      <c r="C5485" t="inlineStr">
        <is>
          <t>1a55986c-2c3f-40c0-b3d1-014dce77832e</t>
        </is>
      </c>
      <c r="D5485" t="n">
        <v>55.60573</v>
      </c>
      <c r="E5485" t="n">
        <v>37.64742</v>
      </c>
      <c r="F5485" t="inlineStr"/>
      <c r="G5485" t="inlineStr"/>
      <c r="H5485" t="inlineStr"/>
    </row>
    <row r="5486">
      <c r="A5486" t="inlineStr">
        <is>
          <t>0d445840-d88c-4a48-9992-668654bd5241.jpg</t>
        </is>
      </c>
      <c r="B5486">
        <f>HYPERLINK("Объекты недвижимости, не соответствующие градостроительным нормам_00-022_Август/0d445840-d88c-4a48-9992-668654bd5241.jpg","open")</f>
        <v/>
      </c>
      <c r="C5486" t="inlineStr">
        <is>
          <t>cbf95b01-f708-45a3-9ec0-3603469b538e</t>
        </is>
      </c>
      <c r="D5486" t="n">
        <v>55.77314</v>
      </c>
      <c r="E5486" t="n">
        <v>37.60944</v>
      </c>
      <c r="F5486" t="inlineStr"/>
      <c r="G5486" t="inlineStr"/>
      <c r="H5486" t="inlineStr"/>
    </row>
    <row r="5487">
      <c r="A5487" t="inlineStr">
        <is>
          <t>0f8a4a77-3386-441d-85ea-d528a02bc7d7.jpg</t>
        </is>
      </c>
      <c r="B5487">
        <f>HYPERLINK("Объекты недвижимости, не соответствующие градостроительным нормам_00-022_Август/0f8a4a77-3386-441d-85ea-d528a02bc7d7.jpg","open")</f>
        <v/>
      </c>
      <c r="C5487" t="inlineStr">
        <is>
          <t>ed2bf0f1-3a66-4913-896e-4420a9796c0b</t>
        </is>
      </c>
      <c r="D5487" t="n">
        <v>55.6073</v>
      </c>
      <c r="E5487" t="n">
        <v>37.65259</v>
      </c>
      <c r="F5487" t="inlineStr"/>
      <c r="G5487" t="inlineStr"/>
      <c r="H5487" t="inlineStr"/>
    </row>
    <row r="5488">
      <c r="A5488" t="inlineStr">
        <is>
          <t>13f5a10f-c37d-4566-ae11-1449658032e6.jpg</t>
        </is>
      </c>
      <c r="B5488">
        <f>HYPERLINK("Объекты недвижимости, не соответствующие градостроительным нормам_00-022_Август/13f5a10f-c37d-4566-ae11-1449658032e6.jpg","open")</f>
        <v/>
      </c>
      <c r="C5488" t="inlineStr">
        <is>
          <t>cbf95b01-f708-45a3-9ec0-3603469b538e</t>
        </is>
      </c>
      <c r="D5488" t="n">
        <v>55.77314</v>
      </c>
      <c r="E5488" t="n">
        <v>37.60944</v>
      </c>
      <c r="F5488" t="inlineStr"/>
      <c r="G5488" t="inlineStr"/>
      <c r="H5488" t="inlineStr"/>
    </row>
    <row r="5489">
      <c r="A5489" t="inlineStr">
        <is>
          <t>6da33eac-9efe-46e6-bbf3-711adcdb36ad.jpg</t>
        </is>
      </c>
      <c r="B5489">
        <f>HYPERLINK("Объекты недвижимости, не соответствующие градостроительным нормам_00-022_Август/6da33eac-9efe-46e6-bbf3-711adcdb36ad.jpg","open")</f>
        <v/>
      </c>
      <c r="C5489" t="inlineStr">
        <is>
          <t>1c951e11-4940-43c6-a447-394097e5609a</t>
        </is>
      </c>
      <c r="D5489" t="n">
        <v>55.70115</v>
      </c>
      <c r="E5489" t="n">
        <v>37.46845</v>
      </c>
      <c r="F5489" t="inlineStr"/>
      <c r="G5489" t="inlineStr"/>
      <c r="H5489" t="inlineStr"/>
    </row>
    <row r="5490">
      <c r="A5490" t="inlineStr">
        <is>
          <t>3c521d70-b65c-40ba-be4d-691fedb21c78.jpg</t>
        </is>
      </c>
      <c r="B5490">
        <f>HYPERLINK("Объекты недвижимости, не соответствующие градостроительным нормам_00-022_Август/3c521d70-b65c-40ba-be4d-691fedb21c78.jpg","open")</f>
        <v/>
      </c>
      <c r="C5490" t="inlineStr">
        <is>
          <t>cbf95b01-f708-45a3-9ec0-3603469b538e</t>
        </is>
      </c>
      <c r="D5490" t="n">
        <v>55.73531</v>
      </c>
      <c r="E5490" t="n">
        <v>37.5738</v>
      </c>
      <c r="F5490" t="inlineStr"/>
      <c r="G5490" t="inlineStr"/>
      <c r="H5490" t="inlineStr"/>
    </row>
    <row r="5491">
      <c r="A5491" t="inlineStr">
        <is>
          <t>c004bc02-b525-4ea5-bdf7-f6a726661f15.jpg</t>
        </is>
      </c>
      <c r="B5491">
        <f>HYPERLINK("Объекты недвижимости, не соответствующие градостроительным нормам_00-022_Август/c004bc02-b525-4ea5-bdf7-f6a726661f15.jpg","open")</f>
        <v/>
      </c>
      <c r="C5491" t="inlineStr">
        <is>
          <t>cbf95b01-f708-45a3-9ec0-3603469b538e</t>
        </is>
      </c>
      <c r="D5491" t="n">
        <v>55.73503</v>
      </c>
      <c r="E5491" t="n">
        <v>37.57428</v>
      </c>
      <c r="F5491" t="inlineStr"/>
      <c r="G5491" t="inlineStr"/>
      <c r="H5491" t="inlineStr"/>
    </row>
    <row r="5492">
      <c r="A5492" t="inlineStr">
        <is>
          <t>401c968e-bc09-41c9-9ab0-f24223f7af37.jpg</t>
        </is>
      </c>
      <c r="B5492">
        <f>HYPERLINK("Объекты недвижимости, не соответствующие градостроительным нормам_00-022_Август/401c968e-bc09-41c9-9ab0-f24223f7af37.jpg","open")</f>
        <v/>
      </c>
      <c r="C5492" t="inlineStr">
        <is>
          <t>cbf95b01-f708-45a3-9ec0-3603469b538e</t>
        </is>
      </c>
      <c r="D5492" t="n">
        <v>55.7329</v>
      </c>
      <c r="E5492" t="n">
        <v>37.5731</v>
      </c>
      <c r="F5492" t="inlineStr"/>
      <c r="G5492" t="inlineStr"/>
      <c r="H5492" t="inlineStr"/>
    </row>
    <row r="5493">
      <c r="A5493" t="inlineStr">
        <is>
          <t>899e1e37-9392-4dd5-8e18-500ed120d722.jpg</t>
        </is>
      </c>
      <c r="B5493">
        <f>HYPERLINK("Объекты недвижимости, не соответствующие градостроительным нормам_00-022_Август/899e1e37-9392-4dd5-8e18-500ed120d722.jpg","open")</f>
        <v/>
      </c>
      <c r="C5493" t="inlineStr">
        <is>
          <t>8cde1fd0-eca1-4510-86ab-3c743b65fdfc</t>
        </is>
      </c>
      <c r="D5493" t="n">
        <v>55.69411</v>
      </c>
      <c r="E5493" t="n">
        <v>37.46664</v>
      </c>
      <c r="F5493" t="inlineStr"/>
      <c r="G5493" t="inlineStr"/>
      <c r="H5493" t="inlineStr"/>
    </row>
    <row r="5494">
      <c r="A5494" t="inlineStr">
        <is>
          <t>f96e1a89-9bfc-4824-8b02-49056799432c.jpg</t>
        </is>
      </c>
      <c r="B5494">
        <f>HYPERLINK("Объекты недвижимости, не соответствующие градостроительным нормам_00-022_Август/f96e1a89-9bfc-4824-8b02-49056799432c.jpg","open")</f>
        <v/>
      </c>
      <c r="C5494" t="inlineStr">
        <is>
          <t>cbf95b01-f708-45a3-9ec0-3603469b538e</t>
        </is>
      </c>
      <c r="D5494" t="n">
        <v>55.73114</v>
      </c>
      <c r="E5494" t="n">
        <v>37.57038</v>
      </c>
      <c r="F5494" t="inlineStr"/>
      <c r="G5494" t="inlineStr"/>
      <c r="H5494" t="inlineStr"/>
    </row>
    <row r="5495">
      <c r="A5495" t="inlineStr">
        <is>
          <t>5fb372d1-b0b7-42bf-96ea-50de2e21d197.jpg</t>
        </is>
      </c>
      <c r="B5495">
        <f>HYPERLINK("Объекты недвижимости, не соответствующие градостроительным нормам_00-022_Август/5fb372d1-b0b7-42bf-96ea-50de2e21d197.jpg","open")</f>
        <v/>
      </c>
      <c r="C5495" t="inlineStr">
        <is>
          <t>a1a9db89-3f74-42ef-8fad-ad69705102cd</t>
        </is>
      </c>
      <c r="D5495" t="n">
        <v>55.72808</v>
      </c>
      <c r="E5495" t="n">
        <v>37.57942</v>
      </c>
      <c r="F5495" t="inlineStr"/>
      <c r="G5495" t="inlineStr"/>
      <c r="H5495" t="inlineStr"/>
    </row>
    <row r="5496">
      <c r="A5496" t="inlineStr">
        <is>
          <t>870af315-5c15-40c0-929f-f46d62e85baa.jpg</t>
        </is>
      </c>
      <c r="B5496">
        <f>HYPERLINK("Объекты недвижимости, не соответствующие градостроительным нормам_00-022_Август/870af315-5c15-40c0-929f-f46d62e85baa.jpg","open")</f>
        <v/>
      </c>
      <c r="C5496" t="inlineStr">
        <is>
          <t>cbf95b01-f708-45a3-9ec0-3603469b538e</t>
        </is>
      </c>
      <c r="D5496" t="n">
        <v>55.72808</v>
      </c>
      <c r="E5496" t="n">
        <v>37.57942</v>
      </c>
      <c r="F5496" t="inlineStr"/>
      <c r="G5496" t="inlineStr"/>
      <c r="H5496" t="inlineStr"/>
    </row>
    <row r="5497">
      <c r="A5497" t="inlineStr">
        <is>
          <t>ba298837-fa3d-4b83-bfb8-cd05ad8c95d7.jpg</t>
        </is>
      </c>
      <c r="B5497">
        <f>HYPERLINK("Объекты недвижимости, не соответствующие градостроительным нормам_00-022_Август/ba298837-fa3d-4b83-bfb8-cd05ad8c95d7.jpg","open")</f>
        <v/>
      </c>
      <c r="C5497" t="inlineStr">
        <is>
          <t>cbf95b01-f708-45a3-9ec0-3603469b538e</t>
        </is>
      </c>
      <c r="D5497" t="n">
        <v>55.73263</v>
      </c>
      <c r="E5497" t="n">
        <v>37.57667</v>
      </c>
      <c r="F5497" t="inlineStr"/>
      <c r="G5497" t="inlineStr"/>
      <c r="H5497" t="inlineStr"/>
    </row>
    <row r="5498">
      <c r="A5498" t="inlineStr">
        <is>
          <t>6245688f-f95c-42a2-bd25-67921923ab37.jpg</t>
        </is>
      </c>
      <c r="B5498">
        <f>HYPERLINK("Объекты недвижимости, не соответствующие градостроительным нормам_00-022_Август/6245688f-f95c-42a2-bd25-67921923ab37.jpg","open")</f>
        <v/>
      </c>
      <c r="C5498" t="inlineStr">
        <is>
          <t>cbf95b01-f708-45a3-9ec0-3603469b538e</t>
        </is>
      </c>
      <c r="D5498" t="n">
        <v>55.7331</v>
      </c>
      <c r="E5498" t="n">
        <v>37.5761</v>
      </c>
      <c r="F5498" t="inlineStr"/>
      <c r="G5498" t="inlineStr"/>
      <c r="H5498" t="inlineStr"/>
    </row>
    <row r="5499">
      <c r="A5499" t="inlineStr">
        <is>
          <t>8ac4e58d-762d-435d-81be-488a4d7f6915.jpg</t>
        </is>
      </c>
      <c r="B5499">
        <f>HYPERLINK("Объекты недвижимости, не соответствующие градостроительным нормам_00-022_Август/8ac4e58d-762d-435d-81be-488a4d7f6915.jpg","open")</f>
        <v/>
      </c>
      <c r="C5499" t="inlineStr">
        <is>
          <t>cbf95b01-f708-45a3-9ec0-3603469b538e</t>
        </is>
      </c>
      <c r="D5499" t="n">
        <v>55.73326</v>
      </c>
      <c r="E5499" t="n">
        <v>37.5759</v>
      </c>
      <c r="F5499" t="inlineStr"/>
      <c r="G5499" t="inlineStr"/>
      <c r="H5499" t="inlineStr"/>
    </row>
    <row r="5500">
      <c r="A5500" t="inlineStr">
        <is>
          <t>2eeecc11-a47f-4a13-bc4d-b9c39ec8c912.jpg</t>
        </is>
      </c>
      <c r="B5500">
        <f>HYPERLINK("Объекты недвижимости, не соответствующие градостроительным нормам_00-022_Август/2eeecc11-a47f-4a13-bc4d-b9c39ec8c912.jpg","open")</f>
        <v/>
      </c>
      <c r="C5500" t="inlineStr">
        <is>
          <t>cbf95b01-f708-45a3-9ec0-3603469b538e</t>
        </is>
      </c>
      <c r="D5500" t="n">
        <v>55.7341</v>
      </c>
      <c r="E5500" t="n">
        <v>37.57654</v>
      </c>
      <c r="F5500" t="inlineStr"/>
      <c r="G5500" t="inlineStr"/>
      <c r="H5500" t="inlineStr"/>
    </row>
    <row r="5501">
      <c r="A5501" t="inlineStr">
        <is>
          <t>8201934d-0579-4cd8-8126-3556c6f8dd1e.jpg</t>
        </is>
      </c>
      <c r="B5501">
        <f>HYPERLINK("Объекты недвижимости, не соответствующие градостроительным нормам_00-022_Август/8201934d-0579-4cd8-8126-3556c6f8dd1e.jpg","open")</f>
        <v/>
      </c>
      <c r="C5501" t="inlineStr">
        <is>
          <t>cbf95b01-f708-45a3-9ec0-3603469b538e</t>
        </is>
      </c>
      <c r="D5501" t="n">
        <v>55.73437</v>
      </c>
      <c r="E5501" t="n">
        <v>37.57713</v>
      </c>
      <c r="F5501" t="inlineStr"/>
      <c r="G5501" t="inlineStr"/>
      <c r="H5501" t="inlineStr"/>
    </row>
    <row r="5502">
      <c r="A5502" t="inlineStr">
        <is>
          <t>daad96c5-f927-47e0-ac62-6acfbbbe6cfc.jpg</t>
        </is>
      </c>
      <c r="B5502">
        <f>HYPERLINK("Объекты недвижимости, не соответствующие градостроительным нормам_00-022_Август/daad96c5-f927-47e0-ac62-6acfbbbe6cfc.jpg","open")</f>
        <v/>
      </c>
      <c r="C5502" t="inlineStr">
        <is>
          <t>cbf95b01-f708-45a3-9ec0-3603469b538e</t>
        </is>
      </c>
      <c r="D5502" t="n">
        <v>55.73445</v>
      </c>
      <c r="E5502" t="n">
        <v>37.5773</v>
      </c>
      <c r="F5502" t="inlineStr"/>
      <c r="G5502" t="inlineStr"/>
      <c r="H5502" t="inlineStr"/>
    </row>
    <row r="5503">
      <c r="A5503" t="inlineStr">
        <is>
          <t>97c1c6ed-4b32-4c7f-a3a8-75eda7ce47d3.jpg</t>
        </is>
      </c>
      <c r="B5503">
        <f>HYPERLINK("Объекты недвижимости, не соответствующие градостроительным нормам_00-022_Август/97c1c6ed-4b32-4c7f-a3a8-75eda7ce47d3.jpg","open")</f>
        <v/>
      </c>
      <c r="C5503" t="inlineStr">
        <is>
          <t>cbf95b01-f708-45a3-9ec0-3603469b538e</t>
        </is>
      </c>
      <c r="D5503" t="n">
        <v>55.73496</v>
      </c>
      <c r="E5503" t="n">
        <v>37.5784</v>
      </c>
      <c r="F5503" t="inlineStr"/>
      <c r="G5503" t="inlineStr"/>
      <c r="H5503" t="inlineStr"/>
    </row>
    <row r="5504">
      <c r="A5504" t="inlineStr">
        <is>
          <t>0a3be185-b0bb-44bf-9c1d-169560f71dd8.jpg</t>
        </is>
      </c>
      <c r="B5504">
        <f>HYPERLINK("Объекты недвижимости, не соответствующие градостроительным нормам_00-022_Август/0a3be185-b0bb-44bf-9c1d-169560f71dd8.jpg","open")</f>
        <v/>
      </c>
      <c r="C5504" t="inlineStr">
        <is>
          <t>cbf95b01-f708-45a3-9ec0-3603469b538e</t>
        </is>
      </c>
      <c r="D5504" t="n">
        <v>55.73762</v>
      </c>
      <c r="E5504" t="n">
        <v>37.58732</v>
      </c>
      <c r="F5504" t="inlineStr"/>
      <c r="G5504" t="inlineStr"/>
      <c r="H5504" t="inlineStr"/>
    </row>
    <row r="5505">
      <c r="A5505" t="inlineStr">
        <is>
          <t>ab505dfb-ab8c-4d49-a73b-d052d2d13865.jpg</t>
        </is>
      </c>
      <c r="B5505">
        <f>HYPERLINK("Объекты недвижимости, не соответствующие градостроительным нормам_00-022_Август/ab505dfb-ab8c-4d49-a73b-d052d2d13865.jpg","open")</f>
        <v/>
      </c>
      <c r="C5505" t="inlineStr">
        <is>
          <t>93848fc8-17e7-4748-9ebc-c7e379e11d2f</t>
        </is>
      </c>
      <c r="D5505" t="n">
        <v>55.82148</v>
      </c>
      <c r="E5505" t="n">
        <v>37.73424</v>
      </c>
      <c r="F5505" t="inlineStr"/>
      <c r="G5505" t="inlineStr"/>
      <c r="H5505" t="inlineStr"/>
    </row>
    <row r="5506">
      <c r="A5506" t="inlineStr">
        <is>
          <t>4f17b22b-da33-4d83-985b-34a6b97ef83d.jpg</t>
        </is>
      </c>
      <c r="B5506">
        <f>HYPERLINK("Объекты недвижимости, не соответствующие градостроительным нормам_00-022_Август/4f17b22b-da33-4d83-985b-34a6b97ef83d.jpg","open")</f>
        <v/>
      </c>
      <c r="C5506" t="inlineStr">
        <is>
          <t>ed2bf0f1-3a66-4913-896e-4420a9796c0b</t>
        </is>
      </c>
      <c r="D5506" t="n">
        <v>55.59543</v>
      </c>
      <c r="E5506" t="n">
        <v>37.66302</v>
      </c>
      <c r="F5506" t="inlineStr"/>
      <c r="G5506" t="inlineStr"/>
      <c r="H5506" t="inlineStr"/>
    </row>
    <row r="5507">
      <c r="A5507" t="inlineStr">
        <is>
          <t>351fae5d-6116-4227-8a70-751dd7208e02.jpg</t>
        </is>
      </c>
      <c r="B5507">
        <f>HYPERLINK("Объекты недвижимости, не соответствующие градостроительным нормам_00-022_Август/351fae5d-6116-4227-8a70-751dd7208e02.jpg","open")</f>
        <v/>
      </c>
      <c r="C5507" t="inlineStr">
        <is>
          <t>ed2bf0f1-3a66-4913-896e-4420a9796c0b</t>
        </is>
      </c>
      <c r="D5507" t="n">
        <v>55.59816</v>
      </c>
      <c r="E5507" t="n">
        <v>37.66249</v>
      </c>
      <c r="F5507" t="inlineStr"/>
      <c r="G5507" t="inlineStr"/>
      <c r="H5507" t="inlineStr"/>
    </row>
    <row r="5508">
      <c r="A5508" t="inlineStr">
        <is>
          <t>ba551209-5b63-490d-958f-df9a03295edd.jpg</t>
        </is>
      </c>
      <c r="B5508">
        <f>HYPERLINK("Объекты недвижимости, не соответствующие градостроительным нормам_00-022_Август/ba551209-5b63-490d-958f-df9a03295edd.jpg","open")</f>
        <v/>
      </c>
      <c r="C5508" t="inlineStr">
        <is>
          <t>1a55986c-2c3f-40c0-b3d1-014dce77832e</t>
        </is>
      </c>
      <c r="D5508" t="n">
        <v>55.59816</v>
      </c>
      <c r="E5508" t="n">
        <v>37.66249</v>
      </c>
      <c r="F5508" t="inlineStr"/>
      <c r="G5508" t="inlineStr"/>
      <c r="H5508" t="inlineStr"/>
    </row>
    <row r="5509">
      <c r="A5509" t="inlineStr">
        <is>
          <t>8ef93dcd-fba9-464c-87f6-97bd95531880.jpg</t>
        </is>
      </c>
      <c r="B5509">
        <f>HYPERLINK("Объекты недвижимости, не соответствующие градостроительным нормам_00-022_Август/8ef93dcd-fba9-464c-87f6-97bd95531880.jpg","open")</f>
        <v/>
      </c>
      <c r="C5509" t="inlineStr">
        <is>
          <t>93848fc8-17e7-4748-9ebc-c7e379e11d2f</t>
        </is>
      </c>
      <c r="D5509" t="n">
        <v>55.8195</v>
      </c>
      <c r="E5509" t="n">
        <v>37.75152</v>
      </c>
      <c r="F5509" t="inlineStr"/>
      <c r="G5509" t="inlineStr"/>
      <c r="H5509" t="inlineStr"/>
    </row>
    <row r="5510">
      <c r="A5510" t="inlineStr">
        <is>
          <t>8048a786-e46c-43ab-9e42-417add28c8c8.jpg</t>
        </is>
      </c>
      <c r="B5510">
        <f>HYPERLINK("Объекты недвижимости, не соответствующие градостроительным нормам_00-022_Август/8048a786-e46c-43ab-9e42-417add28c8c8.jpg","open")</f>
        <v/>
      </c>
      <c r="C5510" t="inlineStr">
        <is>
          <t>cbf95b01-f708-45a3-9ec0-3603469b538e</t>
        </is>
      </c>
      <c r="D5510" t="n">
        <v>55.73412</v>
      </c>
      <c r="E5510" t="n">
        <v>37.59723</v>
      </c>
      <c r="F5510" t="inlineStr"/>
      <c r="G5510" t="inlineStr"/>
      <c r="H5510" t="inlineStr"/>
    </row>
    <row r="5511">
      <c r="A5511" t="inlineStr">
        <is>
          <t>e69ef3df-2f80-4384-9a69-ae5c3d8456aa.jpg</t>
        </is>
      </c>
      <c r="B5511">
        <f>HYPERLINK("Объекты недвижимости, не соответствующие градостроительным нормам_00-022_Август/e69ef3df-2f80-4384-9a69-ae5c3d8456aa.jpg","open")</f>
        <v/>
      </c>
      <c r="C5511" t="inlineStr">
        <is>
          <t>cbf95b01-f708-45a3-9ec0-3603469b538e</t>
        </is>
      </c>
      <c r="D5511" t="n">
        <v>55.73412</v>
      </c>
      <c r="E5511" t="n">
        <v>37.59723</v>
      </c>
      <c r="F5511" t="inlineStr"/>
      <c r="G5511" t="inlineStr"/>
      <c r="H5511" t="inlineStr"/>
    </row>
    <row r="5512">
      <c r="A5512" t="inlineStr">
        <is>
          <t>3e44f675-a22f-455c-8e77-3726f45790ad.jpg</t>
        </is>
      </c>
      <c r="B5512">
        <f>HYPERLINK("Объекты недвижимости, не соответствующие градостроительным нормам_00-022_Август/3e44f675-a22f-455c-8e77-3726f45790ad.jpg","open")</f>
        <v/>
      </c>
      <c r="C5512" t="inlineStr">
        <is>
          <t>a1a9db89-3f74-42ef-8fad-ad69705102cd</t>
        </is>
      </c>
      <c r="D5512" t="n">
        <v>55.7385</v>
      </c>
      <c r="E5512" t="n">
        <v>37.66428</v>
      </c>
      <c r="F5512" t="inlineStr"/>
      <c r="G5512" t="inlineStr"/>
      <c r="H5512" t="inlineStr"/>
    </row>
    <row r="5513">
      <c r="A5513" t="inlineStr">
        <is>
          <t>4e26c545-0ad3-46c9-9af1-78ec020789ba.jpg</t>
        </is>
      </c>
      <c r="B5513">
        <f>HYPERLINK("Объекты недвижимости, не соответствующие градостроительным нормам_00-022_Август/4e26c545-0ad3-46c9-9af1-78ec020789ba.jpg","open")</f>
        <v/>
      </c>
      <c r="C5513" t="inlineStr">
        <is>
          <t>cbf95b01-f708-45a3-9ec0-3603469b538e</t>
        </is>
      </c>
      <c r="D5513" t="n">
        <v>55.73794</v>
      </c>
      <c r="E5513" t="n">
        <v>37.66446</v>
      </c>
      <c r="F5513" t="inlineStr"/>
      <c r="G5513" t="inlineStr"/>
      <c r="H5513" t="inlineStr"/>
    </row>
    <row r="5514">
      <c r="A5514" t="inlineStr">
        <is>
          <t>9fb48dfa-4864-40d8-9697-c4040845d5e9.jpg</t>
        </is>
      </c>
      <c r="B5514">
        <f>HYPERLINK("Объекты недвижимости, не соответствующие градостроительным нормам_00-022_Август/9fb48dfa-4864-40d8-9697-c4040845d5e9.jpg","open")</f>
        <v/>
      </c>
      <c r="C5514" t="inlineStr">
        <is>
          <t>db8b536c-32f2-4d9a-ae08-679d227e61f1</t>
        </is>
      </c>
      <c r="D5514" t="n">
        <v>55.67365</v>
      </c>
      <c r="E5514" t="n">
        <v>37.31443</v>
      </c>
      <c r="F5514" t="inlineStr"/>
      <c r="G5514" t="inlineStr"/>
      <c r="H5514" t="inlineStr"/>
    </row>
    <row r="5515">
      <c r="A5515" t="inlineStr">
        <is>
          <t>6cd4e68d-c208-4050-9378-f8dcb619186e.jpg</t>
        </is>
      </c>
      <c r="B5515">
        <f>HYPERLINK("Объекты недвижимости, не соответствующие градостроительным нормам_00-022_Август/6cd4e68d-c208-4050-9378-f8dcb619186e.jpg","open")</f>
        <v/>
      </c>
      <c r="C5515" t="inlineStr">
        <is>
          <t>cbf95b01-f708-45a3-9ec0-3603469b538e</t>
        </is>
      </c>
      <c r="D5515" t="n">
        <v>55.73794</v>
      </c>
      <c r="E5515" t="n">
        <v>37.66446</v>
      </c>
      <c r="F5515" t="inlineStr"/>
      <c r="G5515" t="inlineStr"/>
      <c r="H5515" t="inlineStr"/>
    </row>
    <row r="5516">
      <c r="A5516" t="inlineStr">
        <is>
          <t>5701f2cc-82e2-47dd-b254-e13aed8493e8.jpg</t>
        </is>
      </c>
      <c r="B5516">
        <f>HYPERLINK("Объекты недвижимости, не соответствующие градостроительным нормам_00-022_Август/5701f2cc-82e2-47dd-b254-e13aed8493e8.jpg","open")</f>
        <v/>
      </c>
      <c r="C5516" t="inlineStr">
        <is>
          <t>cbf95b01-f708-45a3-9ec0-3603469b538e</t>
        </is>
      </c>
      <c r="D5516" t="n">
        <v>55.73794</v>
      </c>
      <c r="E5516" t="n">
        <v>37.66446</v>
      </c>
      <c r="F5516" t="inlineStr"/>
      <c r="G5516" t="inlineStr"/>
      <c r="H5516" t="inlineStr"/>
    </row>
    <row r="5517">
      <c r="A5517" t="inlineStr">
        <is>
          <t>a365b6bb-14b0-4f91-b40f-9d0e533d984f.jpg</t>
        </is>
      </c>
      <c r="B5517">
        <f>HYPERLINK("Объекты недвижимости, не соответствующие градостроительным нормам_00-022_Август/a365b6bb-14b0-4f91-b40f-9d0e533d984f.jpg","open")</f>
        <v/>
      </c>
      <c r="C5517" t="inlineStr">
        <is>
          <t>db8b536c-32f2-4d9a-ae08-679d227e61f1</t>
        </is>
      </c>
      <c r="D5517" t="n">
        <v>55.67993</v>
      </c>
      <c r="E5517" t="n">
        <v>37.32264</v>
      </c>
      <c r="F5517" t="inlineStr"/>
      <c r="G5517" t="inlineStr"/>
      <c r="H5517" t="inlineStr"/>
    </row>
    <row r="5518">
      <c r="A5518" t="inlineStr">
        <is>
          <t>bd4c3867-4f65-433b-a624-61896a00cf76.jpg</t>
        </is>
      </c>
      <c r="B5518">
        <f>HYPERLINK("Объекты недвижимости, не соответствующие градостроительным нормам_00-022_Август/bd4c3867-4f65-433b-a624-61896a00cf76.jpg","open")</f>
        <v/>
      </c>
      <c r="C5518" t="inlineStr">
        <is>
          <t>a1a9db89-3f74-42ef-8fad-ad69705102cd</t>
        </is>
      </c>
      <c r="D5518" t="n">
        <v>55.73794</v>
      </c>
      <c r="E5518" t="n">
        <v>37.66446</v>
      </c>
      <c r="F5518" t="inlineStr"/>
      <c r="G5518" t="inlineStr"/>
      <c r="H5518" t="inlineStr"/>
    </row>
    <row r="5519">
      <c r="A5519" t="inlineStr">
        <is>
          <t>79a8597a-44b5-4893-9dd8-93b365cfdd65.jpg</t>
        </is>
      </c>
      <c r="B5519">
        <f>HYPERLINK("Объекты недвижимости, не соответствующие градостроительным нормам_00-022_Август/79a8597a-44b5-4893-9dd8-93b365cfdd65.jpg","open")</f>
        <v/>
      </c>
      <c r="C5519" t="inlineStr">
        <is>
          <t>ed2bf0f1-3a66-4913-896e-4420a9796c0b</t>
        </is>
      </c>
      <c r="D5519" t="n">
        <v>55.5904</v>
      </c>
      <c r="E5519" t="n">
        <v>37.66413</v>
      </c>
      <c r="F5519" t="inlineStr"/>
      <c r="G5519" t="inlineStr"/>
      <c r="H5519" t="inlineStr"/>
    </row>
    <row r="5520">
      <c r="A5520" t="inlineStr">
        <is>
          <t>d426012f-24b0-4a9b-ba90-af06fd938863.jpg</t>
        </is>
      </c>
      <c r="B5520">
        <f>HYPERLINK("Объекты недвижимости, не соответствующие градостроительным нормам_00-022_Август/d426012f-24b0-4a9b-ba90-af06fd938863.jpg","open")</f>
        <v/>
      </c>
      <c r="C5520" t="inlineStr">
        <is>
          <t>1a55986c-2c3f-40c0-b3d1-014dce77832e</t>
        </is>
      </c>
      <c r="D5520" t="n">
        <v>55.5904</v>
      </c>
      <c r="E5520" t="n">
        <v>37.66413</v>
      </c>
      <c r="F5520" t="inlineStr"/>
      <c r="G5520" t="inlineStr"/>
      <c r="H5520" t="inlineStr"/>
    </row>
    <row r="5521">
      <c r="A5521" t="inlineStr">
        <is>
          <t>9f49000f-ec99-4277-8677-f8cbe0972a32.jpg</t>
        </is>
      </c>
      <c r="B5521">
        <f>HYPERLINK("Объекты недвижимости, не соответствующие градостроительным нормам_00-022_Август/9f49000f-ec99-4277-8677-f8cbe0972a32.jpg","open")</f>
        <v/>
      </c>
      <c r="C5521" t="inlineStr">
        <is>
          <t>cbf95b01-f708-45a3-9ec0-3603469b538e</t>
        </is>
      </c>
      <c r="D5521" t="n">
        <v>55.73133</v>
      </c>
      <c r="E5521" t="n">
        <v>37.5443</v>
      </c>
      <c r="F5521" t="inlineStr"/>
      <c r="G5521" t="inlineStr"/>
      <c r="H5521" t="inlineStr"/>
    </row>
    <row r="5522">
      <c r="A5522" t="inlineStr">
        <is>
          <t>ab846bb2-af25-4e62-8e06-562917fe4b27.jpg</t>
        </is>
      </c>
      <c r="B5522">
        <f>HYPERLINK("Объекты недвижимости, не соответствующие градостроительным нормам_00-022_Август/ab846bb2-af25-4e62-8e06-562917fe4b27.jpg","open")</f>
        <v/>
      </c>
      <c r="C5522" t="inlineStr">
        <is>
          <t>cbf95b01-f708-45a3-9ec0-3603469b538e</t>
        </is>
      </c>
      <c r="D5522" t="n">
        <v>55.73537</v>
      </c>
      <c r="E5522" t="n">
        <v>37.53802</v>
      </c>
      <c r="F5522" t="inlineStr"/>
      <c r="G5522" t="inlineStr"/>
      <c r="H5522" t="inlineStr"/>
    </row>
    <row r="5523">
      <c r="A5523" t="inlineStr">
        <is>
          <t>9d7520cc-d4f2-4055-8f61-79f99d186d62.jpg</t>
        </is>
      </c>
      <c r="B5523">
        <f>HYPERLINK("Объекты недвижимости, не соответствующие градостроительным нормам_00-022_Август/9d7520cc-d4f2-4055-8f61-79f99d186d62.jpg","open")</f>
        <v/>
      </c>
      <c r="C5523" t="inlineStr">
        <is>
          <t>cbf95b01-f708-45a3-9ec0-3603469b538e</t>
        </is>
      </c>
      <c r="D5523" t="n">
        <v>55.71926</v>
      </c>
      <c r="E5523" t="n">
        <v>37.49555</v>
      </c>
      <c r="F5523" t="inlineStr"/>
      <c r="G5523" t="inlineStr"/>
      <c r="H5523" t="inlineStr"/>
    </row>
    <row r="5524">
      <c r="A5524" t="inlineStr">
        <is>
          <t>46a4eb11-8173-484b-b57d-cecb641ded7d.jpg</t>
        </is>
      </c>
      <c r="B5524">
        <f>HYPERLINK("Объекты недвижимости, не соответствующие градостроительным нормам_00-022_Август/46a4eb11-8173-484b-b57d-cecb641ded7d.jpg","open")</f>
        <v/>
      </c>
      <c r="C5524" t="inlineStr">
        <is>
          <t>cbf95b01-f708-45a3-9ec0-3603469b538e</t>
        </is>
      </c>
      <c r="D5524" t="n">
        <v>55.70604</v>
      </c>
      <c r="E5524" t="n">
        <v>37.48663</v>
      </c>
      <c r="F5524" t="inlineStr"/>
      <c r="G5524" t="inlineStr"/>
      <c r="H5524" t="inlineStr"/>
    </row>
    <row r="5525">
      <c r="A5525" t="inlineStr">
        <is>
          <t>96b99454-6cab-4c8a-bf8b-6ed4f5a1940b.jpg</t>
        </is>
      </c>
      <c r="B5525">
        <f>HYPERLINK("Объекты недвижимости, не соответствующие градостроительным нормам_00-022_Август/96b99454-6cab-4c8a-bf8b-6ed4f5a1940b.jpg","open")</f>
        <v/>
      </c>
      <c r="C5525" t="inlineStr">
        <is>
          <t>0dd30d74-4dbc-46a8-b638-91e1431bb398</t>
        </is>
      </c>
      <c r="D5525" t="n">
        <v>55.78072</v>
      </c>
      <c r="E5525" t="n">
        <v>37.71842</v>
      </c>
      <c r="F5525" t="inlineStr"/>
      <c r="G5525" t="inlineStr"/>
      <c r="H5525" t="inlineStr"/>
    </row>
    <row r="5526">
      <c r="A5526" t="inlineStr">
        <is>
          <t>aed6373f-65c2-41fd-90fb-747a26defc82.jpg</t>
        </is>
      </c>
      <c r="B5526">
        <f>HYPERLINK("Объекты недвижимости, не соответствующие градостроительным нормам_00-022_Август/aed6373f-65c2-41fd-90fb-747a26defc82.jpg","open")</f>
        <v/>
      </c>
      <c r="C5526" t="inlineStr">
        <is>
          <t>8cde1fd0-eca1-4510-86ab-3c743b65fdfc</t>
        </is>
      </c>
      <c r="D5526" t="n">
        <v>55.71066</v>
      </c>
      <c r="E5526" t="n">
        <v>37.47297</v>
      </c>
      <c r="F5526" t="inlineStr"/>
      <c r="G5526" t="inlineStr"/>
      <c r="H5526" t="inlineStr"/>
    </row>
    <row r="5527">
      <c r="A5527" t="inlineStr">
        <is>
          <t>57eba066-5733-4279-b3ba-f92478bceb1f.jpg</t>
        </is>
      </c>
      <c r="B5527">
        <f>HYPERLINK("Объекты недвижимости, не соответствующие градостроительным нормам_00-022_Август/57eba066-5733-4279-b3ba-f92478bceb1f.jpg","open")</f>
        <v/>
      </c>
      <c r="C5527" t="inlineStr">
        <is>
          <t>0dd30d74-4dbc-46a8-b638-91e1431bb398</t>
        </is>
      </c>
      <c r="D5527" t="n">
        <v>55.78225</v>
      </c>
      <c r="E5527" t="n">
        <v>37.71897</v>
      </c>
      <c r="F5527" t="inlineStr"/>
      <c r="G5527" t="inlineStr"/>
      <c r="H5527" t="inlineStr"/>
    </row>
    <row r="5528">
      <c r="A5528" t="inlineStr">
        <is>
          <t>64060dba-52a3-4587-876d-57f63b9ba995.jpg</t>
        </is>
      </c>
      <c r="B5528">
        <f>HYPERLINK("Объекты недвижимости, не соответствующие градостроительным нормам_00-022_Август/64060dba-52a3-4587-876d-57f63b9ba995.jpg","open")</f>
        <v/>
      </c>
      <c r="C5528" t="inlineStr">
        <is>
          <t>8cde1fd0-eca1-4510-86ab-3c743b65fdfc</t>
        </is>
      </c>
      <c r="D5528" t="n">
        <v>55.71761</v>
      </c>
      <c r="E5528" t="n">
        <v>37.45203</v>
      </c>
      <c r="F5528" t="inlineStr"/>
      <c r="G5528" t="inlineStr"/>
      <c r="H5528" t="inlineStr"/>
    </row>
    <row r="5529">
      <c r="A5529" t="inlineStr">
        <is>
          <t>49bb7878-0aa8-4b37-b7e8-d6b12fa2ab2a.jpg</t>
        </is>
      </c>
      <c r="B5529">
        <f>HYPERLINK("Объекты недвижимости, не соответствующие градостроительным нормам_00-022_Август/49bb7878-0aa8-4b37-b7e8-d6b12fa2ab2a.jpg","open")</f>
        <v/>
      </c>
      <c r="C5529" t="inlineStr">
        <is>
          <t>8cde1fd0-eca1-4510-86ab-3c743b65fdfc</t>
        </is>
      </c>
      <c r="D5529" t="n">
        <v>55.70313</v>
      </c>
      <c r="E5529" t="n">
        <v>37.45779</v>
      </c>
      <c r="F5529" t="inlineStr"/>
      <c r="G5529" t="inlineStr"/>
      <c r="H5529" t="inlineStr"/>
    </row>
    <row r="5530">
      <c r="A5530" t="inlineStr">
        <is>
          <t>a365d777-955a-413a-8e33-8ffb7d53a441.jpg</t>
        </is>
      </c>
      <c r="B5530">
        <f>HYPERLINK("Объекты недвижимости, не соответствующие градостроительным нормам_00-022_Август/a365d777-955a-413a-8e33-8ffb7d53a441.jpg","open")</f>
        <v/>
      </c>
      <c r="C5530" t="inlineStr">
        <is>
          <t>1c951e11-4940-43c6-a447-394097e5609a</t>
        </is>
      </c>
      <c r="D5530" t="n">
        <v>55.68179</v>
      </c>
      <c r="E5530" t="n">
        <v>37.41785</v>
      </c>
      <c r="F5530" t="inlineStr"/>
      <c r="G5530" t="inlineStr"/>
      <c r="H5530" t="inlineStr"/>
    </row>
    <row r="5531">
      <c r="A5531" t="inlineStr">
        <is>
          <t>3016b062-3187-415d-9f5d-1011410f3524.jpg</t>
        </is>
      </c>
      <c r="B5531">
        <f>HYPERLINK("Объекты недвижимости, не соответствующие градостроительным нормам_00-022_Август/3016b062-3187-415d-9f5d-1011410f3524.jpg","open")</f>
        <v/>
      </c>
      <c r="C5531" t="inlineStr">
        <is>
          <t>8cde1fd0-eca1-4510-86ab-3c743b65fdfc</t>
        </is>
      </c>
      <c r="D5531" t="n">
        <v>55.68187</v>
      </c>
      <c r="E5531" t="n">
        <v>37.4178</v>
      </c>
      <c r="F5531" t="inlineStr"/>
      <c r="G5531" t="inlineStr"/>
      <c r="H5531" t="inlineStr"/>
    </row>
    <row r="5532">
      <c r="A5532" t="inlineStr">
        <is>
          <t>770b3cb4-7a84-4dd0-98d9-0bce22819f5b.jpg</t>
        </is>
      </c>
      <c r="B5532">
        <f>HYPERLINK("Объекты недвижимости, не соответствующие градостроительным нормам_00-022_Август/770b3cb4-7a84-4dd0-98d9-0bce22819f5b.jpg","open")</f>
        <v/>
      </c>
      <c r="C5532" t="inlineStr">
        <is>
          <t>8cde1fd0-eca1-4510-86ab-3c743b65fdfc</t>
        </is>
      </c>
      <c r="D5532" t="n">
        <v>55.66775</v>
      </c>
      <c r="E5532" t="n">
        <v>37.44369</v>
      </c>
      <c r="F5532" t="inlineStr"/>
      <c r="G5532" t="inlineStr"/>
      <c r="H5532" t="inlineStr"/>
    </row>
    <row r="5533">
      <c r="A5533" t="inlineStr">
        <is>
          <t>0f72b81c-bc47-44b5-af05-077ed76caa37.jpg</t>
        </is>
      </c>
      <c r="B5533">
        <f>HYPERLINK("Объекты недвижимости, не соответствующие градостроительным нормам_00-022_Август/0f72b81c-bc47-44b5-af05-077ed76caa37.jpg","open")</f>
        <v/>
      </c>
      <c r="C5533" t="inlineStr">
        <is>
          <t>ed2bf0f1-3a66-4913-896e-4420a9796c0b</t>
        </is>
      </c>
      <c r="D5533" t="n">
        <v>55.71075</v>
      </c>
      <c r="E5533" t="n">
        <v>37.67194</v>
      </c>
      <c r="F5533" t="inlineStr"/>
      <c r="G5533" t="inlineStr"/>
      <c r="H5533" t="inlineStr"/>
    </row>
    <row r="5534">
      <c r="A5534" t="inlineStr">
        <is>
          <t>9e9177c6-72dd-4f6f-b557-ab569309eada.jpg</t>
        </is>
      </c>
      <c r="B5534">
        <f>HYPERLINK("Объекты недвижимости, не соответствующие градостроительным нормам_00-022_Август/9e9177c6-72dd-4f6f-b557-ab569309eada.jpg","open")</f>
        <v/>
      </c>
      <c r="C5534" t="inlineStr">
        <is>
          <t>8cde1fd0-eca1-4510-86ab-3c743b65fdfc</t>
        </is>
      </c>
      <c r="D5534" t="n">
        <v>55.70068</v>
      </c>
      <c r="E5534" t="n">
        <v>37.4597</v>
      </c>
      <c r="F5534" t="inlineStr"/>
      <c r="G5534" t="inlineStr"/>
      <c r="H5534" t="inlineStr"/>
    </row>
    <row r="5535">
      <c r="A5535" t="inlineStr">
        <is>
          <t>7955d751-4420-402b-9abf-0c1dd0407119.jpg</t>
        </is>
      </c>
      <c r="B5535">
        <f>HYPERLINK("Объекты недвижимости, не соответствующие градостроительным нормам_00-022_Август/7955d751-4420-402b-9abf-0c1dd0407119.jpg","open")</f>
        <v/>
      </c>
      <c r="C5535" t="inlineStr">
        <is>
          <t>1a55986c-2c3f-40c0-b3d1-014dce77832e</t>
        </is>
      </c>
      <c r="D5535" t="n">
        <v>55.73282</v>
      </c>
      <c r="E5535" t="n">
        <v>37.70285</v>
      </c>
      <c r="F5535" t="inlineStr"/>
      <c r="G5535" t="inlineStr"/>
      <c r="H5535" t="inlineStr"/>
    </row>
    <row r="5536">
      <c r="A5536" t="inlineStr">
        <is>
          <t>0fb35410-f8c4-4414-837c-ea87b2b48d6a.jpg</t>
        </is>
      </c>
      <c r="B5536">
        <f>HYPERLINK("Объекты недвижимости, не соответствующие градостроительным нормам_00-022_Август/0fb35410-f8c4-4414-837c-ea87b2b48d6a.jpg","open")</f>
        <v/>
      </c>
      <c r="C5536" t="inlineStr">
        <is>
          <t>ed2bf0f1-3a66-4913-896e-4420a9796c0b</t>
        </is>
      </c>
      <c r="D5536" t="n">
        <v>55.74271</v>
      </c>
      <c r="E5536" t="n">
        <v>37.69762</v>
      </c>
      <c r="F5536" t="inlineStr"/>
      <c r="G5536" t="inlineStr"/>
      <c r="H5536" t="inlineStr"/>
    </row>
    <row r="5537">
      <c r="A5537" t="inlineStr">
        <is>
          <t>12af2612-5cd7-4473-9192-0177fbff4c4b.jpg</t>
        </is>
      </c>
      <c r="B5537">
        <f>HYPERLINK("Объекты недвижимости, не соответствующие градостроительным нормам_00-022_Август/12af2612-5cd7-4473-9192-0177fbff4c4b.jpg","open")</f>
        <v/>
      </c>
      <c r="C5537" t="inlineStr">
        <is>
          <t>ed2bf0f1-3a66-4913-896e-4420a9796c0b</t>
        </is>
      </c>
      <c r="D5537" t="n">
        <v>55.7435</v>
      </c>
      <c r="E5537" t="n">
        <v>37.69784</v>
      </c>
      <c r="F5537" t="inlineStr"/>
      <c r="G5537" t="inlineStr"/>
      <c r="H5537" t="inlineStr"/>
    </row>
    <row r="5538">
      <c r="A5538" t="inlineStr">
        <is>
          <t>664907b1-f833-4a42-8b5c-37c15d56c10c.jpg</t>
        </is>
      </c>
      <c r="B5538">
        <f>HYPERLINK("Объекты недвижимости, не соответствующие градостроительным нормам_00-022_Август/664907b1-f833-4a42-8b5c-37c15d56c10c.jpg","open")</f>
        <v/>
      </c>
      <c r="C5538" t="inlineStr">
        <is>
          <t>ed2bf0f1-3a66-4913-896e-4420a9796c0b</t>
        </is>
      </c>
      <c r="D5538" t="n">
        <v>55.7454</v>
      </c>
      <c r="E5538" t="n">
        <v>37.69955</v>
      </c>
      <c r="F5538" t="inlineStr"/>
      <c r="G5538" t="inlineStr"/>
      <c r="H5538" t="inlineStr"/>
    </row>
    <row r="5539">
      <c r="A5539" t="inlineStr">
        <is>
          <t>2759471f-08b4-49df-af15-66809b7a6db1.jpg</t>
        </is>
      </c>
      <c r="B5539">
        <f>HYPERLINK("Объекты недвижимости, не соответствующие градостроительным нормам_00-022_Август/2759471f-08b4-49df-af15-66809b7a6db1.jpg","open")</f>
        <v/>
      </c>
      <c r="C5539" t="inlineStr">
        <is>
          <t>1c951e11-4940-43c6-a447-394097e5609a</t>
        </is>
      </c>
      <c r="D5539" t="n">
        <v>55.71356</v>
      </c>
      <c r="E5539" t="n">
        <v>37.45424</v>
      </c>
      <c r="F5539" t="inlineStr"/>
      <c r="G5539" t="inlineStr"/>
      <c r="H5539" t="inlineStr"/>
    </row>
    <row r="5540">
      <c r="A5540" t="inlineStr">
        <is>
          <t>f859d6e6-c8f5-4773-978a-0cd033910e83.jpg</t>
        </is>
      </c>
      <c r="B5540">
        <f>HYPERLINK("Объекты недвижимости, не соответствующие градостроительным нормам_00-022_Август/f859d6e6-c8f5-4773-978a-0cd033910e83.jpg","open")</f>
        <v/>
      </c>
      <c r="C5540" t="inlineStr">
        <is>
          <t>8cde1fd0-eca1-4510-86ab-3c743b65fdfc</t>
        </is>
      </c>
      <c r="D5540" t="n">
        <v>55.70096</v>
      </c>
      <c r="E5540" t="n">
        <v>37.60958</v>
      </c>
      <c r="F5540" t="inlineStr"/>
      <c r="G5540" t="inlineStr"/>
      <c r="H5540" t="inlineStr"/>
    </row>
    <row r="5541">
      <c r="A5541" t="inlineStr">
        <is>
          <t>35072128-b945-4409-bdf8-39ed8b49ae68.jpg</t>
        </is>
      </c>
      <c r="B5541">
        <f>HYPERLINK("Объекты недвижимости, не соответствующие градостроительным нормам_00-022_Август/35072128-b945-4409-bdf8-39ed8b49ae68.jpg","open")</f>
        <v/>
      </c>
      <c r="C5541" t="inlineStr">
        <is>
          <t>fb40ed24-21ef-458a-a239-038ab19932cc</t>
        </is>
      </c>
      <c r="D5541" t="n">
        <v>55.82479</v>
      </c>
      <c r="E5541" t="n">
        <v>37.72136</v>
      </c>
      <c r="F5541" t="inlineStr"/>
      <c r="G5541" t="inlineStr"/>
      <c r="H5541" t="inlineStr"/>
    </row>
    <row r="5542">
      <c r="A5542" t="inlineStr">
        <is>
          <t>74ab4a96-cb51-436d-bb57-299927bb9e91.jpg</t>
        </is>
      </c>
      <c r="B5542">
        <f>HYPERLINK("Объекты недвижимости, не соответствующие градостроительным нормам_00-022_Август/74ab4a96-cb51-436d-bb57-299927bb9e91.jpg","open")</f>
        <v/>
      </c>
      <c r="C5542" t="inlineStr">
        <is>
          <t>8cde1fd0-eca1-4510-86ab-3c743b65fdfc</t>
        </is>
      </c>
      <c r="D5542" t="n">
        <v>55.74258</v>
      </c>
      <c r="E5542" t="n">
        <v>37.69759</v>
      </c>
      <c r="F5542" t="inlineStr"/>
      <c r="G5542" t="inlineStr"/>
      <c r="H5542" t="inlineStr"/>
    </row>
    <row r="5543">
      <c r="A5543" t="inlineStr">
        <is>
          <t>b9feda1f-9a81-4ff8-9f80-5862f29469a2.jpg</t>
        </is>
      </c>
      <c r="B5543">
        <f>HYPERLINK("Объекты недвижимости, не соответствующие градостроительным нормам_00-022_Август/b9feda1f-9a81-4ff8-9f80-5862f29469a2.jpg","open")</f>
        <v/>
      </c>
      <c r="C5543" t="inlineStr">
        <is>
          <t>8cde1fd0-eca1-4510-86ab-3c743b65fdfc</t>
        </is>
      </c>
      <c r="D5543" t="n">
        <v>55.74411</v>
      </c>
      <c r="E5543" t="n">
        <v>37.69887</v>
      </c>
      <c r="F5543" t="inlineStr"/>
      <c r="G5543" t="inlineStr"/>
      <c r="H5543" t="inlineStr"/>
    </row>
    <row r="5544">
      <c r="A5544" t="inlineStr">
        <is>
          <t>dc4ba6b4-4e05-44f9-91ca-1b45bb173ee2.jpg</t>
        </is>
      </c>
      <c r="B5544">
        <f>HYPERLINK("Объекты недвижимости, не соответствующие градостроительным нормам_00-022_Август/dc4ba6b4-4e05-44f9-91ca-1b45bb173ee2.jpg","open")</f>
        <v/>
      </c>
      <c r="C5544" t="inlineStr">
        <is>
          <t>8cde1fd0-eca1-4510-86ab-3c743b65fdfc</t>
        </is>
      </c>
      <c r="D5544" t="n">
        <v>55.75029</v>
      </c>
      <c r="E5544" t="n">
        <v>37.70865</v>
      </c>
      <c r="F5544" t="inlineStr"/>
      <c r="G5544" t="inlineStr"/>
      <c r="H5544" t="inlineStr"/>
    </row>
    <row r="5545">
      <c r="A5545" t="inlineStr">
        <is>
          <t>2c59e312-dc8d-453c-844f-193daca96ad5.jpg</t>
        </is>
      </c>
      <c r="B5545">
        <f>HYPERLINK("Объекты недвижимости, не соответствующие градостроительным нормам_00-022_Август/2c59e312-dc8d-453c-844f-193daca96ad5.jpg","open")</f>
        <v/>
      </c>
      <c r="C5545" t="inlineStr">
        <is>
          <t>8cde1fd0-eca1-4510-86ab-3c743b65fdfc</t>
        </is>
      </c>
      <c r="D5545" t="n">
        <v>55.7503</v>
      </c>
      <c r="E5545" t="n">
        <v>37.70866</v>
      </c>
      <c r="F5545" t="inlineStr"/>
      <c r="G5545" t="inlineStr"/>
      <c r="H5545" t="inlineStr"/>
    </row>
    <row r="5546">
      <c r="A5546" t="inlineStr">
        <is>
          <t>6b40b2aa-d051-4d12-8c6b-a8d65d86df8b.jpg</t>
        </is>
      </c>
      <c r="B5546">
        <f>HYPERLINK("Объекты недвижимости, не соответствующие градостроительным нормам_00-022_Август/6b40b2aa-d051-4d12-8c6b-a8d65d86df8b.jpg","open")</f>
        <v/>
      </c>
      <c r="C5546" t="inlineStr">
        <is>
          <t>f6f80c84-5569-48fd-b627-6f41ce4c61c4</t>
        </is>
      </c>
      <c r="D5546" t="n">
        <v>55.74503</v>
      </c>
      <c r="E5546" t="n">
        <v>37.69851</v>
      </c>
      <c r="F5546" t="inlineStr"/>
      <c r="G5546" t="inlineStr"/>
      <c r="H5546" t="inlineStr"/>
    </row>
    <row r="5547">
      <c r="A5547" t="inlineStr">
        <is>
          <t>5b0becb5-7220-404a-b21e-2be95ad37101.jpg</t>
        </is>
      </c>
      <c r="B5547">
        <f>HYPERLINK("Объекты недвижимости, не соответствующие градостроительным нормам_00-022_Август/5b0becb5-7220-404a-b21e-2be95ad37101.jpg","open")</f>
        <v/>
      </c>
      <c r="C5547" t="inlineStr">
        <is>
          <t>caa4772d-6278-4484-a046-ee25514bf521</t>
        </is>
      </c>
      <c r="D5547" t="n">
        <v>55.74503</v>
      </c>
      <c r="E5547" t="n">
        <v>37.69851</v>
      </c>
      <c r="F5547" t="inlineStr"/>
      <c r="G5547" t="inlineStr"/>
      <c r="H5547" t="inlineStr"/>
    </row>
    <row r="5548">
      <c r="A5548" t="inlineStr">
        <is>
          <t>ee5b08fd-0834-45b2-b264-16158b7eb406.jpg</t>
        </is>
      </c>
      <c r="B5548">
        <f>HYPERLINK("Объекты недвижимости, не соответствующие градостроительным нормам_00-022_Август/ee5b08fd-0834-45b2-b264-16158b7eb406.jpg","open")</f>
        <v/>
      </c>
      <c r="C5548" t="inlineStr">
        <is>
          <t>e90a3ac0-5b70-4ede-abeb-382371713306</t>
        </is>
      </c>
      <c r="D5548" t="n">
        <v>55.65779</v>
      </c>
      <c r="E5548" t="n">
        <v>37.52021</v>
      </c>
      <c r="F5548" t="inlineStr"/>
      <c r="G5548" t="inlineStr"/>
      <c r="H5548" t="inlineStr"/>
    </row>
    <row r="5549">
      <c r="A5549" t="inlineStr">
        <is>
          <t>b0b91639-dc69-4de9-a3bd-a30ce5c1ff03.jpg</t>
        </is>
      </c>
      <c r="B5549">
        <f>HYPERLINK("Объекты недвижимости, не соответствующие градостроительным нормам_00-022_Август/b0b91639-dc69-4de9-a3bd-a30ce5c1ff03.jpg","open")</f>
        <v/>
      </c>
      <c r="C5549" t="inlineStr">
        <is>
          <t>db8b536c-32f2-4d9a-ae08-679d227e61f1</t>
        </is>
      </c>
      <c r="D5549" t="n">
        <v>55.65779</v>
      </c>
      <c r="E5549" t="n">
        <v>37.52021</v>
      </c>
      <c r="F5549" t="inlineStr"/>
      <c r="G5549" t="inlineStr"/>
      <c r="H5549" t="inlineStr"/>
    </row>
    <row r="5550">
      <c r="A5550" t="inlineStr">
        <is>
          <t>dd1ac77a-81ff-4db0-9b6e-efc744bbe8c0.jpg</t>
        </is>
      </c>
      <c r="B5550">
        <f>HYPERLINK("Объекты недвижимости, не соответствующие градостроительным нормам_00-022_Август/dd1ac77a-81ff-4db0-9b6e-efc744bbe8c0.jpg","open")</f>
        <v/>
      </c>
      <c r="C5550" t="inlineStr">
        <is>
          <t>db8b536c-32f2-4d9a-ae08-679d227e61f1</t>
        </is>
      </c>
      <c r="D5550" t="n">
        <v>55.65779</v>
      </c>
      <c r="E5550" t="n">
        <v>37.52021</v>
      </c>
      <c r="F5550" t="inlineStr"/>
      <c r="G5550" t="inlineStr"/>
      <c r="H5550" t="inlineStr"/>
    </row>
    <row r="5551">
      <c r="A5551" t="inlineStr">
        <is>
          <t>d7830982-afb9-45cd-a65d-0a2af1eb020d.jpg</t>
        </is>
      </c>
      <c r="B5551">
        <f>HYPERLINK("Объекты недвижимости, не соответствующие градостроительным нормам_00-022_Август/d7830982-afb9-45cd-a65d-0a2af1eb020d.jpg","open")</f>
        <v/>
      </c>
      <c r="C5551" t="inlineStr">
        <is>
          <t>e26f5fc2-1353-4f29-85f3-87c56419161c</t>
        </is>
      </c>
      <c r="D5551" t="n">
        <v>55.68726</v>
      </c>
      <c r="E5551" t="n">
        <v>37.42236</v>
      </c>
      <c r="F5551" t="inlineStr"/>
      <c r="G5551" t="inlineStr"/>
      <c r="H5551" t="inlineStr"/>
    </row>
    <row r="5552">
      <c r="A5552" t="inlineStr">
        <is>
          <t>f7409ae8-7aec-4b96-9355-385fa7ff61ae.jpg</t>
        </is>
      </c>
      <c r="B5552">
        <f>HYPERLINK("Объекты недвижимости, не соответствующие градостроительным нормам_00-022_Август/f7409ae8-7aec-4b96-9355-385fa7ff61ae.jpg","open")</f>
        <v/>
      </c>
      <c r="C5552" t="inlineStr">
        <is>
          <t>2ba4f567-3981-4fd7-ac4a-45e8b3d68429</t>
        </is>
      </c>
      <c r="D5552" t="n">
        <v>51.83716</v>
      </c>
      <c r="E5552" t="n">
        <v>39.19407</v>
      </c>
      <c r="F5552" t="inlineStr"/>
      <c r="G5552" t="inlineStr"/>
      <c r="H5552" t="inlineStr"/>
    </row>
    <row r="5553">
      <c r="A5553" t="inlineStr">
        <is>
          <t>1e235aea-47de-4dca-9541-0c8596b5c3e0.jpg</t>
        </is>
      </c>
      <c r="B5553">
        <f>HYPERLINK("Объекты недвижимости, не соответствующие градостроительным нормам_00-022_Август/1e235aea-47de-4dca-9541-0c8596b5c3e0.jpg","open")</f>
        <v/>
      </c>
      <c r="C5553" t="inlineStr">
        <is>
          <t>8b2675e2-7f40-47a9-a462-7c9feecd299c</t>
        </is>
      </c>
      <c r="D5553" t="n">
        <v>55.68818</v>
      </c>
      <c r="E5553" t="n">
        <v>37.43445</v>
      </c>
      <c r="F5553" t="inlineStr"/>
      <c r="G5553" t="inlineStr"/>
      <c r="H5553" t="inlineStr"/>
    </row>
    <row r="5554">
      <c r="A5554" t="inlineStr">
        <is>
          <t>64f18803-3543-4b39-9b4c-b8ff350dd52d.jpg</t>
        </is>
      </c>
      <c r="B5554">
        <f>HYPERLINK("Объекты недвижимости, не соответствующие градостроительным нормам_00-022_Август/64f18803-3543-4b39-9b4c-b8ff350dd52d.jpg","open")</f>
        <v/>
      </c>
      <c r="C5554" t="inlineStr">
        <is>
          <t>cbf95b01-f708-45a3-9ec0-3603469b538e</t>
        </is>
      </c>
      <c r="D5554" t="n">
        <v>55.72907</v>
      </c>
      <c r="E5554" t="n">
        <v>37.51719</v>
      </c>
      <c r="F5554" t="inlineStr"/>
      <c r="G5554" t="inlineStr"/>
      <c r="H5554" t="inlineStr"/>
    </row>
    <row r="5555">
      <c r="A5555" t="inlineStr">
        <is>
          <t>9f16283d-59cb-43c4-a00e-acbedb35e3ab.jpg</t>
        </is>
      </c>
      <c r="B5555">
        <f>HYPERLINK("Объекты недвижимости, не соответствующие градостроительным нормам_00-022_Август/9f16283d-59cb-43c4-a00e-acbedb35e3ab.jpg","open")</f>
        <v/>
      </c>
      <c r="C5555" t="inlineStr">
        <is>
          <t>6e2567a0-1fb9-40d5-a0e7-0adb480d2965</t>
        </is>
      </c>
      <c r="D5555" t="n">
        <v>55.78233</v>
      </c>
      <c r="E5555" t="n">
        <v>37.67113</v>
      </c>
      <c r="F5555" t="inlineStr"/>
      <c r="G5555" t="inlineStr"/>
      <c r="H5555" t="inlineStr"/>
    </row>
    <row r="5556">
      <c r="A5556" t="inlineStr">
        <is>
          <t>fa1f7915-bc23-47c0-a8d9-3bb9ebeaec43.jpg</t>
        </is>
      </c>
      <c r="B5556">
        <f>HYPERLINK("Объекты недвижимости, не соответствующие градостроительным нормам_00-022_Август/fa1f7915-bc23-47c0-a8d9-3bb9ebeaec43.jpg","open")</f>
        <v/>
      </c>
      <c r="C5556" t="inlineStr">
        <is>
          <t>8b2675e2-7f40-47a9-a462-7c9feecd299c</t>
        </is>
      </c>
      <c r="D5556" t="n">
        <v>55.70966</v>
      </c>
      <c r="E5556" t="n">
        <v>37.52267</v>
      </c>
      <c r="F5556" t="inlineStr"/>
      <c r="G5556" t="inlineStr"/>
      <c r="H5556" t="inlineStr"/>
    </row>
    <row r="5557">
      <c r="A5557" t="inlineStr">
        <is>
          <t>aa6f94ca-05a9-48c0-9461-0547a51b6ef7.jpg</t>
        </is>
      </c>
      <c r="B5557">
        <f>HYPERLINK("Объекты недвижимости, не соответствующие градостроительным нормам_00-022_Август/aa6f94ca-05a9-48c0-9461-0547a51b6ef7.jpg","open")</f>
        <v/>
      </c>
      <c r="C5557" t="inlineStr">
        <is>
          <t>cbf95b01-f708-45a3-9ec0-3603469b538e</t>
        </is>
      </c>
      <c r="D5557" t="n">
        <v>55.73815</v>
      </c>
      <c r="E5557" t="n">
        <v>37.58661</v>
      </c>
      <c r="F5557" t="inlineStr"/>
      <c r="G5557" t="inlineStr"/>
      <c r="H5557" t="inlineStr"/>
    </row>
    <row r="5558">
      <c r="A5558" t="inlineStr">
        <is>
          <t>1c8ace9c-02fa-49dc-b3ac-1cb33d1a9c2b.jpg</t>
        </is>
      </c>
      <c r="B5558">
        <f>HYPERLINK("Объекты недвижимости, не соответствующие градостроительным нормам_00-022_Август/1c8ace9c-02fa-49dc-b3ac-1cb33d1a9c2b.jpg","open")</f>
        <v/>
      </c>
      <c r="C5558" t="inlineStr">
        <is>
          <t>cbf95b01-f708-45a3-9ec0-3603469b538e</t>
        </is>
      </c>
      <c r="D5558" t="n">
        <v>55.73775</v>
      </c>
      <c r="E5558" t="n">
        <v>37.58749</v>
      </c>
      <c r="F5558" t="inlineStr"/>
      <c r="G5558" t="inlineStr"/>
      <c r="H5558" t="inlineStr"/>
    </row>
    <row r="5559">
      <c r="A5559" t="inlineStr">
        <is>
          <t>e0023773-4d57-49e0-8c91-a31c482f70c6.jpg</t>
        </is>
      </c>
      <c r="B5559">
        <f>HYPERLINK("Объекты недвижимости, не соответствующие градостроительным нормам_00-022_Август/e0023773-4d57-49e0-8c91-a31c482f70c6.jpg","open")</f>
        <v/>
      </c>
      <c r="C5559" t="inlineStr">
        <is>
          <t>cbf95b01-f708-45a3-9ec0-3603469b538e</t>
        </is>
      </c>
      <c r="D5559" t="n">
        <v>55.73736</v>
      </c>
      <c r="E5559" t="n">
        <v>37.59793</v>
      </c>
      <c r="F5559" t="inlineStr"/>
      <c r="G5559" t="inlineStr"/>
      <c r="H5559" t="inlineStr"/>
    </row>
    <row r="5560">
      <c r="A5560" t="inlineStr">
        <is>
          <t>4e79934b-7c3e-4652-be0c-5855257732ad.jpg</t>
        </is>
      </c>
      <c r="B5560">
        <f>HYPERLINK("Объекты недвижимости, не соответствующие градостроительным нормам_00-022_Август/4e79934b-7c3e-4652-be0c-5855257732ad.jpg","open")</f>
        <v/>
      </c>
      <c r="C5560" t="inlineStr">
        <is>
          <t>cbf95b01-f708-45a3-9ec0-3603469b538e</t>
        </is>
      </c>
      <c r="D5560" t="n">
        <v>55.73736</v>
      </c>
      <c r="E5560" t="n">
        <v>37.59793</v>
      </c>
      <c r="F5560" t="inlineStr"/>
      <c r="G5560" t="inlineStr"/>
      <c r="H5560" t="inlineStr"/>
    </row>
    <row r="5561">
      <c r="A5561" t="inlineStr">
        <is>
          <t>1440aa00-fdad-48ac-b9a0-05082577c336.jpg</t>
        </is>
      </c>
      <c r="B5561">
        <f>HYPERLINK("Объекты недвижимости, не соответствующие градостроительным нормам_00-022_Август/1440aa00-fdad-48ac-b9a0-05082577c336.jpg","open")</f>
        <v/>
      </c>
      <c r="C5561" t="inlineStr">
        <is>
          <t>cbf95b01-f708-45a3-9ec0-3603469b538e</t>
        </is>
      </c>
      <c r="D5561" t="n">
        <v>55.73736</v>
      </c>
      <c r="E5561" t="n">
        <v>37.59793</v>
      </c>
      <c r="F5561" t="inlineStr"/>
      <c r="G5561" t="inlineStr"/>
      <c r="H5561" t="inlineStr"/>
    </row>
    <row r="5562">
      <c r="A5562" t="inlineStr">
        <is>
          <t>b3285eda-d5fc-4686-828d-fddf4ce6e211.jpg</t>
        </is>
      </c>
      <c r="B5562">
        <f>HYPERLINK("Объекты недвижимости, не соответствующие градостроительным нормам_00-022_Август/b3285eda-d5fc-4686-828d-fddf4ce6e211.jpg","open")</f>
        <v/>
      </c>
      <c r="C5562" t="inlineStr">
        <is>
          <t>750bf7e4-0f0f-4f1a-96af-607dc8c1f1c9</t>
        </is>
      </c>
      <c r="D5562" t="n">
        <v>45.04588</v>
      </c>
      <c r="E5562" t="n">
        <v>33.9755</v>
      </c>
      <c r="F5562" t="inlineStr"/>
      <c r="G5562" t="inlineStr"/>
      <c r="H5562" t="inlineStr"/>
    </row>
    <row r="5563">
      <c r="A5563" t="inlineStr">
        <is>
          <t>017b57e2-28a2-43d3-8001-b3b94bd34712.jpg</t>
        </is>
      </c>
      <c r="B5563">
        <f>HYPERLINK("Объекты недвижимости, не соответствующие градостроительным нормам_00-022_Август/017b57e2-28a2-43d3-8001-b3b94bd34712.jpg","open")</f>
        <v/>
      </c>
      <c r="C5563" t="inlineStr">
        <is>
          <t>31a713a9-b910-424b-b847-e0eaa2f70c70</t>
        </is>
      </c>
      <c r="D5563" t="n">
        <v>45.04574</v>
      </c>
      <c r="E5563" t="n">
        <v>33.97549</v>
      </c>
      <c r="F5563" t="inlineStr"/>
      <c r="G5563" t="inlineStr"/>
      <c r="H5563" t="inlineStr"/>
    </row>
    <row r="5564">
      <c r="A5564" t="inlineStr">
        <is>
          <t>099bbde7-9307-4283-b818-3e6136466324.jpg</t>
        </is>
      </c>
      <c r="B5564">
        <f>HYPERLINK("Объекты недвижимости, не соответствующие градостроительным нормам_00-022_Август/099bbde7-9307-4283-b818-3e6136466324.jpg","open")</f>
        <v/>
      </c>
      <c r="C5564" t="inlineStr">
        <is>
          <t>cbf95b01-f708-45a3-9ec0-3603469b538e</t>
        </is>
      </c>
      <c r="D5564" t="n">
        <v>55.73736</v>
      </c>
      <c r="E5564" t="n">
        <v>37.59793</v>
      </c>
      <c r="F5564" t="inlineStr"/>
      <c r="G5564" t="inlineStr"/>
      <c r="H5564" t="inlineStr"/>
    </row>
    <row r="5565">
      <c r="A5565" t="inlineStr">
        <is>
          <t>16cf2e30-54c7-43d7-8770-88597fbacc7d.jpg</t>
        </is>
      </c>
      <c r="B5565">
        <f>HYPERLINK("Объекты недвижимости, не соответствующие градостроительным нормам_00-022_Август/16cf2e30-54c7-43d7-8770-88597fbacc7d.jpg","open")</f>
        <v/>
      </c>
      <c r="C5565" t="inlineStr">
        <is>
          <t>a1a9db89-3f74-42ef-8fad-ad69705102cd</t>
        </is>
      </c>
      <c r="D5565" t="n">
        <v>55.73736</v>
      </c>
      <c r="E5565" t="n">
        <v>37.59793</v>
      </c>
      <c r="F5565" t="inlineStr"/>
      <c r="G5565" t="inlineStr"/>
      <c r="H5565" t="inlineStr"/>
    </row>
    <row r="5566">
      <c r="A5566" t="inlineStr">
        <is>
          <t>72e79b0a-a4b3-4a02-9637-fffaa382272f.jpg</t>
        </is>
      </c>
      <c r="B5566">
        <f>HYPERLINK("Объекты недвижимости, не соответствующие градостроительным нормам_00-022_Август/72e79b0a-a4b3-4a02-9637-fffaa382272f.jpg","open")</f>
        <v/>
      </c>
      <c r="C5566" t="inlineStr">
        <is>
          <t>cbf95b01-f708-45a3-9ec0-3603469b538e</t>
        </is>
      </c>
      <c r="D5566" t="n">
        <v>55.73736</v>
      </c>
      <c r="E5566" t="n">
        <v>37.59793</v>
      </c>
      <c r="F5566" t="inlineStr"/>
      <c r="G5566" t="inlineStr"/>
      <c r="H5566" t="inlineStr"/>
    </row>
    <row r="5567">
      <c r="A5567" t="inlineStr">
        <is>
          <t>281fb9d4-6158-49a9-86a6-e412bcfb486f.jpg</t>
        </is>
      </c>
      <c r="B5567">
        <f>HYPERLINK("Объекты недвижимости, не соответствующие градостроительным нормам_00-022_Август/281fb9d4-6158-49a9-86a6-e412bcfb486f.jpg","open")</f>
        <v/>
      </c>
      <c r="C5567" t="inlineStr">
        <is>
          <t>dd48f742-b338-42e2-bbaf-b3a9701b437c</t>
        </is>
      </c>
      <c r="D5567" t="n">
        <v>55.89095</v>
      </c>
      <c r="E5567" t="n">
        <v>37.66219</v>
      </c>
      <c r="F5567" t="inlineStr"/>
      <c r="G5567" t="inlineStr"/>
      <c r="H5567" t="inlineStr"/>
    </row>
    <row r="5568">
      <c r="A5568" t="inlineStr">
        <is>
          <t>457a5000-d241-4d77-ad48-e298691f3a2f.jpg</t>
        </is>
      </c>
      <c r="B5568">
        <f>HYPERLINK("Объекты недвижимости, не соответствующие градостроительным нормам_00-022_Август/457a5000-d241-4d77-ad48-e298691f3a2f.jpg","open")</f>
        <v/>
      </c>
      <c r="C5568" t="inlineStr">
        <is>
          <t>1231bbc5-e64c-4dc7-9acc-77710f47607a</t>
        </is>
      </c>
      <c r="D5568" t="n">
        <v>45.05436</v>
      </c>
      <c r="E5568" t="n">
        <v>33.98242</v>
      </c>
      <c r="F5568" t="inlineStr"/>
      <c r="G5568" t="inlineStr"/>
      <c r="H5568" t="inlineStr"/>
    </row>
    <row r="5569">
      <c r="A5569" t="inlineStr">
        <is>
          <t>971c0055-8a31-41ab-95ab-02408421412f.jpg</t>
        </is>
      </c>
      <c r="B5569">
        <f>HYPERLINK("Объекты недвижимости, не соответствующие градостроительным нормам_00-022_Август/971c0055-8a31-41ab-95ab-02408421412f.jpg","open")</f>
        <v/>
      </c>
      <c r="C5569" t="inlineStr">
        <is>
          <t>ffd931da-542f-43e9-979f-5552b17fe3dc</t>
        </is>
      </c>
      <c r="D5569" t="n">
        <v>55.62324</v>
      </c>
      <c r="E5569" t="n">
        <v>38.46487</v>
      </c>
      <c r="F5569" t="inlineStr"/>
      <c r="G5569" t="inlineStr"/>
      <c r="H5569" t="inlineStr"/>
    </row>
    <row r="5570">
      <c r="A5570" t="inlineStr">
        <is>
          <t>4f990dd0-53f9-44e7-893f-df8be914642d.jpg</t>
        </is>
      </c>
      <c r="B5570">
        <f>HYPERLINK("Объекты недвижимости, не соответствующие градостроительным нормам_00-022_Август/4f990dd0-53f9-44e7-893f-df8be914642d.jpg","open")</f>
        <v/>
      </c>
      <c r="C5570" t="inlineStr">
        <is>
          <t>12e795ad-2aa7-49de-b2da-2c6aa35a4559</t>
        </is>
      </c>
      <c r="D5570" t="n">
        <v>45.05301</v>
      </c>
      <c r="E5570" t="n">
        <v>33.9825</v>
      </c>
      <c r="F5570" t="inlineStr"/>
      <c r="G5570" t="inlineStr"/>
      <c r="H5570" t="inlineStr"/>
    </row>
    <row r="5571">
      <c r="A5571" t="inlineStr">
        <is>
          <t>a92e3143-72c6-4a39-ad38-f29018b1c583.jpg</t>
        </is>
      </c>
      <c r="B5571">
        <f>HYPERLINK("Объекты недвижимости, не соответствующие градостроительным нормам_00-022_Август/a92e3143-72c6-4a39-ad38-f29018b1c583.jpg","open")</f>
        <v/>
      </c>
      <c r="C5571" t="inlineStr">
        <is>
          <t>12e795ad-2aa7-49de-b2da-2c6aa35a4559</t>
        </is>
      </c>
      <c r="D5571" t="n">
        <v>45.05301</v>
      </c>
      <c r="E5571" t="n">
        <v>33.9825</v>
      </c>
      <c r="F5571" t="inlineStr"/>
      <c r="G5571" t="inlineStr"/>
      <c r="H5571" t="inlineStr"/>
    </row>
    <row r="5572">
      <c r="A5572" t="inlineStr">
        <is>
          <t>05135b4b-6a1a-4727-9d43-1817debcf69f.jpg</t>
        </is>
      </c>
      <c r="B5572">
        <f>HYPERLINK("Объекты недвижимости, не соответствующие градостроительным нормам_00-022_Август/05135b4b-6a1a-4727-9d43-1817debcf69f.jpg","open")</f>
        <v/>
      </c>
      <c r="C5572" t="inlineStr">
        <is>
          <t>ad64e6b9-1ed5-44d7-a101-4945a1f9dec6</t>
        </is>
      </c>
      <c r="D5572" t="n">
        <v>45.05301</v>
      </c>
      <c r="E5572" t="n">
        <v>33.9825</v>
      </c>
      <c r="F5572" t="inlineStr"/>
      <c r="G5572" t="inlineStr"/>
      <c r="H5572" t="inlineStr"/>
    </row>
    <row r="5573">
      <c r="A5573" t="inlineStr">
        <is>
          <t>f5c14766-0031-463c-87d7-76eae3f337a8.jpg</t>
        </is>
      </c>
      <c r="B5573">
        <f>HYPERLINK("Объекты недвижимости, не соответствующие градостроительным нормам_00-022_Август/f5c14766-0031-463c-87d7-76eae3f337a8.jpg","open")</f>
        <v/>
      </c>
      <c r="C5573" t="inlineStr">
        <is>
          <t>12e795ad-2aa7-49de-b2da-2c6aa35a4559</t>
        </is>
      </c>
      <c r="D5573" t="n">
        <v>45.05301</v>
      </c>
      <c r="E5573" t="n">
        <v>33.9825</v>
      </c>
      <c r="F5573" t="inlineStr"/>
      <c r="G5573" t="inlineStr"/>
      <c r="H5573" t="inlineStr"/>
    </row>
    <row r="5574">
      <c r="A5574" t="inlineStr">
        <is>
          <t>acb62b33-97be-49f3-a280-b863d871ba76.jpg</t>
        </is>
      </c>
      <c r="B5574">
        <f>HYPERLINK("Объекты недвижимости, не соответствующие градостроительным нормам_00-022_Август/acb62b33-97be-49f3-a280-b863d871ba76.jpg","open")</f>
        <v/>
      </c>
      <c r="C5574" t="inlineStr">
        <is>
          <t>b0b7ea82-53be-40d0-b992-e2fd18611d5c</t>
        </is>
      </c>
      <c r="D5574" t="n">
        <v>45.05193</v>
      </c>
      <c r="E5574" t="n">
        <v>33.97562</v>
      </c>
      <c r="F5574" t="inlineStr"/>
      <c r="G5574" t="inlineStr"/>
      <c r="H5574" t="inlineStr"/>
    </row>
    <row r="5575">
      <c r="A5575" t="inlineStr">
        <is>
          <t>eaf6ff2b-47a2-4afe-8ba1-4f57281fc1ba.jpg</t>
        </is>
      </c>
      <c r="B5575">
        <f>HYPERLINK("Объекты недвижимости, не соответствующие градостроительным нормам_00-022_Август/eaf6ff2b-47a2-4afe-8ba1-4f57281fc1ba.jpg","open")</f>
        <v/>
      </c>
      <c r="C5575" t="inlineStr">
        <is>
          <t>12e795ad-2aa7-49de-b2da-2c6aa35a4559</t>
        </is>
      </c>
      <c r="D5575" t="n">
        <v>45.05277</v>
      </c>
      <c r="E5575" t="n">
        <v>33.98215</v>
      </c>
      <c r="F5575" t="inlineStr"/>
      <c r="G5575" t="inlineStr"/>
      <c r="H5575" t="inlineStr"/>
    </row>
    <row r="5576">
      <c r="A5576" t="inlineStr">
        <is>
          <t>75f98de2-8095-4a70-aead-14ec448896b7.jpg</t>
        </is>
      </c>
      <c r="B5576">
        <f>HYPERLINK("Объекты недвижимости, не соответствующие градостроительным нормам_00-022_Август/75f98de2-8095-4a70-aead-14ec448896b7.jpg","open")</f>
        <v/>
      </c>
      <c r="C5576" t="inlineStr">
        <is>
          <t>8beacb4f-617e-4b34-8030-60c4dff5f8d1</t>
        </is>
      </c>
      <c r="D5576" t="n">
        <v>55.75994</v>
      </c>
      <c r="E5576" t="n">
        <v>37.58778</v>
      </c>
      <c r="F5576" t="inlineStr"/>
      <c r="G5576" t="inlineStr"/>
      <c r="H5576" t="inlineStr"/>
    </row>
    <row r="5577">
      <c r="A5577" t="inlineStr">
        <is>
          <t>57dc21f8-f0cc-4122-b86e-7f65fde7d4b8.jpg</t>
        </is>
      </c>
      <c r="B5577">
        <f>HYPERLINK("Объекты недвижимости, не соответствующие градостроительным нормам_00-022_Август/57dc21f8-f0cc-4122-b86e-7f65fde7d4b8.jpg","open")</f>
        <v/>
      </c>
      <c r="C5577" t="inlineStr">
        <is>
          <t>caa4772d-6278-4484-a046-ee25514bf521</t>
        </is>
      </c>
      <c r="D5577" t="n">
        <v>45.0504</v>
      </c>
      <c r="E5577" t="n">
        <v>33.97486</v>
      </c>
      <c r="F5577" t="inlineStr"/>
      <c r="G5577" t="inlineStr"/>
      <c r="H5577" t="inlineStr"/>
    </row>
    <row r="5578">
      <c r="A5578" t="inlineStr">
        <is>
          <t>eb755d3d-cade-4c47-a79d-fccc54953aae.jpg</t>
        </is>
      </c>
      <c r="B5578">
        <f>HYPERLINK("Объекты недвижимости, не соответствующие градостроительным нормам_00-022_Август/eb755d3d-cade-4c47-a79d-fccc54953aae.jpg","open")</f>
        <v/>
      </c>
      <c r="C5578" t="inlineStr">
        <is>
          <t>fce890a6-27da-4062-a046-08262a160ee6</t>
        </is>
      </c>
      <c r="D5578" t="n">
        <v>55.80078</v>
      </c>
      <c r="E5578" t="n">
        <v>37.69895</v>
      </c>
      <c r="F5578" t="inlineStr"/>
      <c r="G5578" t="inlineStr"/>
      <c r="H5578" t="inlineStr"/>
    </row>
    <row r="5579">
      <c r="A5579" t="inlineStr">
        <is>
          <t>9a8ce286-bf80-4b44-9ecc-3fa1855b6c35.jpg</t>
        </is>
      </c>
      <c r="B5579">
        <f>HYPERLINK("Объекты недвижимости, не соответствующие градостроительным нормам_00-022_Август/9a8ce286-bf80-4b44-9ecc-3fa1855b6c35.jpg","open")</f>
        <v/>
      </c>
      <c r="C5579" t="inlineStr">
        <is>
          <t>fce890a6-27da-4062-a046-08262a160ee6</t>
        </is>
      </c>
      <c r="D5579" t="n">
        <v>55.80078</v>
      </c>
      <c r="E5579" t="n">
        <v>37.69895</v>
      </c>
      <c r="F5579" t="inlineStr"/>
      <c r="G5579" t="inlineStr"/>
      <c r="H5579" t="inlineStr"/>
    </row>
    <row r="5580">
      <c r="A5580" t="inlineStr">
        <is>
          <t>46ba0600-1bd5-4026-90fe-776b704446a6.jpg</t>
        </is>
      </c>
      <c r="B5580">
        <f>HYPERLINK("Объекты недвижимости, не соответствующие градостроительным нормам_00-022_Август/46ba0600-1bd5-4026-90fe-776b704446a6.jpg","open")</f>
        <v/>
      </c>
      <c r="C5580" t="inlineStr">
        <is>
          <t>fce890a6-27da-4062-a046-08262a160ee6</t>
        </is>
      </c>
      <c r="D5580" t="n">
        <v>55.80078</v>
      </c>
      <c r="E5580" t="n">
        <v>37.69895</v>
      </c>
      <c r="F5580" t="inlineStr"/>
      <c r="G5580" t="inlineStr"/>
      <c r="H5580" t="inlineStr"/>
    </row>
    <row r="5581">
      <c r="A5581" t="inlineStr">
        <is>
          <t>8ccd6716-539d-4139-8d1f-c389f52bacf1.jpg</t>
        </is>
      </c>
      <c r="B5581">
        <f>HYPERLINK("Объекты недвижимости, не соответствующие градостроительным нормам_00-022_Август/8ccd6716-539d-4139-8d1f-c389f52bacf1.jpg","open")</f>
        <v/>
      </c>
      <c r="C5581" t="inlineStr">
        <is>
          <t>fce890a6-27da-4062-a046-08262a160ee6</t>
        </is>
      </c>
      <c r="D5581" t="n">
        <v>55.80078</v>
      </c>
      <c r="E5581" t="n">
        <v>37.69895</v>
      </c>
      <c r="F5581" t="inlineStr"/>
      <c r="G5581" t="inlineStr"/>
      <c r="H5581" t="inlineStr"/>
    </row>
    <row r="5582">
      <c r="A5582" t="inlineStr">
        <is>
          <t>01e1558a-b8d5-43e9-8232-d985acae83f8.jpg</t>
        </is>
      </c>
      <c r="B5582">
        <f>HYPERLINK("Объекты недвижимости, не соответствующие градостроительным нормам_00-022_Август/01e1558a-b8d5-43e9-8232-d985acae83f8.jpg","open")</f>
        <v/>
      </c>
      <c r="C5582" t="inlineStr">
        <is>
          <t>31a713a9-b910-424b-b847-e0eaa2f70c70</t>
        </is>
      </c>
      <c r="D5582" t="n">
        <v>45.04079</v>
      </c>
      <c r="E5582" t="n">
        <v>33.98236</v>
      </c>
      <c r="F5582" t="inlineStr"/>
      <c r="G5582" t="inlineStr"/>
      <c r="H5582" t="inlineStr"/>
    </row>
    <row r="5583">
      <c r="A5583" t="inlineStr">
        <is>
          <t>6ecdfa75-0c6a-4400-96ce-77a18da54cec.jpg</t>
        </is>
      </c>
      <c r="B5583">
        <f>HYPERLINK("Объекты недвижимости, не соответствующие градостроительным нормам_00-022_Август/6ecdfa75-0c6a-4400-96ce-77a18da54cec.jpg","open")</f>
        <v/>
      </c>
      <c r="C5583" t="inlineStr">
        <is>
          <t>f20fbc2b-b369-4734-bb66-92af02fbb0d1</t>
        </is>
      </c>
      <c r="D5583" t="n">
        <v>45.04233</v>
      </c>
      <c r="E5583" t="n">
        <v>33.97408</v>
      </c>
      <c r="F5583" t="inlineStr"/>
      <c r="G5583" t="inlineStr"/>
      <c r="H5583" t="inlineStr"/>
    </row>
    <row r="5584">
      <c r="A5584" t="inlineStr">
        <is>
          <t>41d47b4a-45e1-457d-9d3a-9f6654c90ba8.jpg</t>
        </is>
      </c>
      <c r="B5584">
        <f>HYPERLINK("Объекты недвижимости, не соответствующие градостроительным нормам_00-022_Август/41d47b4a-45e1-457d-9d3a-9f6654c90ba8.jpg","open")</f>
        <v/>
      </c>
      <c r="C5584" t="inlineStr">
        <is>
          <t>b0b7ea82-53be-40d0-b992-e2fd18611d5c</t>
        </is>
      </c>
      <c r="D5584" t="n">
        <v>45.04233</v>
      </c>
      <c r="E5584" t="n">
        <v>33.97408</v>
      </c>
      <c r="F5584" t="inlineStr"/>
      <c r="G5584" t="inlineStr"/>
      <c r="H5584" t="inlineStr"/>
    </row>
    <row r="5585">
      <c r="A5585" t="inlineStr">
        <is>
          <t>45b0c552-9c0e-40a1-aec0-688837a85166.jpg</t>
        </is>
      </c>
      <c r="B5585">
        <f>HYPERLINK("Объекты недвижимости, не соответствующие градостроительным нормам_00-022_Август/45b0c552-9c0e-40a1-aec0-688837a85166.jpg","open")</f>
        <v/>
      </c>
      <c r="C5585" t="inlineStr">
        <is>
          <t>caa4772d-6278-4484-a046-ee25514bf521</t>
        </is>
      </c>
      <c r="D5585" t="n">
        <v>45.05127</v>
      </c>
      <c r="E5585" t="n">
        <v>33.98154</v>
      </c>
      <c r="F5585" t="inlineStr"/>
      <c r="G5585" t="inlineStr"/>
      <c r="H5585" t="inlineStr"/>
    </row>
    <row r="5586">
      <c r="A5586" t="inlineStr">
        <is>
          <t>d2c66b8b-7db1-496b-a2b0-60101c2eac24.jpg</t>
        </is>
      </c>
      <c r="B5586">
        <f>HYPERLINK("Объекты недвижимости, не соответствующие градостроительным нормам_00-022_Август/d2c66b8b-7db1-496b-a2b0-60101c2eac24.jpg","open")</f>
        <v/>
      </c>
      <c r="C5586" t="inlineStr">
        <is>
          <t>685d9054-b74f-49ab-857b-109fd2cec80d</t>
        </is>
      </c>
      <c r="D5586" t="n">
        <v>45.05285</v>
      </c>
      <c r="E5586" t="n">
        <v>33.98114</v>
      </c>
      <c r="F5586" t="inlineStr"/>
      <c r="G5586" t="inlineStr"/>
      <c r="H5586" t="inlineStr"/>
    </row>
    <row r="5587">
      <c r="A5587" t="inlineStr">
        <is>
          <t>f1f21085-811f-4d56-8102-c9785bef24d4.jpg</t>
        </is>
      </c>
      <c r="B5587">
        <f>HYPERLINK("Объекты недвижимости, не соответствующие градостроительным нормам_00-022_Август/f1f21085-811f-4d56-8102-c9785bef24d4.jpg","open")</f>
        <v/>
      </c>
      <c r="C5587" t="inlineStr">
        <is>
          <t>b0b7ea82-53be-40d0-b992-e2fd18611d5c</t>
        </is>
      </c>
      <c r="D5587" t="n">
        <v>45.05439</v>
      </c>
      <c r="E5587" t="n">
        <v>33.98</v>
      </c>
      <c r="F5587" t="inlineStr"/>
      <c r="G5587" t="inlineStr"/>
      <c r="H5587" t="inlineStr"/>
    </row>
    <row r="5588">
      <c r="A5588" t="inlineStr">
        <is>
          <t>10919a96-c677-4e4c-99c5-39d8f3b37aa5.jpg</t>
        </is>
      </c>
      <c r="B5588">
        <f>HYPERLINK("Объекты недвижимости, не соответствующие градостроительным нормам_00-022_Август/10919a96-c677-4e4c-99c5-39d8f3b37aa5.jpg","open")</f>
        <v/>
      </c>
      <c r="C5588" t="inlineStr">
        <is>
          <t>8cde1fd0-eca1-4510-86ab-3c743b65fdfc</t>
        </is>
      </c>
      <c r="D5588" t="n">
        <v>55.84575</v>
      </c>
      <c r="E5588" t="n">
        <v>37.7255</v>
      </c>
      <c r="F5588" t="inlineStr"/>
      <c r="G5588" t="inlineStr"/>
      <c r="H5588" t="inlineStr"/>
    </row>
    <row r="5589">
      <c r="A5589" t="inlineStr">
        <is>
          <t>93070803-63ed-466b-99e6-bd5859130ebc.jpg</t>
        </is>
      </c>
      <c r="B5589">
        <f>HYPERLINK("Объекты недвижимости, не соответствующие градостроительным нормам_00-022_Август/93070803-63ed-466b-99e6-bd5859130ebc.jpg","open")</f>
        <v/>
      </c>
      <c r="C5589" t="inlineStr">
        <is>
          <t>b0429a31-0c70-4b9f-8ea5-73929d82f89e</t>
        </is>
      </c>
      <c r="D5589" t="n">
        <v>55.66405</v>
      </c>
      <c r="E5589" t="n">
        <v>37.63614</v>
      </c>
      <c r="F5589" t="inlineStr"/>
      <c r="G5589" t="inlineStr"/>
      <c r="H5589" t="inlineStr"/>
    </row>
    <row r="5590">
      <c r="A5590" t="inlineStr">
        <is>
          <t>2626bbd4-8360-439d-91dc-c596749cb4f4.jpg</t>
        </is>
      </c>
      <c r="B5590">
        <f>HYPERLINK("Объекты недвижимости, не соответствующие градостроительным нормам_00-022_Август/2626bbd4-8360-439d-91dc-c596749cb4f4.jpg","open")</f>
        <v/>
      </c>
      <c r="C5590" t="inlineStr">
        <is>
          <t>1c951e11-4940-43c6-a447-394097e5609a</t>
        </is>
      </c>
      <c r="D5590" t="n">
        <v>55.83834</v>
      </c>
      <c r="E5590" t="n">
        <v>37.74617</v>
      </c>
      <c r="F5590" t="inlineStr"/>
      <c r="G5590" t="inlineStr"/>
      <c r="H5590" t="inlineStr"/>
    </row>
    <row r="5591">
      <c r="A5591" t="inlineStr">
        <is>
          <t>d8719ba3-8027-4b9a-83e6-56ac8b86644d.jpg</t>
        </is>
      </c>
      <c r="B5591">
        <f>HYPERLINK("Объекты недвижимости, не соответствующие градостроительным нормам_00-022_Август/d8719ba3-8027-4b9a-83e6-56ac8b86644d.jpg","open")</f>
        <v/>
      </c>
      <c r="C5591" t="inlineStr">
        <is>
          <t>8cde1fd0-eca1-4510-86ab-3c743b65fdfc</t>
        </is>
      </c>
      <c r="D5591" t="n">
        <v>55.83787</v>
      </c>
      <c r="E5591" t="n">
        <v>37.74652</v>
      </c>
      <c r="F5591" t="inlineStr"/>
      <c r="G5591" t="inlineStr"/>
      <c r="H5591" t="inlineStr"/>
    </row>
    <row r="5592">
      <c r="A5592" t="inlineStr">
        <is>
          <t>7f302734-4d96-4a52-860d-729f3b3c2988.jpg</t>
        </is>
      </c>
      <c r="B5592">
        <f>HYPERLINK("Объекты недвижимости, не соответствующие градостроительным нормам_00-022_Август/7f302734-4d96-4a52-860d-729f3b3c2988.jpg","open")</f>
        <v/>
      </c>
      <c r="C5592" t="inlineStr">
        <is>
          <t>b6b3590f-f506-4399-8205-e7ac710132e7</t>
        </is>
      </c>
      <c r="D5592" t="n">
        <v>55.80822</v>
      </c>
      <c r="E5592" t="n">
        <v>37.53325</v>
      </c>
      <c r="F5592" t="inlineStr"/>
      <c r="G5592" t="inlineStr"/>
      <c r="H5592" t="inlineStr"/>
    </row>
    <row r="5593">
      <c r="A5593" t="inlineStr">
        <is>
          <t>9caecc25-de10-4718-a656-f2485dbb4672.jpg</t>
        </is>
      </c>
      <c r="B5593">
        <f>HYPERLINK("Объекты недвижимости, не соответствующие градостроительным нормам_00-022_Август/9caecc25-de10-4718-a656-f2485dbb4672.jpg","open")</f>
        <v/>
      </c>
      <c r="C5593" t="inlineStr">
        <is>
          <t>685d9054-b74f-49ab-857b-109fd2cec80d</t>
        </is>
      </c>
      <c r="D5593" t="n">
        <v>45.05285</v>
      </c>
      <c r="E5593" t="n">
        <v>33.98114</v>
      </c>
      <c r="F5593" t="inlineStr"/>
      <c r="G5593" t="inlineStr"/>
      <c r="H5593" t="inlineStr"/>
    </row>
    <row r="5594">
      <c r="A5594" t="inlineStr">
        <is>
          <t>fef77b9b-cde9-453a-9fc3-bc4d7917b7d3.jpg</t>
        </is>
      </c>
      <c r="B5594">
        <f>HYPERLINK("Объекты недвижимости, не соответствующие градостроительным нормам_00-022_Август/fef77b9b-cde9-453a-9fc3-bc4d7917b7d3.jpg","open")</f>
        <v/>
      </c>
      <c r="C5594" t="inlineStr">
        <is>
          <t>caa4772d-6278-4484-a046-ee25514bf521</t>
        </is>
      </c>
      <c r="D5594" t="n">
        <v>45.0479</v>
      </c>
      <c r="E5594" t="n">
        <v>33.973</v>
      </c>
      <c r="F5594" t="inlineStr"/>
      <c r="G5594" t="inlineStr"/>
      <c r="H5594" t="inlineStr"/>
    </row>
    <row r="5595">
      <c r="A5595" t="inlineStr">
        <is>
          <t>c7f4e75f-26e2-4873-9e68-65a36a4964be.jpg</t>
        </is>
      </c>
      <c r="B5595">
        <f>HYPERLINK("Объекты недвижимости, не соответствующие градостроительным нормам_00-022_Август/c7f4e75f-26e2-4873-9e68-65a36a4964be.jpg","open")</f>
        <v/>
      </c>
      <c r="C5595" t="inlineStr">
        <is>
          <t>8cde1fd0-eca1-4510-86ab-3c743b65fdfc</t>
        </is>
      </c>
      <c r="D5595" t="n">
        <v>55.82214</v>
      </c>
      <c r="E5595" t="n">
        <v>37.74061</v>
      </c>
      <c r="F5595" t="inlineStr"/>
      <c r="G5595" t="inlineStr"/>
      <c r="H5595" t="inlineStr"/>
    </row>
    <row r="5596">
      <c r="A5596" t="inlineStr">
        <is>
          <t>cf596e5c-e409-4572-96a9-c1fc77e9aa71.jpg</t>
        </is>
      </c>
      <c r="B5596">
        <f>HYPERLINK("Объекты недвижимости, не соответствующие градостроительным нормам_00-022_Август/cf596e5c-e409-4572-96a9-c1fc77e9aa71.jpg","open")</f>
        <v/>
      </c>
      <c r="C5596" t="inlineStr">
        <is>
          <t>caa4772d-6278-4484-a046-ee25514bf521</t>
        </is>
      </c>
      <c r="D5596" t="n">
        <v>45.04811</v>
      </c>
      <c r="E5596" t="n">
        <v>33.9729</v>
      </c>
      <c r="F5596" t="inlineStr"/>
      <c r="G5596" t="inlineStr"/>
      <c r="H5596" t="inlineStr"/>
    </row>
    <row r="5597">
      <c r="A5597" t="inlineStr">
        <is>
          <t>0d601ef7-50a8-4578-a7cc-558562a4eb25.jpg</t>
        </is>
      </c>
      <c r="B5597">
        <f>HYPERLINK("Объекты недвижимости, не соответствующие градостроительным нормам_00-022_Август/0d601ef7-50a8-4578-a7cc-558562a4eb25.jpg","open")</f>
        <v/>
      </c>
      <c r="C5597" t="inlineStr">
        <is>
          <t>685d9054-b74f-49ab-857b-109fd2cec80d</t>
        </is>
      </c>
      <c r="D5597" t="n">
        <v>45.05285</v>
      </c>
      <c r="E5597" t="n">
        <v>33.98114</v>
      </c>
      <c r="F5597" t="inlineStr"/>
      <c r="G5597" t="inlineStr"/>
      <c r="H5597" t="inlineStr"/>
    </row>
    <row r="5598">
      <c r="A5598" t="inlineStr">
        <is>
          <t>e3c8b344-9039-4188-9513-1912ba68b914.jpg</t>
        </is>
      </c>
      <c r="B5598">
        <f>HYPERLINK("Объекты недвижимости, не соответствующие градостроительным нормам_00-022_Август/e3c8b344-9039-4188-9513-1912ba68b914.jpg","open")</f>
        <v/>
      </c>
      <c r="C5598" t="inlineStr">
        <is>
          <t>fb40ed24-21ef-458a-a239-038ab19932cc</t>
        </is>
      </c>
      <c r="D5598" t="n">
        <v>55.8168</v>
      </c>
      <c r="E5598" t="n">
        <v>37.79604</v>
      </c>
      <c r="F5598" t="inlineStr"/>
      <c r="G5598" t="inlineStr"/>
      <c r="H5598" t="inlineStr"/>
    </row>
    <row r="5599">
      <c r="A5599" t="inlineStr">
        <is>
          <t>fe65c9ef-c8ce-421f-8da4-35e1c29b9c44.jpg</t>
        </is>
      </c>
      <c r="B5599">
        <f>HYPERLINK("Объекты недвижимости, не соответствующие градостроительным нормам_00-022_Август/fe65c9ef-c8ce-421f-8da4-35e1c29b9c44.jpg","open")</f>
        <v/>
      </c>
      <c r="C5599" t="inlineStr">
        <is>
          <t>f6f80c84-5569-48fd-b627-6f41ce4c61c4</t>
        </is>
      </c>
      <c r="D5599" t="n">
        <v>45.04963</v>
      </c>
      <c r="E5599" t="n">
        <v>33.9719</v>
      </c>
      <c r="F5599" t="inlineStr"/>
      <c r="G5599" t="inlineStr"/>
      <c r="H5599" t="inlineStr"/>
    </row>
    <row r="5600">
      <c r="A5600" t="inlineStr">
        <is>
          <t>05daa974-877a-4ea6-b7fe-f920381892a3.jpg</t>
        </is>
      </c>
      <c r="B5600">
        <f>HYPERLINK("Объекты недвижимости, не соответствующие градостроительным нормам_00-022_Август/05daa974-877a-4ea6-b7fe-f920381892a3.jpg","open")</f>
        <v/>
      </c>
      <c r="C5600" t="inlineStr">
        <is>
          <t>685d9054-b74f-49ab-857b-109fd2cec80d</t>
        </is>
      </c>
      <c r="D5600" t="n">
        <v>45.05285</v>
      </c>
      <c r="E5600" t="n">
        <v>33.98114</v>
      </c>
      <c r="F5600" t="inlineStr"/>
      <c r="G5600" t="inlineStr"/>
      <c r="H5600" t="inlineStr"/>
    </row>
    <row r="5601">
      <c r="A5601" t="inlineStr">
        <is>
          <t>12983af4-62b4-42aa-8d83-d5f3cac09860.jpg</t>
        </is>
      </c>
      <c r="B5601">
        <f>HYPERLINK("Объекты недвижимости, не соответствующие градостроительным нормам_00-022_Август/12983af4-62b4-42aa-8d83-d5f3cac09860.jpg","open")</f>
        <v/>
      </c>
      <c r="C5601" t="inlineStr">
        <is>
          <t>8cde1fd0-eca1-4510-86ab-3c743b65fdfc</t>
        </is>
      </c>
      <c r="D5601" t="n">
        <v>55.82214</v>
      </c>
      <c r="E5601" t="n">
        <v>37.74061</v>
      </c>
      <c r="F5601" t="inlineStr"/>
      <c r="G5601" t="inlineStr"/>
      <c r="H5601" t="inlineStr"/>
    </row>
    <row r="5602">
      <c r="A5602" t="inlineStr">
        <is>
          <t>1bff5e09-2ab3-4719-9b4d-1a4ae0e9db3f.jpg</t>
        </is>
      </c>
      <c r="B5602">
        <f>HYPERLINK("Объекты недвижимости, не соответствующие градостроительным нормам_00-022_Август/1bff5e09-2ab3-4719-9b4d-1a4ae0e9db3f.jpg","open")</f>
        <v/>
      </c>
      <c r="C5602" t="inlineStr">
        <is>
          <t>61936922-4d4b-458e-80ea-6d4c450aa1d5</t>
        </is>
      </c>
      <c r="D5602" t="n">
        <v>41.19006</v>
      </c>
      <c r="E5602" t="n">
        <v>35.51889</v>
      </c>
      <c r="F5602" t="inlineStr"/>
      <c r="G5602" t="inlineStr"/>
      <c r="H5602" t="inlineStr"/>
    </row>
    <row r="5603">
      <c r="A5603" t="inlineStr">
        <is>
          <t>6247062b-92c9-42db-a77e-13dfd88ed679.jpg</t>
        </is>
      </c>
      <c r="B5603">
        <f>HYPERLINK("Объекты недвижимости, не соответствующие градостроительным нормам_00-022_Август/6247062b-92c9-42db-a77e-13dfd88ed679.jpg","open")</f>
        <v/>
      </c>
      <c r="C5603" t="inlineStr">
        <is>
          <t>1231bbc5-e64c-4dc7-9acc-77710f47607a</t>
        </is>
      </c>
      <c r="D5603" t="n">
        <v>55.63863</v>
      </c>
      <c r="E5603" t="n">
        <v>37.65775</v>
      </c>
      <c r="F5603" t="inlineStr"/>
      <c r="G5603" t="inlineStr"/>
      <c r="H5603" t="inlineStr"/>
    </row>
    <row r="5604">
      <c r="A5604" t="inlineStr">
        <is>
          <t>35d698eb-e9fc-4720-ae8b-682bb9699050.jpg</t>
        </is>
      </c>
      <c r="B5604">
        <f>HYPERLINK("Объекты недвижимости, не соответствующие градостроительным нормам_00-022_Август/35d698eb-e9fc-4720-ae8b-682bb9699050.jpg","open")</f>
        <v/>
      </c>
      <c r="C5604" t="inlineStr">
        <is>
          <t>b0b7ea82-53be-40d0-b992-e2fd18611d5c</t>
        </is>
      </c>
      <c r="D5604" t="n">
        <v>45.05362</v>
      </c>
      <c r="E5604" t="n">
        <v>33.9757</v>
      </c>
      <c r="F5604" t="inlineStr"/>
      <c r="G5604" t="inlineStr"/>
      <c r="H5604" t="inlineStr"/>
    </row>
    <row r="5605">
      <c r="A5605" t="inlineStr">
        <is>
          <t>a012b899-a382-4d85-bb80-ea7958054c89.jpg</t>
        </is>
      </c>
      <c r="B5605">
        <f>HYPERLINK("Объекты недвижимости, не соответствующие градостроительным нормам_00-022_Август/a012b899-a382-4d85-bb80-ea7958054c89.jpg","open")</f>
        <v/>
      </c>
      <c r="C5605" t="inlineStr">
        <is>
          <t>b0b7ea82-53be-40d0-b992-e2fd18611d5c</t>
        </is>
      </c>
      <c r="D5605" t="n">
        <v>45.05384</v>
      </c>
      <c r="E5605" t="n">
        <v>33.97592</v>
      </c>
      <c r="F5605" t="inlineStr"/>
      <c r="G5605" t="inlineStr"/>
      <c r="H5605" t="inlineStr"/>
    </row>
    <row r="5606">
      <c r="A5606" t="inlineStr">
        <is>
          <t>7b7b3f54-f663-4adf-8229-910bc30966a8.jpg</t>
        </is>
      </c>
      <c r="B5606">
        <f>HYPERLINK("Объекты недвижимости, не соответствующие градостроительным нормам_00-022_Август/7b7b3f54-f663-4adf-8229-910bc30966a8.jpg","open")</f>
        <v/>
      </c>
      <c r="C5606" t="inlineStr">
        <is>
          <t>50e4626c-a80e-42ab-b999-b5092c2c063f</t>
        </is>
      </c>
      <c r="D5606" t="n">
        <v>45.05046</v>
      </c>
      <c r="E5606" t="n">
        <v>33.97709</v>
      </c>
      <c r="F5606" t="inlineStr"/>
      <c r="G5606" t="inlineStr"/>
      <c r="H5606" t="inlineStr"/>
    </row>
    <row r="5607">
      <c r="A5607" t="inlineStr">
        <is>
          <t>cbd89b58-bee2-4308-b393-4006f042a2e8.jpg</t>
        </is>
      </c>
      <c r="B5607">
        <f>HYPERLINK("Объекты недвижимости, не соответствующие градостроительным нормам_00-022_Август/cbd89b58-bee2-4308-b393-4006f042a2e8.jpg","open")</f>
        <v/>
      </c>
      <c r="C5607" t="inlineStr">
        <is>
          <t>e85aff3b-73e8-4856-827e-477ccc0aea77</t>
        </is>
      </c>
      <c r="D5607" t="n">
        <v>55.97086</v>
      </c>
      <c r="E5607" t="n">
        <v>37.43081</v>
      </c>
      <c r="F5607" t="inlineStr"/>
      <c r="G5607" t="inlineStr"/>
      <c r="H5607" t="inlineStr"/>
    </row>
    <row r="5608">
      <c r="A5608" t="inlineStr">
        <is>
          <t>6bb2d8ed-deec-493e-9f29-c4da30e702a7.jpg</t>
        </is>
      </c>
      <c r="B5608">
        <f>HYPERLINK("Объекты недвижимости, не соответствующие градостроительным нормам_00-022_Август/6bb2d8ed-deec-493e-9f29-c4da30e702a7.jpg","open")</f>
        <v/>
      </c>
      <c r="C5608" t="inlineStr">
        <is>
          <t>61936922-4d4b-458e-80ea-6d4c450aa1d5</t>
        </is>
      </c>
      <c r="D5608" t="n">
        <v>41.19006</v>
      </c>
      <c r="E5608" t="n">
        <v>35.51889</v>
      </c>
      <c r="F5608" t="inlineStr"/>
      <c r="G5608" t="inlineStr"/>
      <c r="H5608" t="inlineStr"/>
    </row>
    <row r="5609">
      <c r="A5609" t="inlineStr">
        <is>
          <t>9a34d440-8756-4632-a696-de3f232c9cda.jpg</t>
        </is>
      </c>
      <c r="B5609">
        <f>HYPERLINK("Объекты недвижимости, не соответствующие градостроительным нормам_00-022_Август/9a34d440-8756-4632-a696-de3f232c9cda.jpg","open")</f>
        <v/>
      </c>
      <c r="C5609" t="inlineStr">
        <is>
          <t>b6b3590f-f506-4399-8205-e7ac710132e7</t>
        </is>
      </c>
      <c r="D5609" t="n">
        <v>55.80641</v>
      </c>
      <c r="E5609" t="n">
        <v>37.53775</v>
      </c>
      <c r="F5609" t="inlineStr"/>
      <c r="G5609" t="inlineStr"/>
      <c r="H5609" t="inlineStr"/>
    </row>
    <row r="5610">
      <c r="A5610" t="inlineStr">
        <is>
          <t>ca8e1f7f-6ca6-4e5d-87e7-dab7a4aa1bbe.jpg</t>
        </is>
      </c>
      <c r="B5610">
        <f>HYPERLINK("Объекты недвижимости, не соответствующие градостроительным нормам_00-022_Август/ca8e1f7f-6ca6-4e5d-87e7-dab7a4aa1bbe.jpg","open")</f>
        <v/>
      </c>
      <c r="C5610" t="inlineStr">
        <is>
          <t>31a713a9-b910-424b-b847-e0eaa2f70c70</t>
        </is>
      </c>
      <c r="D5610" t="n">
        <v>45.04976</v>
      </c>
      <c r="E5610" t="n">
        <v>33.97305</v>
      </c>
      <c r="F5610" t="inlineStr"/>
      <c r="G5610" t="inlineStr"/>
      <c r="H5610" t="inlineStr"/>
    </row>
    <row r="5611">
      <c r="A5611" t="inlineStr">
        <is>
          <t>9847ba4b-e6fc-423b-9d29-7d6a541795ef.jpg</t>
        </is>
      </c>
      <c r="B5611">
        <f>HYPERLINK("Объекты недвижимости, не соответствующие градостроительным нормам_00-022_Август/9847ba4b-e6fc-423b-9d29-7d6a541795ef.jpg","open")</f>
        <v/>
      </c>
      <c r="C5611" t="inlineStr">
        <is>
          <t>8cde1fd0-eca1-4510-86ab-3c743b65fdfc</t>
        </is>
      </c>
      <c r="D5611" t="n">
        <v>55.82214</v>
      </c>
      <c r="E5611" t="n">
        <v>37.74061</v>
      </c>
      <c r="F5611" t="inlineStr"/>
      <c r="G5611" t="inlineStr"/>
      <c r="H5611" t="inlineStr"/>
    </row>
    <row r="5612">
      <c r="A5612" t="inlineStr">
        <is>
          <t>a3dcbb5a-faa7-4383-810d-24fe5fbb3fc9.jpg</t>
        </is>
      </c>
      <c r="B5612">
        <f>HYPERLINK("Объекты недвижимости, не соответствующие градостроительным нормам_00-022_Август/a3dcbb5a-faa7-4383-810d-24fe5fbb3fc9.jpg","open")</f>
        <v/>
      </c>
      <c r="C5612" t="inlineStr">
        <is>
          <t>8cde1fd0-eca1-4510-86ab-3c743b65fdfc</t>
        </is>
      </c>
      <c r="D5612" t="n">
        <v>55.82214</v>
      </c>
      <c r="E5612" t="n">
        <v>37.74061</v>
      </c>
      <c r="F5612" t="inlineStr"/>
      <c r="G5612" t="inlineStr"/>
      <c r="H5612" t="inlineStr"/>
    </row>
    <row r="5613">
      <c r="A5613" t="inlineStr">
        <is>
          <t>03f8efcd-51b1-40b3-8611-96261f0a6243.jpg</t>
        </is>
      </c>
      <c r="B5613">
        <f>HYPERLINK("Объекты недвижимости, не соответствующие градостроительным нормам_00-022_Август/03f8efcd-51b1-40b3-8611-96261f0a6243.jpg","open")</f>
        <v/>
      </c>
      <c r="C5613" t="inlineStr">
        <is>
          <t>8cde1fd0-eca1-4510-86ab-3c743b65fdfc</t>
        </is>
      </c>
      <c r="D5613" t="n">
        <v>55.82214</v>
      </c>
      <c r="E5613" t="n">
        <v>37.74061</v>
      </c>
      <c r="F5613" t="inlineStr"/>
      <c r="G5613" t="inlineStr"/>
      <c r="H5613" t="inlineStr"/>
    </row>
    <row r="5614">
      <c r="A5614" t="inlineStr">
        <is>
          <t>2c5f1a68-2632-4cd6-a448-692b13c0458c.jpg</t>
        </is>
      </c>
      <c r="B5614">
        <f>HYPERLINK("Объекты недвижимости, не соответствующие градостроительным нормам_00-022_Август/2c5f1a68-2632-4cd6-a448-692b13c0458c.jpg","open")</f>
        <v/>
      </c>
      <c r="C5614" t="inlineStr">
        <is>
          <t>b0b7ea82-53be-40d0-b992-e2fd18611d5c</t>
        </is>
      </c>
      <c r="D5614" t="n">
        <v>45.04111</v>
      </c>
      <c r="E5614" t="n">
        <v>33.98193</v>
      </c>
      <c r="F5614" t="inlineStr"/>
      <c r="G5614" t="inlineStr"/>
      <c r="H5614" t="inlineStr"/>
    </row>
    <row r="5615">
      <c r="A5615" t="inlineStr">
        <is>
          <t>6cc99f36-f822-454d-a6ac-a38015e2ec4e.jpg</t>
        </is>
      </c>
      <c r="B5615">
        <f>HYPERLINK("Объекты недвижимости, не соответствующие градостроительным нормам_00-022_Август/6cc99f36-f822-454d-a6ac-a38015e2ec4e.jpg","open")</f>
        <v/>
      </c>
      <c r="C5615" t="inlineStr">
        <is>
          <t>8cde1fd0-eca1-4510-86ab-3c743b65fdfc</t>
        </is>
      </c>
      <c r="D5615" t="n">
        <v>55.82214</v>
      </c>
      <c r="E5615" t="n">
        <v>37.74061</v>
      </c>
      <c r="F5615" t="inlineStr"/>
      <c r="G5615" t="inlineStr"/>
      <c r="H5615" t="inlineStr"/>
    </row>
    <row r="5616">
      <c r="A5616" t="inlineStr">
        <is>
          <t>073c953a-62a0-415a-9052-afcee94d9095.jpg</t>
        </is>
      </c>
      <c r="B5616">
        <f>HYPERLINK("Объекты недвижимости, не соответствующие градостроительным нормам_00-022_Август/073c953a-62a0-415a-9052-afcee94d9095.jpg","open")</f>
        <v/>
      </c>
      <c r="C5616" t="inlineStr">
        <is>
          <t>57aae8a4-582b-4309-8045-c8127a9f86ae</t>
        </is>
      </c>
      <c r="D5616" t="n">
        <v>55.81676</v>
      </c>
      <c r="E5616" t="n">
        <v>37.83039</v>
      </c>
      <c r="F5616" t="inlineStr"/>
      <c r="G5616" t="inlineStr"/>
      <c r="H5616" t="inlineStr"/>
    </row>
    <row r="5617">
      <c r="A5617" t="inlineStr">
        <is>
          <t>ff0829c0-f12c-4446-9f22-1ac2e36ffab6.jpg</t>
        </is>
      </c>
      <c r="B5617">
        <f>HYPERLINK("Объекты недвижимости, не соответствующие градостроительным нормам_00-022_Август/ff0829c0-f12c-4446-9f22-1ac2e36ffab6.jpg","open")</f>
        <v/>
      </c>
      <c r="C5617" t="inlineStr">
        <is>
          <t>acedacc2-0d8b-4fc1-9622-25621a89d071</t>
        </is>
      </c>
      <c r="D5617" t="n">
        <v>55.81673</v>
      </c>
      <c r="E5617" t="n">
        <v>37.83039</v>
      </c>
      <c r="F5617" t="inlineStr"/>
      <c r="G5617" t="inlineStr"/>
      <c r="H5617" t="inlineStr"/>
    </row>
    <row r="5618">
      <c r="A5618" t="inlineStr">
        <is>
          <t>2be213ad-5373-499d-8bfe-bb827971af69.jpg</t>
        </is>
      </c>
      <c r="B5618">
        <f>HYPERLINK("Объекты недвижимости, не соответствующие градостроительным нормам_00-022_Август/2be213ad-5373-499d-8bfe-bb827971af69.jpg","open")</f>
        <v/>
      </c>
      <c r="C5618" t="inlineStr">
        <is>
          <t>1c951e11-4940-43c6-a447-394097e5609a</t>
        </is>
      </c>
      <c r="D5618" t="n">
        <v>55.82214</v>
      </c>
      <c r="E5618" t="n">
        <v>37.74061</v>
      </c>
      <c r="F5618" t="inlineStr"/>
      <c r="G5618" t="inlineStr"/>
      <c r="H5618" t="inlineStr"/>
    </row>
    <row r="5619">
      <c r="A5619" t="inlineStr">
        <is>
          <t>d8219bc0-2bce-48ef-a379-8f121450f512.jpg</t>
        </is>
      </c>
      <c r="B5619">
        <f>HYPERLINK("Объекты недвижимости, не соответствующие градостроительным нормам_00-022_Август/d8219bc0-2bce-48ef-a379-8f121450f512.jpg","open")</f>
        <v/>
      </c>
      <c r="C5619" t="inlineStr">
        <is>
          <t>1c951e11-4940-43c6-a447-394097e5609a</t>
        </is>
      </c>
      <c r="D5619" t="n">
        <v>55.82214</v>
      </c>
      <c r="E5619" t="n">
        <v>37.74061</v>
      </c>
      <c r="F5619" t="inlineStr"/>
      <c r="G5619" t="inlineStr"/>
      <c r="H5619" t="inlineStr"/>
    </row>
    <row r="5620">
      <c r="A5620" t="inlineStr">
        <is>
          <t>7a48bfe1-19db-492c-8fdf-54eb5f3d05c5.jpg</t>
        </is>
      </c>
      <c r="B5620">
        <f>HYPERLINK("Объекты недвижимости, не соответствующие градостроительным нормам_00-022_Август/7a48bfe1-19db-492c-8fdf-54eb5f3d05c5.jpg","open")</f>
        <v/>
      </c>
      <c r="C5620" t="inlineStr">
        <is>
          <t>8cde1fd0-eca1-4510-86ab-3c743b65fdfc</t>
        </is>
      </c>
      <c r="D5620" t="n">
        <v>55.82214</v>
      </c>
      <c r="E5620" t="n">
        <v>37.74061</v>
      </c>
      <c r="F5620" t="inlineStr"/>
      <c r="G5620" t="inlineStr"/>
      <c r="H5620" t="inlineStr"/>
    </row>
    <row r="5621">
      <c r="A5621" t="inlineStr">
        <is>
          <t>25272bb8-03be-4a02-a929-c8589003aab9.jpg</t>
        </is>
      </c>
      <c r="B5621">
        <f>HYPERLINK("Объекты недвижимости, не соответствующие градостроительным нормам_00-022_Август/25272bb8-03be-4a02-a929-c8589003aab9.jpg","open")</f>
        <v/>
      </c>
      <c r="C5621" t="inlineStr">
        <is>
          <t>1c951e11-4940-43c6-a447-394097e5609a</t>
        </is>
      </c>
      <c r="D5621" t="n">
        <v>55.82214</v>
      </c>
      <c r="E5621" t="n">
        <v>37.74061</v>
      </c>
      <c r="F5621" t="inlineStr"/>
      <c r="G5621" t="inlineStr"/>
      <c r="H5621" t="inlineStr"/>
    </row>
    <row r="5622">
      <c r="A5622" t="inlineStr">
        <is>
          <t>8deb5dca-db3a-4298-a3e9-64d22c17641d.jpg</t>
        </is>
      </c>
      <c r="B5622">
        <f>HYPERLINK("Объекты недвижимости, не соответствующие градостроительным нормам_00-022_Август/8deb5dca-db3a-4298-a3e9-64d22c17641d.jpg","open")</f>
        <v/>
      </c>
      <c r="C5622" t="inlineStr">
        <is>
          <t>750bf7e4-0f0f-4f1a-96af-607dc8c1f1c9</t>
        </is>
      </c>
      <c r="D5622" t="n">
        <v>45.04976</v>
      </c>
      <c r="E5622" t="n">
        <v>33.97305</v>
      </c>
      <c r="F5622" t="inlineStr"/>
      <c r="G5622" t="inlineStr"/>
      <c r="H5622" t="inlineStr"/>
    </row>
    <row r="5623">
      <c r="A5623" t="inlineStr">
        <is>
          <t>2d12cf43-65d4-4cdd-9cb1-abd4d04b02ee.jpg</t>
        </is>
      </c>
      <c r="B5623">
        <f>HYPERLINK("Объекты недвижимости, не соответствующие градостроительным нормам_00-022_Август/2d12cf43-65d4-4cdd-9cb1-abd4d04b02ee.jpg","open")</f>
        <v/>
      </c>
      <c r="C5623" t="inlineStr">
        <is>
          <t>750bf7e4-0f0f-4f1a-96af-607dc8c1f1c9</t>
        </is>
      </c>
      <c r="D5623" t="n">
        <v>45.04976</v>
      </c>
      <c r="E5623" t="n">
        <v>33.97305</v>
      </c>
      <c r="F5623" t="inlineStr"/>
      <c r="G5623" t="inlineStr"/>
      <c r="H5623" t="inlineStr"/>
    </row>
    <row r="5624">
      <c r="A5624" t="inlineStr">
        <is>
          <t>edd28373-50ab-4b41-8cd8-19c6e2fb63c8.jpg</t>
        </is>
      </c>
      <c r="B5624">
        <f>HYPERLINK("Объекты недвижимости, не соответствующие градостроительным нормам_00-022_Август/edd28373-50ab-4b41-8cd8-19c6e2fb63c8.jpg","open")</f>
        <v/>
      </c>
      <c r="C5624" t="inlineStr">
        <is>
          <t>685d9054-b74f-49ab-857b-109fd2cec80d</t>
        </is>
      </c>
      <c r="D5624" t="n">
        <v>55.57435</v>
      </c>
      <c r="E5624" t="n">
        <v>37.62802</v>
      </c>
      <c r="F5624" t="inlineStr"/>
      <c r="G5624" t="inlineStr"/>
      <c r="H5624" t="inlineStr"/>
    </row>
    <row r="5625">
      <c r="A5625" t="inlineStr">
        <is>
          <t>934e32bc-157c-4298-a0dc-0c9ef806d07f.jpg</t>
        </is>
      </c>
      <c r="B5625">
        <f>HYPERLINK("Объекты недвижимости, не соответствующие градостроительным нормам_00-022_Август/934e32bc-157c-4298-a0dc-0c9ef806d07f.jpg","open")</f>
        <v/>
      </c>
      <c r="C5625" t="inlineStr">
        <is>
          <t>8cde1fd0-eca1-4510-86ab-3c743b65fdfc</t>
        </is>
      </c>
      <c r="D5625" t="n">
        <v>55.82214</v>
      </c>
      <c r="E5625" t="n">
        <v>37.74061</v>
      </c>
      <c r="F5625" t="inlineStr"/>
      <c r="G5625" t="inlineStr"/>
      <c r="H5625" t="inlineStr"/>
    </row>
    <row r="5626">
      <c r="A5626" t="inlineStr">
        <is>
          <t>a5402199-72d0-42b0-b19a-b0ca5bce269a.jpg</t>
        </is>
      </c>
      <c r="B5626">
        <f>HYPERLINK("Объекты недвижимости, не соответствующие градостроительным нормам_00-022_Август/a5402199-72d0-42b0-b19a-b0ca5bce269a.jpg","open")</f>
        <v/>
      </c>
      <c r="C5626" t="inlineStr">
        <is>
          <t>9f88688f-4c81-42a8-b76a-3c3e7edf869e</t>
        </is>
      </c>
      <c r="D5626" t="n">
        <v>55.80078</v>
      </c>
      <c r="E5626" t="n">
        <v>37.69895</v>
      </c>
      <c r="F5626" t="inlineStr"/>
      <c r="G5626" t="inlineStr"/>
      <c r="H5626" t="inlineStr"/>
    </row>
    <row r="5627">
      <c r="A5627" t="inlineStr">
        <is>
          <t>601a854b-451c-48b4-84d6-a313116ea82a.jpg</t>
        </is>
      </c>
      <c r="B5627">
        <f>HYPERLINK("Объекты недвижимости, не соответствующие градостроительным нормам_00-022_Август/601a854b-451c-48b4-84d6-a313116ea82a.jpg","open")</f>
        <v/>
      </c>
      <c r="C5627" t="inlineStr">
        <is>
          <t>fce890a6-27da-4062-a046-08262a160ee6</t>
        </is>
      </c>
      <c r="D5627" t="n">
        <v>55.80078</v>
      </c>
      <c r="E5627" t="n">
        <v>37.69895</v>
      </c>
      <c r="F5627" t="inlineStr"/>
      <c r="G5627" t="inlineStr"/>
      <c r="H5627" t="inlineStr"/>
    </row>
    <row r="5628">
      <c r="A5628" t="inlineStr">
        <is>
          <t>b50f9633-c90d-4296-b61f-ac1dfa704f44.jpg</t>
        </is>
      </c>
      <c r="B5628">
        <f>HYPERLINK("Объекты недвижимости, не соответствующие градостроительным нормам_00-022_Август/b50f9633-c90d-4296-b61f-ac1dfa704f44.jpg","open")</f>
        <v/>
      </c>
      <c r="C5628" t="inlineStr">
        <is>
          <t>b0429a31-0c70-4b9f-8ea5-73929d82f89e</t>
        </is>
      </c>
      <c r="D5628" t="n">
        <v>55.6621</v>
      </c>
      <c r="E5628" t="n">
        <v>37.61525</v>
      </c>
      <c r="F5628" t="inlineStr"/>
      <c r="G5628" t="inlineStr"/>
      <c r="H5628" t="inlineStr"/>
    </row>
    <row r="5629">
      <c r="A5629" t="inlineStr">
        <is>
          <t>30ca8dde-2b29-4c10-97ea-fdf00513ad35.jpg</t>
        </is>
      </c>
      <c r="B5629">
        <f>HYPERLINK("Объекты недвижимости, не соответствующие градостроительным нормам_00-022_Август/30ca8dde-2b29-4c10-97ea-fdf00513ad35.jpg","open")</f>
        <v/>
      </c>
      <c r="C5629" t="inlineStr">
        <is>
          <t>9fb3d110-951f-48da-9d90-cfd7e1b5800d</t>
        </is>
      </c>
      <c r="D5629" t="n">
        <v>41.19006</v>
      </c>
      <c r="E5629" t="n">
        <v>35.51889</v>
      </c>
      <c r="F5629" t="inlineStr"/>
      <c r="G5629" t="inlineStr"/>
      <c r="H5629" t="inlineStr"/>
    </row>
    <row r="5630">
      <c r="A5630" t="inlineStr">
        <is>
          <t>614b26ea-17f2-4086-a6ff-8d45cc0280e3.jpg</t>
        </is>
      </c>
      <c r="B5630">
        <f>HYPERLINK("Объекты недвижимости, не соответствующие градостроительным нормам_00-022_Август/614b26ea-17f2-4086-a6ff-8d45cc0280e3.jpg","open")</f>
        <v/>
      </c>
      <c r="C5630" t="inlineStr">
        <is>
          <t>fce890a6-27da-4062-a046-08262a160ee6</t>
        </is>
      </c>
      <c r="D5630" t="n">
        <v>55.80078</v>
      </c>
      <c r="E5630" t="n">
        <v>37.69895</v>
      </c>
      <c r="F5630" t="inlineStr"/>
      <c r="G5630" t="inlineStr"/>
      <c r="H5630" t="inlineStr"/>
    </row>
    <row r="5631">
      <c r="A5631" t="inlineStr">
        <is>
          <t>2f2786c3-251b-4651-99e0-b5b38c76a80b.jpg</t>
        </is>
      </c>
      <c r="B5631">
        <f>HYPERLINK("Объекты недвижимости, не соответствующие градостроительным нормам_00-022_Август/2f2786c3-251b-4651-99e0-b5b38c76a80b.jpg","open")</f>
        <v/>
      </c>
      <c r="C5631" t="inlineStr">
        <is>
          <t>b0429a31-0c70-4b9f-8ea5-73929d82f89e</t>
        </is>
      </c>
      <c r="D5631" t="n">
        <v>55.66019</v>
      </c>
      <c r="E5631" t="n">
        <v>37.61667</v>
      </c>
      <c r="F5631" t="inlineStr"/>
      <c r="G5631" t="inlineStr"/>
      <c r="H5631" t="inlineStr"/>
    </row>
    <row r="5632">
      <c r="A5632" t="inlineStr">
        <is>
          <t>41d92124-cef5-45fe-8d77-c8d392cb9d41.jpg</t>
        </is>
      </c>
      <c r="B5632">
        <f>HYPERLINK("Объекты недвижимости, не соответствующие градостроительным нормам_00-022_Август/41d92124-cef5-45fe-8d77-c8d392cb9d41.jpg","open")</f>
        <v/>
      </c>
      <c r="C5632" t="inlineStr">
        <is>
          <t>936502dd-24a4-4256-9fdf-0d8fb72af3ed</t>
        </is>
      </c>
      <c r="D5632" t="n">
        <v>55.68193</v>
      </c>
      <c r="E5632" t="n">
        <v>37.67366</v>
      </c>
      <c r="F5632" t="inlineStr"/>
      <c r="G5632" t="inlineStr"/>
      <c r="H5632" t="inlineStr"/>
    </row>
    <row r="5633">
      <c r="A5633" t="inlineStr">
        <is>
          <t>0066e13a-662a-4727-a9ed-3e137d7a01cf.jpg</t>
        </is>
      </c>
      <c r="B5633">
        <f>HYPERLINK("Объекты недвижимости, не соответствующие градостроительным нормам_00-022_Август/0066e13a-662a-4727-a9ed-3e137d7a01cf.jpg","open")</f>
        <v/>
      </c>
      <c r="C5633" t="inlineStr">
        <is>
          <t>b0b7ea82-53be-40d0-b992-e2fd18611d5c</t>
        </is>
      </c>
      <c r="D5633" t="n">
        <v>45.04917</v>
      </c>
      <c r="E5633" t="n">
        <v>33.97296</v>
      </c>
      <c r="F5633" t="inlineStr"/>
      <c r="G5633" t="inlineStr"/>
      <c r="H5633" t="inlineStr"/>
    </row>
    <row r="5634">
      <c r="A5634" t="inlineStr">
        <is>
          <t>92b98fad-4e6b-4827-9c7b-7d58f0f3e816.jpg</t>
        </is>
      </c>
      <c r="B5634">
        <f>HYPERLINK("Объекты недвижимости, не соответствующие градостроительным нормам_00-022_Август/92b98fad-4e6b-4827-9c7b-7d58f0f3e816.jpg","open")</f>
        <v/>
      </c>
      <c r="C5634" t="inlineStr">
        <is>
          <t>f60286ac-55e7-4099-85bd-cc599a7a0c65</t>
        </is>
      </c>
      <c r="D5634" t="n">
        <v>55.82054</v>
      </c>
      <c r="E5634" t="n">
        <v>37.86662</v>
      </c>
      <c r="F5634" t="inlineStr"/>
      <c r="G5634" t="inlineStr"/>
      <c r="H5634" t="inlineStr"/>
    </row>
    <row r="5635">
      <c r="A5635" t="inlineStr">
        <is>
          <t>18aebb10-679c-4977-8b5d-a34768a08004.jpg</t>
        </is>
      </c>
      <c r="B5635">
        <f>HYPERLINK("Объекты недвижимости, не соответствующие градостроительным нормам_00-022_Август/18aebb10-679c-4977-8b5d-a34768a08004.jpg","open")</f>
        <v/>
      </c>
      <c r="C5635" t="inlineStr">
        <is>
          <t>936502dd-24a4-4256-9fdf-0d8fb72af3ed</t>
        </is>
      </c>
      <c r="D5635" t="n">
        <v>55.68193</v>
      </c>
      <c r="E5635" t="n">
        <v>37.67366</v>
      </c>
      <c r="F5635" t="inlineStr"/>
      <c r="G5635" t="inlineStr"/>
      <c r="H5635" t="inlineStr"/>
    </row>
    <row r="5636">
      <c r="A5636" t="inlineStr">
        <is>
          <t>923a16c0-d485-4a82-adcc-540a1ab8d6a3.jpg</t>
        </is>
      </c>
      <c r="B5636">
        <f>HYPERLINK("Объекты недвижимости, не соответствующие градостроительным нормам_00-022_Август/923a16c0-d485-4a82-adcc-540a1ab8d6a3.jpg","open")</f>
        <v/>
      </c>
      <c r="C5636" t="inlineStr">
        <is>
          <t>9fb3d110-951f-48da-9d90-cfd7e1b5800d</t>
        </is>
      </c>
      <c r="D5636" t="n">
        <v>41.19006</v>
      </c>
      <c r="E5636" t="n">
        <v>35.51889</v>
      </c>
      <c r="F5636" t="inlineStr"/>
      <c r="G5636" t="inlineStr"/>
      <c r="H5636" t="inlineStr"/>
    </row>
    <row r="5637">
      <c r="A5637" t="inlineStr">
        <is>
          <t>8b6c9107-848d-4e12-b3a7-979d0c9264a0.jpg</t>
        </is>
      </c>
      <c r="B5637">
        <f>HYPERLINK("Объекты недвижимости, не соответствующие градостроительным нормам_00-022_Август/8b6c9107-848d-4e12-b3a7-979d0c9264a0.jpg","open")</f>
        <v/>
      </c>
      <c r="C5637" t="inlineStr">
        <is>
          <t>61936922-4d4b-458e-80ea-6d4c450aa1d5</t>
        </is>
      </c>
      <c r="D5637" t="n">
        <v>41.19006</v>
      </c>
      <c r="E5637" t="n">
        <v>35.51889</v>
      </c>
      <c r="F5637" t="inlineStr"/>
      <c r="G5637" t="inlineStr"/>
      <c r="H5637" t="inlineStr"/>
    </row>
    <row r="5638">
      <c r="A5638" t="inlineStr">
        <is>
          <t>be41ee20-e032-45cf-889e-2ef972e6e0a1.jpg</t>
        </is>
      </c>
      <c r="B5638">
        <f>HYPERLINK("Объекты недвижимости, не соответствующие градостроительным нормам_00-022_Август/be41ee20-e032-45cf-889e-2ef972e6e0a1.jpg","open")</f>
        <v/>
      </c>
      <c r="C5638" t="inlineStr">
        <is>
          <t>fce890a6-27da-4062-a046-08262a160ee6</t>
        </is>
      </c>
      <c r="D5638" t="n">
        <v>55.80078</v>
      </c>
      <c r="E5638" t="n">
        <v>37.69895</v>
      </c>
      <c r="F5638" t="inlineStr"/>
      <c r="G5638" t="inlineStr"/>
      <c r="H5638" t="inlineStr"/>
    </row>
    <row r="5639">
      <c r="A5639" t="inlineStr">
        <is>
          <t>f3404690-4913-41bb-bcfe-da1cd2d25911.jpg</t>
        </is>
      </c>
      <c r="B5639">
        <f>HYPERLINK("Объекты недвижимости, не соответствующие градостроительным нормам_00-022_Август/f3404690-4913-41bb-bcfe-da1cd2d25911.jpg","open")</f>
        <v/>
      </c>
      <c r="C5639" t="inlineStr">
        <is>
          <t>fb40ed24-21ef-458a-a239-038ab19932cc</t>
        </is>
      </c>
      <c r="D5639" t="n">
        <v>55.79309</v>
      </c>
      <c r="E5639" t="n">
        <v>37.78982</v>
      </c>
      <c r="F5639" t="inlineStr"/>
      <c r="G5639" t="inlineStr"/>
      <c r="H5639" t="inlineStr"/>
    </row>
    <row r="5640">
      <c r="A5640" t="inlineStr">
        <is>
          <t>2c5cd348-3d90-4dac-9f4f-e0bb81aa58be.jpg</t>
        </is>
      </c>
      <c r="B5640">
        <f>HYPERLINK("Объекты недвижимости, не соответствующие градостроительным нормам_00-022_Август/2c5cd348-3d90-4dac-9f4f-e0bb81aa58be.jpg","open")</f>
        <v/>
      </c>
      <c r="C5640" t="inlineStr">
        <is>
          <t>685d9054-b74f-49ab-857b-109fd2cec80d</t>
        </is>
      </c>
      <c r="D5640" t="n">
        <v>55.56581</v>
      </c>
      <c r="E5640" t="n">
        <v>37.58718</v>
      </c>
      <c r="F5640" t="inlineStr"/>
      <c r="G5640" t="inlineStr"/>
      <c r="H5640" t="inlineStr"/>
    </row>
    <row r="5641">
      <c r="A5641" t="inlineStr">
        <is>
          <t>215c7d8e-aceb-4e7d-9aa9-cbe616469681.jpg</t>
        </is>
      </c>
      <c r="B5641">
        <f>HYPERLINK("Объекты недвижимости, не соответствующие градостроительным нормам_00-022_Август/215c7d8e-aceb-4e7d-9aa9-cbe616469681.jpg","open")</f>
        <v/>
      </c>
      <c r="C5641" t="inlineStr">
        <is>
          <t>f20fbc2b-b369-4734-bb66-92af02fbb0d1</t>
        </is>
      </c>
      <c r="D5641" t="n">
        <v>45.05228</v>
      </c>
      <c r="E5641" t="n">
        <v>33.9825</v>
      </c>
      <c r="F5641" t="inlineStr"/>
      <c r="G5641" t="inlineStr"/>
      <c r="H5641" t="inlineStr"/>
    </row>
    <row r="5642">
      <c r="A5642" t="inlineStr">
        <is>
          <t>592e9dad-6b57-4dd2-925d-53ef65d206c2.jpg</t>
        </is>
      </c>
      <c r="B5642">
        <f>HYPERLINK("Объекты недвижимости, не соответствующие градостроительным нормам_00-022_Август/592e9dad-6b57-4dd2-925d-53ef65d206c2.jpg","open")</f>
        <v/>
      </c>
      <c r="C5642" t="inlineStr">
        <is>
          <t>8cde1fd0-eca1-4510-86ab-3c743b65fdfc</t>
        </is>
      </c>
      <c r="D5642" t="n">
        <v>55.82214</v>
      </c>
      <c r="E5642" t="n">
        <v>37.74061</v>
      </c>
      <c r="F5642" t="inlineStr"/>
      <c r="G5642" t="inlineStr"/>
      <c r="H5642" t="inlineStr"/>
    </row>
    <row r="5643">
      <c r="A5643" t="inlineStr">
        <is>
          <t>da4fba04-44d4-4ee9-b417-3645a838e47e.jpg</t>
        </is>
      </c>
      <c r="B5643">
        <f>HYPERLINK("Объекты недвижимости, не соответствующие градостроительным нормам_00-022_Август/da4fba04-44d4-4ee9-b417-3645a838e47e.jpg","open")</f>
        <v/>
      </c>
      <c r="C5643" t="inlineStr">
        <is>
          <t>31a713a9-b910-424b-b847-e0eaa2f70c70</t>
        </is>
      </c>
      <c r="D5643" t="n">
        <v>45.04976</v>
      </c>
      <c r="E5643" t="n">
        <v>33.97305</v>
      </c>
      <c r="F5643" t="inlineStr"/>
      <c r="G5643" t="inlineStr"/>
      <c r="H5643" t="inlineStr"/>
    </row>
    <row r="5644">
      <c r="A5644" t="inlineStr">
        <is>
          <t>2df1d72e-ef33-47dc-ac7d-cfdeb1fcac30.jpg</t>
        </is>
      </c>
      <c r="B5644">
        <f>HYPERLINK("Объекты недвижимости, не соответствующие градостроительным нормам_00-022_Август/2df1d72e-ef33-47dc-ac7d-cfdeb1fcac30.jpg","open")</f>
        <v/>
      </c>
      <c r="C5644" t="inlineStr">
        <is>
          <t>ffd931da-542f-43e9-979f-5552b17fe3dc</t>
        </is>
      </c>
      <c r="D5644" t="n">
        <v>55.81913</v>
      </c>
      <c r="E5644" t="n">
        <v>37.85815</v>
      </c>
      <c r="F5644" t="inlineStr"/>
      <c r="G5644" t="inlineStr"/>
      <c r="H5644" t="inlineStr"/>
    </row>
    <row r="5645">
      <c r="A5645" t="inlineStr">
        <is>
          <t>36081156-f742-4cfe-9351-544e325a2eb5.jpg</t>
        </is>
      </c>
      <c r="B5645">
        <f>HYPERLINK("Объекты недвижимости, не соответствующие градостроительным нормам_00-022_Август/36081156-f742-4cfe-9351-544e325a2eb5.jpg","open")</f>
        <v/>
      </c>
      <c r="C5645" t="inlineStr">
        <is>
          <t>48b533d5-d106-4175-ac9b-d5ce8d90cccf</t>
        </is>
      </c>
      <c r="D5645" t="n">
        <v>45.04062</v>
      </c>
      <c r="E5645" t="n">
        <v>33.97268</v>
      </c>
      <c r="F5645" t="inlineStr"/>
      <c r="G5645" t="inlineStr"/>
      <c r="H5645" t="inlineStr"/>
    </row>
    <row r="5646">
      <c r="A5646" t="inlineStr">
        <is>
          <t>04ebc011-4d47-48bf-86d9-acabcf91084b.jpg</t>
        </is>
      </c>
      <c r="B5646">
        <f>HYPERLINK("Объекты недвижимости, не соответствующие градостроительным нормам_00-022_Август/04ebc011-4d47-48bf-86d9-acabcf91084b.jpg","open")</f>
        <v/>
      </c>
      <c r="C5646" t="inlineStr">
        <is>
          <t>b0b7ea82-53be-40d0-b992-e2fd18611d5c</t>
        </is>
      </c>
      <c r="D5646" t="n">
        <v>47.46243</v>
      </c>
      <c r="E5646" t="n">
        <v>36.3937</v>
      </c>
      <c r="F5646" t="inlineStr"/>
      <c r="G5646" t="inlineStr"/>
      <c r="H5646" t="inlineStr"/>
    </row>
    <row r="5647">
      <c r="A5647" t="inlineStr">
        <is>
          <t>1b5e02a0-1a38-4cc5-87b3-3af8297d9df6.jpg</t>
        </is>
      </c>
      <c r="B5647">
        <f>HYPERLINK("Объекты недвижимости, не соответствующие градостроительным нормам_00-022_Август/1b5e02a0-1a38-4cc5-87b3-3af8297d9df6.jpg","open")</f>
        <v/>
      </c>
      <c r="C5647" t="inlineStr">
        <is>
          <t>50e4626c-a80e-42ab-b999-b5092c2c063f</t>
        </is>
      </c>
      <c r="D5647" t="n">
        <v>45.05147</v>
      </c>
      <c r="E5647" t="n">
        <v>33.98138</v>
      </c>
      <c r="F5647" t="inlineStr"/>
      <c r="G5647" t="inlineStr"/>
      <c r="H5647" t="inlineStr"/>
    </row>
    <row r="5648">
      <c r="A5648" t="inlineStr">
        <is>
          <t>922aa821-b51c-4d53-a41b-3a17b2bae3b8.jpg</t>
        </is>
      </c>
      <c r="B5648">
        <f>HYPERLINK("Объекты недвижимости, не соответствующие градостроительным нормам_00-022_Август/922aa821-b51c-4d53-a41b-3a17b2bae3b8.jpg","open")</f>
        <v/>
      </c>
      <c r="C5648" t="inlineStr">
        <is>
          <t>f20fbc2b-b369-4734-bb66-92af02fbb0d1</t>
        </is>
      </c>
      <c r="D5648" t="n">
        <v>47.46336</v>
      </c>
      <c r="E5648" t="n">
        <v>36.38605</v>
      </c>
      <c r="F5648" t="inlineStr"/>
      <c r="G5648" t="inlineStr"/>
      <c r="H5648" t="inlineStr"/>
    </row>
    <row r="5649">
      <c r="A5649" t="inlineStr">
        <is>
          <t>9b8159f9-c5da-4bfa-b863-2e348d335a5b.jpg</t>
        </is>
      </c>
      <c r="B5649">
        <f>HYPERLINK("Объекты недвижимости, не соответствующие градостроительным нормам_00-022_Август/9b8159f9-c5da-4bfa-b863-2e348d335a5b.jpg","open")</f>
        <v/>
      </c>
      <c r="C5649" t="inlineStr">
        <is>
          <t>1231bbc5-e64c-4dc7-9acc-77710f47607a</t>
        </is>
      </c>
      <c r="D5649" t="n">
        <v>55.57289</v>
      </c>
      <c r="E5649" t="n">
        <v>37.59109</v>
      </c>
      <c r="F5649" t="inlineStr"/>
      <c r="G5649" t="inlineStr"/>
      <c r="H5649" t="inlineStr"/>
    </row>
    <row r="5650">
      <c r="A5650" t="inlineStr">
        <is>
          <t>a9c13a14-16be-4052-bb69-95af8fb0d548.jpg</t>
        </is>
      </c>
      <c r="B5650">
        <f>HYPERLINK("Объекты недвижимости, не соответствующие градостроительным нормам_00-022_Август/a9c13a14-16be-4052-bb69-95af8fb0d548.jpg","open")</f>
        <v/>
      </c>
      <c r="C5650" t="inlineStr">
        <is>
          <t>685d9054-b74f-49ab-857b-109fd2cec80d</t>
        </is>
      </c>
      <c r="D5650" t="n">
        <v>55.57289</v>
      </c>
      <c r="E5650" t="n">
        <v>37.59109</v>
      </c>
      <c r="F5650" t="inlineStr"/>
      <c r="G5650" t="inlineStr"/>
      <c r="H5650" t="inlineStr"/>
    </row>
    <row r="5651">
      <c r="A5651" t="inlineStr">
        <is>
          <t>f6eae7d4-ba50-4ffe-bae7-b21ffdae739d.jpg</t>
        </is>
      </c>
      <c r="B5651">
        <f>HYPERLINK("Объекты недвижимости, не соответствующие градостроительным нормам_00-022_Август/f6eae7d4-ba50-4ffe-bae7-b21ffdae739d.jpg","open")</f>
        <v/>
      </c>
      <c r="C5651" t="inlineStr">
        <is>
          <t>50e4626c-a80e-42ab-b999-b5092c2c063f</t>
        </is>
      </c>
      <c r="D5651" t="n">
        <v>45.05147</v>
      </c>
      <c r="E5651" t="n">
        <v>33.98138</v>
      </c>
      <c r="F5651" t="inlineStr"/>
      <c r="G5651" t="inlineStr"/>
      <c r="H5651" t="inlineStr"/>
    </row>
    <row r="5652">
      <c r="A5652" t="inlineStr">
        <is>
          <t>c5dbac72-419e-4c0b-942c-997bb31937f7.jpg</t>
        </is>
      </c>
      <c r="B5652">
        <f>HYPERLINK("Объекты недвижимости, не соответствующие градостроительным нормам_00-022_Август/c5dbac72-419e-4c0b-942c-997bb31937f7.jpg","open")</f>
        <v/>
      </c>
      <c r="C5652" t="inlineStr">
        <is>
          <t>030e8755-17c1-44eb-9530-707d0d3121cb</t>
        </is>
      </c>
      <c r="D5652" t="n">
        <v>55.68193</v>
      </c>
      <c r="E5652" t="n">
        <v>37.67366</v>
      </c>
      <c r="F5652" t="inlineStr"/>
      <c r="G5652" t="inlineStr"/>
      <c r="H5652" t="inlineStr"/>
    </row>
    <row r="5653">
      <c r="A5653" t="inlineStr">
        <is>
          <t>fa69fb44-8656-4b67-bb02-0ffbd8076f57.jpg</t>
        </is>
      </c>
      <c r="B5653">
        <f>HYPERLINK("Объекты недвижимости, не соответствующие градостроительным нормам_00-022_Август/fa69fb44-8656-4b67-bb02-0ffbd8076f57.jpg","open")</f>
        <v/>
      </c>
      <c r="C5653" t="inlineStr">
        <is>
          <t>936502dd-24a4-4256-9fdf-0d8fb72af3ed</t>
        </is>
      </c>
      <c r="D5653" t="n">
        <v>55.68193</v>
      </c>
      <c r="E5653" t="n">
        <v>37.67366</v>
      </c>
      <c r="F5653" t="inlineStr"/>
      <c r="G5653" t="inlineStr"/>
      <c r="H5653" t="inlineStr"/>
    </row>
    <row r="5654">
      <c r="A5654" t="inlineStr">
        <is>
          <t>453f473a-aec0-4649-912c-5cbaf100ec1d.jpg</t>
        </is>
      </c>
      <c r="B5654">
        <f>HYPERLINK("Объекты недвижимости, не соответствующие градостроительным нормам_00-022_Август/453f473a-aec0-4649-912c-5cbaf100ec1d.jpg","open")</f>
        <v/>
      </c>
      <c r="C5654" t="inlineStr">
        <is>
          <t>a1a9db89-3f74-42ef-8fad-ad69705102cd</t>
        </is>
      </c>
      <c r="D5654" t="n">
        <v>45.04489</v>
      </c>
      <c r="E5654" t="n">
        <v>33.98714</v>
      </c>
      <c r="F5654" t="inlineStr"/>
      <c r="G5654" t="inlineStr"/>
      <c r="H5654" t="inlineStr"/>
    </row>
    <row r="5655">
      <c r="A5655" t="inlineStr">
        <is>
          <t>84c11bdd-8cf8-4018-84d7-63d44358fddc.jpg</t>
        </is>
      </c>
      <c r="B5655">
        <f>HYPERLINK("Объекты недвижимости, не соответствующие градостроительным нормам_00-022_Август/84c11bdd-8cf8-4018-84d7-63d44358fddc.jpg","open")</f>
        <v/>
      </c>
      <c r="C5655" t="inlineStr">
        <is>
          <t>cbf95b01-f708-45a3-9ec0-3603469b538e</t>
        </is>
      </c>
      <c r="D5655" t="n">
        <v>45.04489</v>
      </c>
      <c r="E5655" t="n">
        <v>33.98714</v>
      </c>
      <c r="F5655" t="inlineStr"/>
      <c r="G5655" t="inlineStr"/>
      <c r="H5655" t="inlineStr"/>
    </row>
    <row r="5656">
      <c r="A5656" t="inlineStr">
        <is>
          <t>b707a54c-29c0-4eb8-90ed-a22d702a2863.jpg</t>
        </is>
      </c>
      <c r="B5656">
        <f>HYPERLINK("Объекты недвижимости, не соответствующие градостроительным нормам_00-022_Август/b707a54c-29c0-4eb8-90ed-a22d702a2863.jpg","open")</f>
        <v/>
      </c>
      <c r="C5656" t="inlineStr">
        <is>
          <t>cbf95b01-f708-45a3-9ec0-3603469b538e</t>
        </is>
      </c>
      <c r="D5656" t="n">
        <v>45.04489</v>
      </c>
      <c r="E5656" t="n">
        <v>33.98714</v>
      </c>
      <c r="F5656" t="inlineStr"/>
      <c r="G5656" t="inlineStr"/>
      <c r="H5656" t="inlineStr"/>
    </row>
    <row r="5657">
      <c r="A5657" t="inlineStr">
        <is>
          <t>9003d595-dd39-48f8-9625-317d5d86f863.jpg</t>
        </is>
      </c>
      <c r="B5657">
        <f>HYPERLINK("Объекты недвижимости, не соответствующие градостроительным нормам_00-022_Август/9003d595-dd39-48f8-9625-317d5d86f863.jpg","open")</f>
        <v/>
      </c>
      <c r="C5657" t="inlineStr">
        <is>
          <t>cbf95b01-f708-45a3-9ec0-3603469b538e</t>
        </is>
      </c>
      <c r="D5657" t="n">
        <v>45.04489</v>
      </c>
      <c r="E5657" t="n">
        <v>33.98714</v>
      </c>
      <c r="F5657" t="inlineStr"/>
      <c r="G5657" t="inlineStr"/>
      <c r="H5657" t="inlineStr"/>
    </row>
    <row r="5658">
      <c r="A5658" t="inlineStr">
        <is>
          <t>e24ef133-0b52-4e4a-af19-2c61f0e44a42.jpg</t>
        </is>
      </c>
      <c r="B5658">
        <f>HYPERLINK("Объекты недвижимости, не соответствующие градостроительным нормам_00-022_Август/e24ef133-0b52-4e4a-af19-2c61f0e44a42.jpg","open")</f>
        <v/>
      </c>
      <c r="C5658" t="inlineStr">
        <is>
          <t>a1a9db89-3f74-42ef-8fad-ad69705102cd</t>
        </is>
      </c>
      <c r="D5658" t="n">
        <v>45.04489</v>
      </c>
      <c r="E5658" t="n">
        <v>33.98714</v>
      </c>
      <c r="F5658" t="inlineStr"/>
      <c r="G5658" t="inlineStr"/>
      <c r="H5658" t="inlineStr"/>
    </row>
    <row r="5659">
      <c r="A5659" t="inlineStr">
        <is>
          <t>c35ec30e-2051-4177-becd-f7aa5cd49cc7.jpg</t>
        </is>
      </c>
      <c r="B5659">
        <f>HYPERLINK("Объекты недвижимости, не соответствующие градостроительным нормам_00-022_Август/c35ec30e-2051-4177-becd-f7aa5cd49cc7.jpg","open")</f>
        <v/>
      </c>
      <c r="C5659" t="inlineStr">
        <is>
          <t>cbf95b01-f708-45a3-9ec0-3603469b538e</t>
        </is>
      </c>
      <c r="D5659" t="n">
        <v>45.04489</v>
      </c>
      <c r="E5659" t="n">
        <v>33.98714</v>
      </c>
      <c r="F5659" t="inlineStr"/>
      <c r="G5659" t="inlineStr"/>
      <c r="H5659" t="inlineStr"/>
    </row>
    <row r="5660">
      <c r="A5660" t="inlineStr">
        <is>
          <t>da4e8cd0-40e6-43b7-90a8-69db2b69ffb7.jpg</t>
        </is>
      </c>
      <c r="B5660">
        <f>HYPERLINK("Объекты недвижимости, не соответствующие градостроительным нормам_00-022_Август/da4e8cd0-40e6-43b7-90a8-69db2b69ffb7.jpg","open")</f>
        <v/>
      </c>
      <c r="C5660" t="inlineStr">
        <is>
          <t>cbf95b01-f708-45a3-9ec0-3603469b538e</t>
        </is>
      </c>
      <c r="D5660" t="n">
        <v>45.04489</v>
      </c>
      <c r="E5660" t="n">
        <v>33.98714</v>
      </c>
      <c r="F5660" t="inlineStr"/>
      <c r="G5660" t="inlineStr"/>
      <c r="H5660" t="inlineStr"/>
    </row>
    <row r="5661">
      <c r="A5661" t="inlineStr">
        <is>
          <t>a6a9bd9e-5d62-4cd1-a131-eb1a83264a03.jpg</t>
        </is>
      </c>
      <c r="B5661">
        <f>HYPERLINK("Объекты недвижимости, не соответствующие градостроительным нормам_00-022_Август/a6a9bd9e-5d62-4cd1-a131-eb1a83264a03.jpg","open")</f>
        <v/>
      </c>
      <c r="C5661" t="inlineStr">
        <is>
          <t>cbf95b01-f708-45a3-9ec0-3603469b538e</t>
        </is>
      </c>
      <c r="D5661" t="n">
        <v>45.04489</v>
      </c>
      <c r="E5661" t="n">
        <v>33.98714</v>
      </c>
      <c r="F5661" t="inlineStr"/>
      <c r="G5661" t="inlineStr"/>
      <c r="H5661" t="inlineStr"/>
    </row>
    <row r="5662">
      <c r="A5662" t="inlineStr">
        <is>
          <t>11a4fcd0-8863-4b90-9df6-dfbf8c098f27.jpg</t>
        </is>
      </c>
      <c r="B5662">
        <f>HYPERLINK("Объекты недвижимости, не соответствующие градостроительным нормам_00-022_Август/11a4fcd0-8863-4b90-9df6-dfbf8c098f27.jpg","open")</f>
        <v/>
      </c>
      <c r="C5662" t="inlineStr">
        <is>
          <t>cbf95b01-f708-45a3-9ec0-3603469b538e</t>
        </is>
      </c>
      <c r="D5662" t="n">
        <v>45.04489</v>
      </c>
      <c r="E5662" t="n">
        <v>33.98714</v>
      </c>
      <c r="F5662" t="inlineStr"/>
      <c r="G5662" t="inlineStr"/>
      <c r="H5662" t="inlineStr"/>
    </row>
    <row r="5663">
      <c r="A5663" t="inlineStr">
        <is>
          <t>d7218407-5d9f-401d-9de6-868d20bc0ee1.jpg</t>
        </is>
      </c>
      <c r="B5663">
        <f>HYPERLINK("Объекты недвижимости, не соответствующие градостроительным нормам_00-022_Август/d7218407-5d9f-401d-9de6-868d20bc0ee1.jpg","open")</f>
        <v/>
      </c>
      <c r="C5663" t="inlineStr">
        <is>
          <t>a1a9db89-3f74-42ef-8fad-ad69705102cd</t>
        </is>
      </c>
      <c r="D5663" t="n">
        <v>45.04489</v>
      </c>
      <c r="E5663" t="n">
        <v>33.98714</v>
      </c>
      <c r="F5663" t="inlineStr"/>
      <c r="G5663" t="inlineStr"/>
      <c r="H5663" t="inlineStr"/>
    </row>
    <row r="5664">
      <c r="A5664" t="inlineStr">
        <is>
          <t>3ae774b4-516d-4d9e-a68e-657d7c2e9ee9.jpg</t>
        </is>
      </c>
      <c r="B5664">
        <f>HYPERLINK("Объекты недвижимости, не соответствующие градостроительным нормам_00-022_Август/3ae774b4-516d-4d9e-a68e-657d7c2e9ee9.jpg","open")</f>
        <v/>
      </c>
      <c r="C5664" t="inlineStr">
        <is>
          <t>cbf95b01-f708-45a3-9ec0-3603469b538e</t>
        </is>
      </c>
      <c r="D5664" t="n">
        <v>45.04489</v>
      </c>
      <c r="E5664" t="n">
        <v>33.98714</v>
      </c>
      <c r="F5664" t="inlineStr"/>
      <c r="G5664" t="inlineStr"/>
      <c r="H5664" t="inlineStr"/>
    </row>
    <row r="5665">
      <c r="A5665" t="inlineStr">
        <is>
          <t>a2688be6-145e-4da1-ade0-5216f2fcf985.jpg</t>
        </is>
      </c>
      <c r="B5665">
        <f>HYPERLINK("Объекты недвижимости, не соответствующие градостроительным нормам_00-022_Август/a2688be6-145e-4da1-ade0-5216f2fcf985.jpg","open")</f>
        <v/>
      </c>
      <c r="C5665" t="inlineStr">
        <is>
          <t>cbf95b01-f708-45a3-9ec0-3603469b538e</t>
        </is>
      </c>
      <c r="D5665" t="n">
        <v>45.04489</v>
      </c>
      <c r="E5665" t="n">
        <v>33.98714</v>
      </c>
      <c r="F5665" t="inlineStr"/>
      <c r="G5665" t="inlineStr"/>
      <c r="H5665" t="inlineStr"/>
    </row>
    <row r="5666">
      <c r="A5666" t="inlineStr">
        <is>
          <t>84db966b-5ee2-42af-814b-d580d645f08e.jpg</t>
        </is>
      </c>
      <c r="B5666">
        <f>HYPERLINK("Объекты недвижимости, не соответствующие градостроительным нормам_00-022_Август/84db966b-5ee2-42af-814b-d580d645f08e.jpg","open")</f>
        <v/>
      </c>
      <c r="C5666" t="inlineStr">
        <is>
          <t>a1a9db89-3f74-42ef-8fad-ad69705102cd</t>
        </is>
      </c>
      <c r="D5666" t="n">
        <v>45.04489</v>
      </c>
      <c r="E5666" t="n">
        <v>33.98714</v>
      </c>
      <c r="F5666" t="inlineStr"/>
      <c r="G5666" t="inlineStr"/>
      <c r="H5666" t="inlineStr"/>
    </row>
    <row r="5667">
      <c r="A5667" t="inlineStr">
        <is>
          <t>446e2f56-cd51-4574-84ee-20d6ff1abab5.jpg</t>
        </is>
      </c>
      <c r="B5667">
        <f>HYPERLINK("Объекты недвижимости, не соответствующие градостроительным нормам_00-022_Август/446e2f56-cd51-4574-84ee-20d6ff1abab5.jpg","open")</f>
        <v/>
      </c>
      <c r="C5667" t="inlineStr">
        <is>
          <t>cbf95b01-f708-45a3-9ec0-3603469b538e</t>
        </is>
      </c>
      <c r="D5667" t="n">
        <v>45.04489</v>
      </c>
      <c r="E5667" t="n">
        <v>33.98714</v>
      </c>
      <c r="F5667" t="inlineStr"/>
      <c r="G5667" t="inlineStr"/>
      <c r="H5667" t="inlineStr"/>
    </row>
    <row r="5668">
      <c r="A5668" t="inlineStr">
        <is>
          <t>11376914-12c0-4b62-befa-60e58e8e95ca.jpg</t>
        </is>
      </c>
      <c r="B5668">
        <f>HYPERLINK("Объекты недвижимости, не соответствующие градостроительным нормам_00-022_Август/11376914-12c0-4b62-befa-60e58e8e95ca.jpg","open")</f>
        <v/>
      </c>
      <c r="C5668" t="inlineStr">
        <is>
          <t>a1a9db89-3f74-42ef-8fad-ad69705102cd</t>
        </is>
      </c>
      <c r="D5668" t="n">
        <v>45.04489</v>
      </c>
      <c r="E5668" t="n">
        <v>33.98714</v>
      </c>
      <c r="F5668" t="inlineStr"/>
      <c r="G5668" t="inlineStr"/>
      <c r="H5668" t="inlineStr"/>
    </row>
    <row r="5669">
      <c r="A5669" t="inlineStr">
        <is>
          <t>45b23f03-df39-4afc-a345-5b52dd7c9808.jpg</t>
        </is>
      </c>
      <c r="B5669">
        <f>HYPERLINK("Объекты недвижимости, не соответствующие градостроительным нормам_00-022_Август/45b23f03-df39-4afc-a345-5b52dd7c9808.jpg","open")</f>
        <v/>
      </c>
      <c r="C5669" t="inlineStr">
        <is>
          <t>8cde1fd0-eca1-4510-86ab-3c743b65fdfc</t>
        </is>
      </c>
      <c r="D5669" t="n">
        <v>55.87367</v>
      </c>
      <c r="E5669" t="n">
        <v>37.55862</v>
      </c>
      <c r="F5669" t="inlineStr"/>
      <c r="G5669" t="inlineStr"/>
      <c r="H5669" t="inlineStr"/>
    </row>
    <row r="5670">
      <c r="A5670" t="inlineStr">
        <is>
          <t>bd42c26d-1844-465f-a909-9143d5fc239a.jpg</t>
        </is>
      </c>
      <c r="B5670">
        <f>HYPERLINK("Объекты недвижимости, не соответствующие градостроительным нормам_00-022_Август/bd42c26d-1844-465f-a909-9143d5fc239a.jpg","open")</f>
        <v/>
      </c>
      <c r="C5670" t="inlineStr">
        <is>
          <t>cbf95b01-f708-45a3-9ec0-3603469b538e</t>
        </is>
      </c>
      <c r="D5670" t="n">
        <v>45.04489</v>
      </c>
      <c r="E5670" t="n">
        <v>33.98714</v>
      </c>
      <c r="F5670" t="inlineStr"/>
      <c r="G5670" t="inlineStr"/>
      <c r="H5670" t="inlineStr"/>
    </row>
    <row r="5671">
      <c r="A5671" t="inlineStr">
        <is>
          <t>f6a67fa9-50ed-42da-bd5b-10cd2b20756a.jpg</t>
        </is>
      </c>
      <c r="B5671">
        <f>HYPERLINK("Объекты недвижимости, не соответствующие градостроительным нормам_00-022_Август/f6a67fa9-50ed-42da-bd5b-10cd2b20756a.jpg","open")</f>
        <v/>
      </c>
      <c r="C5671" t="inlineStr">
        <is>
          <t>a1a9db89-3f74-42ef-8fad-ad69705102cd</t>
        </is>
      </c>
      <c r="D5671" t="n">
        <v>45.04489</v>
      </c>
      <c r="E5671" t="n">
        <v>33.98714</v>
      </c>
      <c r="F5671" t="inlineStr"/>
      <c r="G5671" t="inlineStr"/>
      <c r="H5671" t="inlineStr"/>
    </row>
    <row r="5672">
      <c r="A5672" t="inlineStr">
        <is>
          <t>18486d93-12ce-43db-8f9b-ef04ff3bcda8.jpg</t>
        </is>
      </c>
      <c r="B5672">
        <f>HYPERLINK("Объекты недвижимости, не соответствующие градостроительным нормам_00-022_Август/18486d93-12ce-43db-8f9b-ef04ff3bcda8.jpg","open")</f>
        <v/>
      </c>
      <c r="C5672" t="inlineStr">
        <is>
          <t>cbf95b01-f708-45a3-9ec0-3603469b538e</t>
        </is>
      </c>
      <c r="D5672" t="n">
        <v>45.04489</v>
      </c>
      <c r="E5672" t="n">
        <v>33.98714</v>
      </c>
      <c r="F5672" t="inlineStr"/>
      <c r="G5672" t="inlineStr"/>
      <c r="H5672" t="inlineStr"/>
    </row>
    <row r="5673">
      <c r="A5673" t="inlineStr">
        <is>
          <t>16709ec7-20e6-417e-ae41-c438fb7a8af7.jpg</t>
        </is>
      </c>
      <c r="B5673">
        <f>HYPERLINK("Объекты недвижимости, не соответствующие градостроительным нормам_00-022_Август/16709ec7-20e6-417e-ae41-c438fb7a8af7.jpg","open")</f>
        <v/>
      </c>
      <c r="C5673" t="inlineStr">
        <is>
          <t>cbf95b01-f708-45a3-9ec0-3603469b538e</t>
        </is>
      </c>
      <c r="D5673" t="n">
        <v>45.04489</v>
      </c>
      <c r="E5673" t="n">
        <v>33.98714</v>
      </c>
      <c r="F5673" t="inlineStr"/>
      <c r="G5673" t="inlineStr"/>
      <c r="H5673" t="inlineStr"/>
    </row>
    <row r="5674">
      <c r="A5674" t="inlineStr">
        <is>
          <t>31fa1d72-80c9-49eb-8b92-3d8cee1405d3.jpg</t>
        </is>
      </c>
      <c r="B5674">
        <f>HYPERLINK("Объекты недвижимости, не соответствующие градостроительным нормам_00-022_Август/31fa1d72-80c9-49eb-8b92-3d8cee1405d3.jpg","open")</f>
        <v/>
      </c>
      <c r="C5674" t="inlineStr">
        <is>
          <t>b6b3590f-f506-4399-8205-e7ac710132e7</t>
        </is>
      </c>
      <c r="D5674" t="n">
        <v>55.79795</v>
      </c>
      <c r="E5674" t="n">
        <v>37.53942</v>
      </c>
      <c r="F5674" t="inlineStr"/>
      <c r="G5674" t="inlineStr"/>
      <c r="H5674" t="inlineStr"/>
    </row>
    <row r="5675">
      <c r="A5675" t="inlineStr">
        <is>
          <t>a199d231-32e2-46b6-8387-90761890d11f.jpg</t>
        </is>
      </c>
      <c r="B5675">
        <f>HYPERLINK("Объекты недвижимости, не соответствующие градостроительным нормам_00-022_Август/a199d231-32e2-46b6-8387-90761890d11f.jpg","open")</f>
        <v/>
      </c>
      <c r="C5675" t="inlineStr">
        <is>
          <t>a1a9db89-3f74-42ef-8fad-ad69705102cd</t>
        </is>
      </c>
      <c r="D5675" t="n">
        <v>45.04489</v>
      </c>
      <c r="E5675" t="n">
        <v>33.98714</v>
      </c>
      <c r="F5675" t="inlineStr"/>
      <c r="G5675" t="inlineStr"/>
      <c r="H5675" t="inlineStr"/>
    </row>
    <row r="5676">
      <c r="A5676" t="inlineStr">
        <is>
          <t>d860dc72-ec33-4e47-a0b3-e78203657620.jpg</t>
        </is>
      </c>
      <c r="B5676">
        <f>HYPERLINK("Объекты недвижимости, не соответствующие градостроительным нормам_00-022_Август/d860dc72-ec33-4e47-a0b3-e78203657620.jpg","open")</f>
        <v/>
      </c>
      <c r="C5676" t="inlineStr">
        <is>
          <t>1c951e11-4940-43c6-a447-394097e5609a</t>
        </is>
      </c>
      <c r="D5676" t="n">
        <v>55.8756</v>
      </c>
      <c r="E5676" t="n">
        <v>37.56787</v>
      </c>
      <c r="F5676" t="inlineStr"/>
      <c r="G5676" t="inlineStr"/>
      <c r="H5676" t="inlineStr"/>
    </row>
    <row r="5677">
      <c r="A5677" t="inlineStr">
        <is>
          <t>4165e866-4f96-4f27-a86c-8d7ead885aa1.jpg</t>
        </is>
      </c>
      <c r="B5677">
        <f>HYPERLINK("Объекты недвижимости, не соответствующие градостроительным нормам_00-022_Август/4165e866-4f96-4f27-a86c-8d7ead885aa1.jpg","open")</f>
        <v/>
      </c>
      <c r="C5677" t="inlineStr">
        <is>
          <t>cbf95b01-f708-45a3-9ec0-3603469b538e</t>
        </is>
      </c>
      <c r="D5677" t="n">
        <v>45.04489</v>
      </c>
      <c r="E5677" t="n">
        <v>33.98714</v>
      </c>
      <c r="F5677" t="inlineStr"/>
      <c r="G5677" t="inlineStr"/>
      <c r="H5677" t="inlineStr"/>
    </row>
    <row r="5678">
      <c r="A5678" t="inlineStr">
        <is>
          <t>b0607da2-6204-4d40-9118-b5bd9f92dea7.jpg</t>
        </is>
      </c>
      <c r="B5678">
        <f>HYPERLINK("Объекты недвижимости, не соответствующие градостроительным нормам_00-022_Август/b0607da2-6204-4d40-9118-b5bd9f92dea7.jpg","open")</f>
        <v/>
      </c>
      <c r="C5678" t="inlineStr">
        <is>
          <t>1c951e11-4940-43c6-a447-394097e5609a</t>
        </is>
      </c>
      <c r="D5678" t="n">
        <v>55.87204</v>
      </c>
      <c r="E5678" t="n">
        <v>37.57002</v>
      </c>
      <c r="F5678" t="inlineStr"/>
      <c r="G5678" t="inlineStr"/>
      <c r="H5678" t="inlineStr"/>
    </row>
    <row r="5679">
      <c r="A5679" t="inlineStr">
        <is>
          <t>69df58c0-581a-4bd1-9887-f8d732708f41.jpg</t>
        </is>
      </c>
      <c r="B5679">
        <f>HYPERLINK("Объекты недвижимости, не соответствующие градостроительным нормам_00-022_Август/69df58c0-581a-4bd1-9887-f8d732708f41.jpg","open")</f>
        <v/>
      </c>
      <c r="C5679" t="inlineStr">
        <is>
          <t>8cde1fd0-eca1-4510-86ab-3c743b65fdfc</t>
        </is>
      </c>
      <c r="D5679" t="n">
        <v>55.87193</v>
      </c>
      <c r="E5679" t="n">
        <v>37.57008</v>
      </c>
      <c r="F5679" t="inlineStr"/>
      <c r="G5679" t="inlineStr"/>
      <c r="H5679" t="inlineStr"/>
    </row>
    <row r="5680">
      <c r="A5680" t="inlineStr">
        <is>
          <t>edbc79f9-4685-4831-868e-b58ac55bc0fb.jpg</t>
        </is>
      </c>
      <c r="B5680">
        <f>HYPERLINK("Объекты недвижимости, не соответствующие градостроительным нормам_00-022_Август/edbc79f9-4685-4831-868e-b58ac55bc0fb.jpg","open")</f>
        <v/>
      </c>
      <c r="C5680" t="inlineStr">
        <is>
          <t>1c951e11-4940-43c6-a447-394097e5609a</t>
        </is>
      </c>
      <c r="D5680" t="n">
        <v>55.87189</v>
      </c>
      <c r="E5680" t="n">
        <v>37.57012</v>
      </c>
      <c r="F5680" t="inlineStr"/>
      <c r="G5680" t="inlineStr"/>
      <c r="H5680" t="inlineStr"/>
    </row>
    <row r="5681">
      <c r="A5681" t="inlineStr">
        <is>
          <t>8a8a5b01-7a44-4813-af5e-608ab6ef82e9.jpg</t>
        </is>
      </c>
      <c r="B5681">
        <f>HYPERLINK("Объекты недвижимости, не соответствующие градостроительным нормам_00-022_Август/8a8a5b01-7a44-4813-af5e-608ab6ef82e9.jpg","open")</f>
        <v/>
      </c>
      <c r="C5681" t="inlineStr">
        <is>
          <t>cbf95b01-f708-45a3-9ec0-3603469b538e</t>
        </is>
      </c>
      <c r="D5681" t="n">
        <v>45.04489</v>
      </c>
      <c r="E5681" t="n">
        <v>33.98714</v>
      </c>
      <c r="F5681" t="inlineStr"/>
      <c r="G5681" t="inlineStr"/>
      <c r="H5681" t="inlineStr"/>
    </row>
    <row r="5682">
      <c r="A5682" t="inlineStr">
        <is>
          <t>d86f88aa-d2c1-4419-b411-12386a79c3b4.jpg</t>
        </is>
      </c>
      <c r="B5682">
        <f>HYPERLINK("Объекты недвижимости, не соответствующие градостроительным нормам_00-022_Август/d86f88aa-d2c1-4419-b411-12386a79c3b4.jpg","open")</f>
        <v/>
      </c>
      <c r="C5682" t="inlineStr">
        <is>
          <t>5e5b9944-4f9e-4223-bf96-0bc0c8a93dfa</t>
        </is>
      </c>
      <c r="D5682" t="n">
        <v>45.05206</v>
      </c>
      <c r="E5682" t="n">
        <v>33.98257</v>
      </c>
      <c r="F5682" t="inlineStr"/>
      <c r="G5682" t="inlineStr"/>
      <c r="H5682" t="inlineStr"/>
    </row>
    <row r="5683">
      <c r="A5683" t="inlineStr">
        <is>
          <t>8cfbda32-7bd3-4f36-9032-80e87ef12419.jpg</t>
        </is>
      </c>
      <c r="B5683">
        <f>HYPERLINK("Объекты недвижимости, не соответствующие градостроительным нормам_00-022_Август/8cfbda32-7bd3-4f36-9032-80e87ef12419.jpg","open")</f>
        <v/>
      </c>
      <c r="C5683" t="inlineStr">
        <is>
          <t>789f6c51-64ee-4078-b7bd-443af8b8b68a</t>
        </is>
      </c>
      <c r="D5683" t="n">
        <v>45.05257</v>
      </c>
      <c r="E5683" t="n">
        <v>33.98151</v>
      </c>
      <c r="F5683" t="inlineStr"/>
      <c r="G5683" t="inlineStr"/>
      <c r="H5683" t="inlineStr"/>
    </row>
    <row r="5684">
      <c r="A5684" t="inlineStr">
        <is>
          <t>15684ad5-1cfa-49bd-abc3-29e6db1b4f7a.jpg</t>
        </is>
      </c>
      <c r="B5684">
        <f>HYPERLINK("Объекты недвижимости, не соответствующие градостроительным нормам_00-022_Август/15684ad5-1cfa-49bd-abc3-29e6db1b4f7a.jpg","open")</f>
        <v/>
      </c>
      <c r="C5684" t="inlineStr">
        <is>
          <t>93848fc8-17e7-4748-9ebc-c7e379e11d2f</t>
        </is>
      </c>
      <c r="D5684" t="n">
        <v>45.03004</v>
      </c>
      <c r="E5684" t="n">
        <v>33.99072</v>
      </c>
      <c r="F5684" t="inlineStr"/>
      <c r="G5684" t="inlineStr"/>
      <c r="H5684" t="inlineStr"/>
    </row>
    <row r="5685">
      <c r="A5685" t="inlineStr">
        <is>
          <t>cf62e24d-1c0a-4922-9992-37c93280e455.jpg</t>
        </is>
      </c>
      <c r="B5685">
        <f>HYPERLINK("Объекты недвижимости, не соответствующие градостроительным нормам_00-022_Август/cf62e24d-1c0a-4922-9992-37c93280e455.jpg","open")</f>
        <v/>
      </c>
      <c r="C5685" t="inlineStr">
        <is>
          <t>2acfb2da-e3f6-464c-bd17-4b713522c142</t>
        </is>
      </c>
      <c r="D5685" t="n">
        <v>45.05257</v>
      </c>
      <c r="E5685" t="n">
        <v>33.98151</v>
      </c>
      <c r="F5685" t="inlineStr"/>
      <c r="G5685" t="inlineStr"/>
      <c r="H5685" t="inlineStr"/>
    </row>
    <row r="5686">
      <c r="A5686" t="inlineStr">
        <is>
          <t>458b78a0-84f2-4dff-8e9f-9a0190c711f4.jpg</t>
        </is>
      </c>
      <c r="B5686">
        <f>HYPERLINK("Объекты недвижимости, не соответствующие градостроительным нормам_00-022_Август/458b78a0-84f2-4dff-8e9f-9a0190c711f4.jpg","open")</f>
        <v/>
      </c>
      <c r="C5686" t="inlineStr">
        <is>
          <t>685d9054-b74f-49ab-857b-109fd2cec80d</t>
        </is>
      </c>
      <c r="D5686" t="n">
        <v>55.57421</v>
      </c>
      <c r="E5686" t="n">
        <v>37.5825</v>
      </c>
      <c r="F5686" t="inlineStr"/>
      <c r="G5686" t="inlineStr"/>
      <c r="H5686" t="inlineStr"/>
    </row>
    <row r="5687">
      <c r="A5687" t="inlineStr">
        <is>
          <t>8a8b9dc5-219f-4a7f-bd8c-191d2e0a403d.jpg</t>
        </is>
      </c>
      <c r="B5687">
        <f>HYPERLINK("Объекты недвижимости, не соответствующие градостроительным нормам_00-022_Август/8a8b9dc5-219f-4a7f-bd8c-191d2e0a403d.jpg","open")</f>
        <v/>
      </c>
      <c r="C5687" t="inlineStr">
        <is>
          <t>50e4626c-a80e-42ab-b999-b5092c2c063f</t>
        </is>
      </c>
      <c r="D5687" t="n">
        <v>45.05147</v>
      </c>
      <c r="E5687" t="n">
        <v>33.98138</v>
      </c>
      <c r="F5687" t="inlineStr"/>
      <c r="G5687" t="inlineStr"/>
      <c r="H5687" t="inlineStr"/>
    </row>
    <row r="5688">
      <c r="A5688" t="inlineStr">
        <is>
          <t>295340c0-d903-4994-8ed7-e8181a76b6dc.jpg</t>
        </is>
      </c>
      <c r="B5688">
        <f>HYPERLINK("Объекты недвижимости, не соответствующие градостроительным нормам_00-022_Август/295340c0-d903-4994-8ed7-e8181a76b6dc.jpg","open")</f>
        <v/>
      </c>
      <c r="C5688" t="inlineStr">
        <is>
          <t>57812597-37e6-414c-8b11-8c661dbfeb70</t>
        </is>
      </c>
      <c r="D5688" t="n">
        <v>55.67162</v>
      </c>
      <c r="E5688" t="n">
        <v>37.47694</v>
      </c>
      <c r="F5688" t="inlineStr"/>
      <c r="G5688" t="inlineStr"/>
      <c r="H5688" t="inlineStr"/>
    </row>
    <row r="5689">
      <c r="A5689" t="inlineStr">
        <is>
          <t>4647eecb-d495-4483-ae5c-b478f9fc0adc.jpg</t>
        </is>
      </c>
      <c r="B5689">
        <f>HYPERLINK("Объекты недвижимости, не соответствующие градостроительным нормам_00-022_Август/4647eecb-d495-4483-ae5c-b478f9fc0adc.jpg","open")</f>
        <v/>
      </c>
      <c r="C5689" t="inlineStr">
        <is>
          <t>685d9054-b74f-49ab-857b-109fd2cec80d</t>
        </is>
      </c>
      <c r="D5689" t="n">
        <v>55.5737</v>
      </c>
      <c r="E5689" t="n">
        <v>37.58335</v>
      </c>
      <c r="F5689" t="inlineStr"/>
      <c r="G5689" t="inlineStr"/>
      <c r="H5689" t="inlineStr"/>
    </row>
    <row r="5690">
      <c r="A5690" t="inlineStr">
        <is>
          <t>af6f9b59-5593-4b7b-b11b-8ff4842a225c.jpg</t>
        </is>
      </c>
      <c r="B5690">
        <f>HYPERLINK("Объекты недвижимости, не соответствующие градостроительным нормам_00-022_Август/af6f9b59-5593-4b7b-b11b-8ff4842a225c.jpg","open")</f>
        <v/>
      </c>
      <c r="C5690" t="inlineStr">
        <is>
          <t>1231bbc5-e64c-4dc7-9acc-77710f47607a</t>
        </is>
      </c>
      <c r="D5690" t="n">
        <v>55.57424</v>
      </c>
      <c r="E5690" t="n">
        <v>37.58351</v>
      </c>
      <c r="F5690" t="inlineStr"/>
      <c r="G5690" t="inlineStr"/>
      <c r="H5690" t="inlineStr"/>
    </row>
    <row r="5691">
      <c r="A5691" t="inlineStr">
        <is>
          <t>71493c33-1784-4493-b008-274a86f40e07.jpg</t>
        </is>
      </c>
      <c r="B5691">
        <f>HYPERLINK("Объекты недвижимости, не соответствующие градостроительным нормам_00-022_Август/71493c33-1784-4493-b008-274a86f40e07.jpg","open")</f>
        <v/>
      </c>
      <c r="C5691" t="inlineStr">
        <is>
          <t>685d9054-b74f-49ab-857b-109fd2cec80d</t>
        </is>
      </c>
      <c r="D5691" t="n">
        <v>55.57427</v>
      </c>
      <c r="E5691" t="n">
        <v>37.58352</v>
      </c>
      <c r="F5691" t="inlineStr"/>
      <c r="G5691" t="inlineStr"/>
      <c r="H5691" t="inlineStr"/>
    </row>
    <row r="5692">
      <c r="A5692" t="inlineStr">
        <is>
          <t>0bda31af-3167-46a2-b195-b75b2dd8b46a.jpg</t>
        </is>
      </c>
      <c r="B5692">
        <f>HYPERLINK("Объекты недвижимости, не соответствующие градостроительным нормам_00-022_Август/0bda31af-3167-46a2-b195-b75b2dd8b46a.jpg","open")</f>
        <v/>
      </c>
      <c r="C5692" t="inlineStr">
        <is>
          <t>9f88688f-4c81-42a8-b76a-3c3e7edf869e</t>
        </is>
      </c>
      <c r="D5692" t="n">
        <v>55.80078</v>
      </c>
      <c r="E5692" t="n">
        <v>37.69895</v>
      </c>
      <c r="F5692" t="inlineStr"/>
      <c r="G5692" t="inlineStr"/>
      <c r="H5692" t="inlineStr"/>
    </row>
    <row r="5693">
      <c r="A5693" t="inlineStr">
        <is>
          <t>16c7d00b-b826-47f3-a545-665683cfe952.jpg</t>
        </is>
      </c>
      <c r="B5693">
        <f>HYPERLINK("Объекты недвижимости, не соответствующие градостроительным нормам_00-022_Август/16c7d00b-b826-47f3-a545-665683cfe952.jpg","open")</f>
        <v/>
      </c>
      <c r="C5693" t="inlineStr">
        <is>
          <t>31a713a9-b910-424b-b847-e0eaa2f70c70</t>
        </is>
      </c>
      <c r="D5693" t="n">
        <v>45.04976</v>
      </c>
      <c r="E5693" t="n">
        <v>33.97305</v>
      </c>
      <c r="F5693" t="inlineStr"/>
      <c r="G5693" t="inlineStr"/>
      <c r="H5693" t="inlineStr"/>
    </row>
    <row r="5694">
      <c r="A5694" t="inlineStr">
        <is>
          <t>f7f23b81-7911-4a61-8601-7542a03e9745.jpg</t>
        </is>
      </c>
      <c r="B5694">
        <f>HYPERLINK("Объекты недвижимости, не соответствующие градостроительным нормам_00-022_Август/f7f23b81-7911-4a61-8601-7542a03e9745.jpg","open")</f>
        <v/>
      </c>
      <c r="C5694" t="inlineStr">
        <is>
          <t>caa4772d-6278-4484-a046-ee25514bf521</t>
        </is>
      </c>
      <c r="D5694" t="n">
        <v>55.72173</v>
      </c>
      <c r="E5694" t="n">
        <v>37.76377</v>
      </c>
      <c r="F5694" t="inlineStr"/>
      <c r="G5694" t="inlineStr"/>
      <c r="H5694" t="inlineStr"/>
    </row>
    <row r="5695">
      <c r="A5695" t="inlineStr">
        <is>
          <t>0dc05317-f198-4de0-87eb-3ecc6d95bbec.jpg</t>
        </is>
      </c>
      <c r="B5695">
        <f>HYPERLINK("Объекты недвижимости, не соответствующие градостроительным нормам_00-022_Август/0dc05317-f198-4de0-87eb-3ecc6d95bbec.jpg","open")</f>
        <v/>
      </c>
      <c r="C5695" t="inlineStr">
        <is>
          <t>caa4772d-6278-4484-a046-ee25514bf521</t>
        </is>
      </c>
      <c r="D5695" t="n">
        <v>55.72112</v>
      </c>
      <c r="E5695" t="n">
        <v>37.7632</v>
      </c>
      <c r="F5695" t="inlineStr"/>
      <c r="G5695" t="inlineStr"/>
      <c r="H5695" t="inlineStr"/>
    </row>
    <row r="5696">
      <c r="A5696" t="inlineStr">
        <is>
          <t>1b7e3165-4986-46b0-9f48-13379760088a.jpg</t>
        </is>
      </c>
      <c r="B5696">
        <f>HYPERLINK("Объекты недвижимости, не соответствующие градостроительным нормам_00-022_Август/1b7e3165-4986-46b0-9f48-13379760088a.jpg","open")</f>
        <v/>
      </c>
      <c r="C5696" t="inlineStr">
        <is>
          <t>1c951e11-4940-43c6-a447-394097e5609a</t>
        </is>
      </c>
      <c r="D5696" t="n">
        <v>55.88604</v>
      </c>
      <c r="E5696" t="n">
        <v>37.56584</v>
      </c>
      <c r="F5696" t="inlineStr"/>
      <c r="G5696" t="inlineStr"/>
      <c r="H5696" t="inlineStr"/>
    </row>
    <row r="5697">
      <c r="A5697" t="inlineStr">
        <is>
          <t>e3f784d2-5a1a-4f0f-9918-642f83af8aa1.jpg</t>
        </is>
      </c>
      <c r="B5697">
        <f>HYPERLINK("Объекты недвижимости, не соответствующие градостроительным нормам_00-022_Август/e3f784d2-5a1a-4f0f-9918-642f83af8aa1.jpg","open")</f>
        <v/>
      </c>
      <c r="C5697" t="inlineStr">
        <is>
          <t>61936922-4d4b-458e-80ea-6d4c450aa1d5</t>
        </is>
      </c>
      <c r="D5697" t="n">
        <v>41.19006</v>
      </c>
      <c r="E5697" t="n">
        <v>35.51889</v>
      </c>
      <c r="F5697" t="inlineStr"/>
      <c r="G5697" t="inlineStr"/>
      <c r="H5697" t="inlineStr"/>
    </row>
    <row r="5698">
      <c r="A5698" t="inlineStr">
        <is>
          <t>084f2be2-50c4-4c9b-862b-76531539b567.jpg</t>
        </is>
      </c>
      <c r="B5698">
        <f>HYPERLINK("Объекты недвижимости, не соответствующие градостроительным нормам_00-022_Август/084f2be2-50c4-4c9b-862b-76531539b567.jpg","open")</f>
        <v/>
      </c>
      <c r="C5698" t="inlineStr">
        <is>
          <t>5e5b9944-4f9e-4223-bf96-0bc0c8a93dfa</t>
        </is>
      </c>
      <c r="D5698" t="n">
        <v>45.05206</v>
      </c>
      <c r="E5698" t="n">
        <v>33.98257</v>
      </c>
      <c r="F5698" t="inlineStr"/>
      <c r="G5698" t="inlineStr"/>
      <c r="H5698" t="inlineStr"/>
    </row>
    <row r="5699">
      <c r="A5699" t="inlineStr">
        <is>
          <t>d75d2127-d5b7-4911-99f7-9fabd3e0cdb1.jpg</t>
        </is>
      </c>
      <c r="B5699">
        <f>HYPERLINK("Объекты недвижимости, не соответствующие градостроительным нормам_00-022_Август/d75d2127-d5b7-4911-99f7-9fabd3e0cdb1.jpg","open")</f>
        <v/>
      </c>
      <c r="C5699" t="inlineStr">
        <is>
          <t>ffd931da-542f-43e9-979f-5552b17fe3dc</t>
        </is>
      </c>
      <c r="D5699" t="n">
        <v>55.81588</v>
      </c>
      <c r="E5699" t="n">
        <v>37.8628</v>
      </c>
      <c r="F5699" t="inlineStr"/>
      <c r="G5699" t="inlineStr"/>
      <c r="H5699" t="inlineStr"/>
    </row>
    <row r="5700">
      <c r="A5700" t="inlineStr">
        <is>
          <t>d8734922-da97-49a2-bd47-1d5f44af0007.jpg</t>
        </is>
      </c>
      <c r="B5700">
        <f>HYPERLINK("Объекты недвижимости, не соответствующие градостроительным нормам_00-022_Август/d8734922-da97-49a2-bd47-1d5f44af0007.jpg","open")</f>
        <v/>
      </c>
      <c r="C5700" t="inlineStr">
        <is>
          <t>685d9054-b74f-49ab-857b-109fd2cec80d</t>
        </is>
      </c>
      <c r="D5700" t="n">
        <v>55.57429</v>
      </c>
      <c r="E5700" t="n">
        <v>37.58142</v>
      </c>
      <c r="F5700" t="inlineStr"/>
      <c r="G5700" t="inlineStr"/>
      <c r="H5700" t="inlineStr"/>
    </row>
    <row r="5701">
      <c r="A5701" t="inlineStr">
        <is>
          <t>6661f746-f196-4246-98bf-da1f2a856adf.jpg</t>
        </is>
      </c>
      <c r="B5701">
        <f>HYPERLINK("Объекты недвижимости, не соответствующие градостроительным нормам_00-022_Август/6661f746-f196-4246-98bf-da1f2a856adf.jpg","open")</f>
        <v/>
      </c>
      <c r="C5701" t="inlineStr">
        <is>
          <t>8cde1fd0-eca1-4510-86ab-3c743b65fdfc</t>
        </is>
      </c>
      <c r="D5701" t="n">
        <v>55.89195</v>
      </c>
      <c r="E5701" t="n">
        <v>37.55672</v>
      </c>
      <c r="F5701" t="inlineStr"/>
      <c r="G5701" t="inlineStr"/>
      <c r="H5701" t="inlineStr"/>
    </row>
    <row r="5702">
      <c r="A5702" t="inlineStr">
        <is>
          <t>7a1dba98-ee91-4449-b3b6-3e208479cf19.jpg</t>
        </is>
      </c>
      <c r="B5702">
        <f>HYPERLINK("Объекты недвижимости, не соответствующие градостроительным нормам_00-022_Август/7a1dba98-ee91-4449-b3b6-3e208479cf19.jpg","open")</f>
        <v/>
      </c>
      <c r="C5702" t="inlineStr">
        <is>
          <t>8cde1fd0-eca1-4510-86ab-3c743b65fdfc</t>
        </is>
      </c>
      <c r="D5702" t="n">
        <v>55.89271</v>
      </c>
      <c r="E5702" t="n">
        <v>37.55174</v>
      </c>
      <c r="F5702" t="inlineStr"/>
      <c r="G5702" t="inlineStr"/>
      <c r="H5702" t="inlineStr"/>
    </row>
    <row r="5703">
      <c r="A5703" t="inlineStr">
        <is>
          <t>4d2ad21a-5cd9-4802-89db-cdf3b3e26261.jpg</t>
        </is>
      </c>
      <c r="B5703">
        <f>HYPERLINK("Объекты недвижимости, не соответствующие градостроительным нормам_00-022_Август/4d2ad21a-5cd9-4802-89db-cdf3b3e26261.jpg","open")</f>
        <v/>
      </c>
      <c r="C5703" t="inlineStr">
        <is>
          <t>18a5c468-d9e6-4814-8477-1caf4a2e1fe9</t>
        </is>
      </c>
      <c r="D5703" t="n">
        <v>55.74966</v>
      </c>
      <c r="E5703" t="n">
        <v>37.70731</v>
      </c>
      <c r="F5703" t="inlineStr"/>
      <c r="G5703" t="inlineStr"/>
      <c r="H5703" t="inlineStr"/>
    </row>
    <row r="5704">
      <c r="A5704" t="inlineStr">
        <is>
          <t>2e47fe70-22a2-4f65-b7e0-13bdd6a10982.jpg</t>
        </is>
      </c>
      <c r="B5704">
        <f>HYPERLINK("Объекты недвижимости, не соответствующие градостроительным нормам_00-022_Август/2e47fe70-22a2-4f65-b7e0-13bdd6a10982.jpg","open")</f>
        <v/>
      </c>
      <c r="C5704" t="inlineStr">
        <is>
          <t>50e4626c-a80e-42ab-b999-b5092c2c063f</t>
        </is>
      </c>
      <c r="D5704" t="n">
        <v>45.05147</v>
      </c>
      <c r="E5704" t="n">
        <v>33.98138</v>
      </c>
      <c r="F5704" t="inlineStr"/>
      <c r="G5704" t="inlineStr"/>
      <c r="H5704" t="inlineStr"/>
    </row>
    <row r="5705">
      <c r="A5705" t="inlineStr">
        <is>
          <t>375aa5c9-a664-4651-87e1-43563dcff5ab.jpg</t>
        </is>
      </c>
      <c r="B5705">
        <f>HYPERLINK("Объекты недвижимости, не соответствующие градостроительным нормам_00-022_Август/375aa5c9-a664-4651-87e1-43563dcff5ab.jpg","open")</f>
        <v/>
      </c>
      <c r="C5705" t="inlineStr">
        <is>
          <t>56702d00-3d38-4721-8f83-3846a59c1e44</t>
        </is>
      </c>
      <c r="D5705" t="n">
        <v>45.05147</v>
      </c>
      <c r="E5705" t="n">
        <v>33.98138</v>
      </c>
      <c r="F5705" t="inlineStr"/>
      <c r="G5705" t="inlineStr"/>
      <c r="H5705" t="inlineStr"/>
    </row>
    <row r="5706">
      <c r="A5706" t="inlineStr">
        <is>
          <t>a547708e-9391-411e-9cfc-9dc2ae91a4de.jpg</t>
        </is>
      </c>
      <c r="B5706">
        <f>HYPERLINK("Объекты недвижимости, не соответствующие градостроительным нормам_00-022_Август/a547708e-9391-411e-9cfc-9dc2ae91a4de.jpg","open")</f>
        <v/>
      </c>
      <c r="C5706" t="inlineStr">
        <is>
          <t>50e4626c-a80e-42ab-b999-b5092c2c063f</t>
        </is>
      </c>
      <c r="D5706" t="n">
        <v>45.05147</v>
      </c>
      <c r="E5706" t="n">
        <v>33.98138</v>
      </c>
      <c r="F5706" t="inlineStr"/>
      <c r="G5706" t="inlineStr"/>
      <c r="H5706" t="inlineStr"/>
    </row>
    <row r="5707">
      <c r="A5707" t="inlineStr">
        <is>
          <t>4d8cfae8-8827-4f97-bc9d-96b2e68c697e.jpg</t>
        </is>
      </c>
      <c r="B5707">
        <f>HYPERLINK("Объекты недвижимости, не соответствующие градостроительным нормам_00-022_Август/4d8cfae8-8827-4f97-bc9d-96b2e68c697e.jpg","open")</f>
        <v/>
      </c>
      <c r="C5707" t="inlineStr">
        <is>
          <t>50e4626c-a80e-42ab-b999-b5092c2c063f</t>
        </is>
      </c>
      <c r="D5707" t="n">
        <v>45.05147</v>
      </c>
      <c r="E5707" t="n">
        <v>33.98138</v>
      </c>
      <c r="F5707" t="inlineStr"/>
      <c r="G5707" t="inlineStr"/>
      <c r="H5707" t="inlineStr"/>
    </row>
    <row r="5708">
      <c r="A5708" t="inlineStr">
        <is>
          <t>958a94e1-9079-4fe2-86eb-03303b781b8f.jpg</t>
        </is>
      </c>
      <c r="B5708">
        <f>HYPERLINK("Объекты недвижимости, не соответствующие градостроительным нормам_00-022_Август/958a94e1-9079-4fe2-86eb-03303b781b8f.jpg","open")</f>
        <v/>
      </c>
      <c r="C5708" t="inlineStr">
        <is>
          <t>685d9054-b74f-49ab-857b-109fd2cec80d</t>
        </is>
      </c>
      <c r="D5708" t="n">
        <v>55.575</v>
      </c>
      <c r="E5708" t="n">
        <v>37.58582</v>
      </c>
      <c r="F5708" t="inlineStr"/>
      <c r="G5708" t="inlineStr"/>
      <c r="H5708" t="inlineStr"/>
    </row>
    <row r="5709">
      <c r="A5709" t="inlineStr">
        <is>
          <t>fa0189fa-785f-4243-9a3b-f078fb888f52.jpg</t>
        </is>
      </c>
      <c r="B5709">
        <f>HYPERLINK("Объекты недвижимости, не соответствующие градостроительным нормам_00-022_Август/fa0189fa-785f-4243-9a3b-f078fb888f52.jpg","open")</f>
        <v/>
      </c>
      <c r="C5709" t="inlineStr">
        <is>
          <t>1231bbc5-e64c-4dc7-9acc-77710f47607a</t>
        </is>
      </c>
      <c r="D5709" t="n">
        <v>55.57521</v>
      </c>
      <c r="E5709" t="n">
        <v>37.58521</v>
      </c>
      <c r="F5709" t="inlineStr"/>
      <c r="G5709" t="inlineStr"/>
      <c r="H5709" t="inlineStr"/>
    </row>
    <row r="5710">
      <c r="A5710" t="inlineStr">
        <is>
          <t>460af8e3-99c9-4046-b550-c2ea688aac8b.jpg</t>
        </is>
      </c>
      <c r="B5710">
        <f>HYPERLINK("Объекты недвижимости, не соответствующие градостроительным нормам_00-022_Август/460af8e3-99c9-4046-b550-c2ea688aac8b.jpg","open")</f>
        <v/>
      </c>
      <c r="C5710" t="inlineStr">
        <is>
          <t>8cde1fd0-eca1-4510-86ab-3c743b65fdfc</t>
        </is>
      </c>
      <c r="D5710" t="n">
        <v>55.88124</v>
      </c>
      <c r="E5710" t="n">
        <v>37.54891</v>
      </c>
      <c r="F5710" t="inlineStr"/>
      <c r="G5710" t="inlineStr"/>
      <c r="H5710" t="inlineStr"/>
    </row>
    <row r="5711">
      <c r="A5711" t="inlineStr">
        <is>
          <t>e9238ab6-7094-446a-aa3b-7d66c36c36f5.jpg</t>
        </is>
      </c>
      <c r="B5711">
        <f>HYPERLINK("Объекты недвижимости, не соответствующие градостроительным нормам_00-022_Август/e9238ab6-7094-446a-aa3b-7d66c36c36f5.jpg","open")</f>
        <v/>
      </c>
      <c r="C5711" t="inlineStr">
        <is>
          <t>f20fbc2b-b369-4734-bb66-92af02fbb0d1</t>
        </is>
      </c>
      <c r="D5711" t="n">
        <v>55.7098</v>
      </c>
      <c r="E5711" t="n">
        <v>37.67725</v>
      </c>
      <c r="F5711" t="inlineStr"/>
      <c r="G5711" t="inlineStr"/>
      <c r="H5711" t="inlineStr"/>
    </row>
    <row r="5712">
      <c r="A5712" t="inlineStr">
        <is>
          <t>9b4f5ada-7f90-46cf-a2b5-2aa6f477ffea.jpg</t>
        </is>
      </c>
      <c r="B5712">
        <f>HYPERLINK("Объекты недвижимости, не соответствующие градостроительным нормам_00-022_Август/9b4f5ada-7f90-46cf-a2b5-2aa6f477ffea.jpg","open")</f>
        <v/>
      </c>
      <c r="C5712" t="inlineStr">
        <is>
          <t>ed2bf0f1-3a66-4913-896e-4420a9796c0b</t>
        </is>
      </c>
      <c r="D5712" t="n">
        <v>55.45224</v>
      </c>
      <c r="E5712" t="n">
        <v>37.28931</v>
      </c>
      <c r="F5712" t="inlineStr"/>
      <c r="G5712" t="inlineStr"/>
      <c r="H5712" t="inlineStr"/>
    </row>
    <row r="5713">
      <c r="A5713" t="inlineStr">
        <is>
          <t>41c03a46-53c7-4a0a-ad0b-8b58e2135d88.jpg</t>
        </is>
      </c>
      <c r="B5713">
        <f>HYPERLINK("Объекты недвижимости, не соответствующие градостроительным нормам_00-022_Август/41c03a46-53c7-4a0a-ad0b-8b58e2135d88.jpg","open")</f>
        <v/>
      </c>
      <c r="C5713" t="inlineStr">
        <is>
          <t>1a55986c-2c3f-40c0-b3d1-014dce77832e</t>
        </is>
      </c>
      <c r="D5713" t="n">
        <v>55.45214</v>
      </c>
      <c r="E5713" t="n">
        <v>37.28933</v>
      </c>
      <c r="F5713" t="inlineStr"/>
      <c r="G5713" t="inlineStr"/>
      <c r="H5713" t="inlineStr"/>
    </row>
    <row r="5714">
      <c r="A5714" t="inlineStr">
        <is>
          <t>08eaccef-9613-421c-b0ef-353be35abb38.jpg</t>
        </is>
      </c>
      <c r="B5714">
        <f>HYPERLINK("Объекты недвижимости, не соответствующие градостроительным нормам_00-022_Август/08eaccef-9613-421c-b0ef-353be35abb38.jpg","open")</f>
        <v/>
      </c>
      <c r="C5714" t="inlineStr">
        <is>
          <t>56702d00-3d38-4721-8f83-3846a59c1e44</t>
        </is>
      </c>
      <c r="D5714" t="n">
        <v>45.05147</v>
      </c>
      <c r="E5714" t="n">
        <v>33.98138</v>
      </c>
      <c r="F5714" t="inlineStr"/>
      <c r="G5714" t="inlineStr"/>
      <c r="H5714" t="inlineStr"/>
    </row>
    <row r="5715">
      <c r="A5715" t="inlineStr">
        <is>
          <t>af71db17-52fa-42a2-a641-8bfa3b6e374b.jpg</t>
        </is>
      </c>
      <c r="B5715">
        <f>HYPERLINK("Объекты недвижимости, не соответствующие градостроительным нормам_00-022_Август/af71db17-52fa-42a2-a641-8bfa3b6e374b.jpg","open")</f>
        <v/>
      </c>
      <c r="C5715" t="inlineStr">
        <is>
          <t>030e8755-17c1-44eb-9530-707d0d3121cb</t>
        </is>
      </c>
      <c r="D5715" t="n">
        <v>45.04285</v>
      </c>
      <c r="E5715" t="n">
        <v>33.99224</v>
      </c>
      <c r="F5715" t="inlineStr"/>
      <c r="G5715" t="inlineStr"/>
      <c r="H5715" t="inlineStr"/>
    </row>
    <row r="5716">
      <c r="A5716" t="inlineStr">
        <is>
          <t>e6b0f4e7-a178-4e18-975a-fee9b306a8a3.jpg</t>
        </is>
      </c>
      <c r="B5716">
        <f>HYPERLINK("Объекты недвижимости, не соответствующие градостроительным нормам_00-022_Август/e6b0f4e7-a178-4e18-975a-fee9b306a8a3.jpg","open")</f>
        <v/>
      </c>
      <c r="C5716" t="inlineStr">
        <is>
          <t>a1a9db89-3f74-42ef-8fad-ad69705102cd</t>
        </is>
      </c>
      <c r="D5716" t="n">
        <v>45.04489</v>
      </c>
      <c r="E5716" t="n">
        <v>33.98714</v>
      </c>
      <c r="F5716" t="inlineStr"/>
      <c r="G5716" t="inlineStr"/>
      <c r="H5716" t="inlineStr"/>
    </row>
    <row r="5717">
      <c r="A5717" t="inlineStr">
        <is>
          <t>41e236fd-7bbc-4c7a-81c4-f3345977047b.jpg</t>
        </is>
      </c>
      <c r="B5717">
        <f>HYPERLINK("Объекты недвижимости, не соответствующие градостроительным нормам_00-022_Август/41e236fd-7bbc-4c7a-81c4-f3345977047b.jpg","open")</f>
        <v/>
      </c>
      <c r="C5717" t="inlineStr">
        <is>
          <t>8cde1fd0-eca1-4510-86ab-3c743b65fdfc</t>
        </is>
      </c>
      <c r="D5717" t="n">
        <v>55.87886</v>
      </c>
      <c r="E5717" t="n">
        <v>37.54853</v>
      </c>
      <c r="F5717" t="inlineStr"/>
      <c r="G5717" t="inlineStr"/>
      <c r="H5717" t="inlineStr"/>
    </row>
    <row r="5718">
      <c r="A5718" t="inlineStr">
        <is>
          <t>b3430021-8ed2-4ffc-b850-ef5e1f5549e5.jpg</t>
        </is>
      </c>
      <c r="B5718">
        <f>HYPERLINK("Объекты недвижимости, не соответствующие градостроительным нормам_00-022_Август/b3430021-8ed2-4ffc-b850-ef5e1f5549e5.jpg","open")</f>
        <v/>
      </c>
      <c r="C5718" t="inlineStr">
        <is>
          <t>cbf95b01-f708-45a3-9ec0-3603469b538e</t>
        </is>
      </c>
      <c r="D5718" t="n">
        <v>45.04489</v>
      </c>
      <c r="E5718" t="n">
        <v>33.98714</v>
      </c>
      <c r="F5718" t="inlineStr"/>
      <c r="G5718" t="inlineStr"/>
      <c r="H5718" t="inlineStr"/>
    </row>
    <row r="5719">
      <c r="A5719" t="inlineStr">
        <is>
          <t>db5b08f4-e0da-4e92-a057-2874ff42f601.jpg</t>
        </is>
      </c>
      <c r="B5719">
        <f>HYPERLINK("Объекты недвижимости, не соответствующие градостроительным нормам_00-022_Август/db5b08f4-e0da-4e92-a057-2874ff42f601.jpg","open")</f>
        <v/>
      </c>
      <c r="C5719" t="inlineStr">
        <is>
          <t>a1a9db89-3f74-42ef-8fad-ad69705102cd</t>
        </is>
      </c>
      <c r="D5719" t="n">
        <v>45.0491</v>
      </c>
      <c r="E5719" t="n">
        <v>33.97413</v>
      </c>
      <c r="F5719" t="inlineStr"/>
      <c r="G5719" t="inlineStr"/>
      <c r="H5719" t="inlineStr"/>
    </row>
    <row r="5720">
      <c r="A5720" t="inlineStr">
        <is>
          <t>4ce036ca-d189-4a3f-913d-2edd1e62f413.jpg</t>
        </is>
      </c>
      <c r="B5720">
        <f>HYPERLINK("Объекты недвижимости, не соответствующие градостроительным нормам_00-022_Август/4ce036ca-d189-4a3f-913d-2edd1e62f413.jpg","open")</f>
        <v/>
      </c>
      <c r="C5720" t="inlineStr">
        <is>
          <t>cbf95b01-f708-45a3-9ec0-3603469b538e</t>
        </is>
      </c>
      <c r="D5720" t="n">
        <v>45.0491</v>
      </c>
      <c r="E5720" t="n">
        <v>33.97413</v>
      </c>
      <c r="F5720" t="inlineStr"/>
      <c r="G5720" t="inlineStr"/>
      <c r="H5720" t="inlineStr"/>
    </row>
    <row r="5721">
      <c r="A5721" t="inlineStr">
        <is>
          <t>1b66925d-f908-43f4-82c7-d108c8cf34a8.jpg</t>
        </is>
      </c>
      <c r="B5721">
        <f>HYPERLINK("Объекты недвижимости, не соответствующие градостроительным нормам_00-022_Август/1b66925d-f908-43f4-82c7-d108c8cf34a8.jpg","open")</f>
        <v/>
      </c>
      <c r="C5721" t="inlineStr">
        <is>
          <t>cbf95b01-f708-45a3-9ec0-3603469b538e</t>
        </is>
      </c>
      <c r="D5721" t="n">
        <v>45.0491</v>
      </c>
      <c r="E5721" t="n">
        <v>33.97413</v>
      </c>
      <c r="F5721" t="inlineStr"/>
      <c r="G5721" t="inlineStr"/>
      <c r="H5721" t="inlineStr"/>
    </row>
    <row r="5722">
      <c r="A5722" t="inlineStr">
        <is>
          <t>47e40af5-4018-40d5-8e52-bd857b15b5a5.jpg</t>
        </is>
      </c>
      <c r="B5722">
        <f>HYPERLINK("Объекты недвижимости, не соответствующие градостроительным нормам_00-022_Август/47e40af5-4018-40d5-8e52-bd857b15b5a5.jpg","open")</f>
        <v/>
      </c>
      <c r="C5722" t="inlineStr">
        <is>
          <t>685d9054-b74f-49ab-857b-109fd2cec80d</t>
        </is>
      </c>
      <c r="D5722" t="n">
        <v>55.57351</v>
      </c>
      <c r="E5722" t="n">
        <v>37.59055</v>
      </c>
      <c r="F5722" t="inlineStr"/>
      <c r="G5722" t="inlineStr"/>
      <c r="H5722" t="inlineStr"/>
    </row>
    <row r="5723">
      <c r="A5723" t="inlineStr">
        <is>
          <t>bd1f964c-de00-4bdd-bc28-3b28727e4578.jpg</t>
        </is>
      </c>
      <c r="B5723">
        <f>HYPERLINK("Объекты недвижимости, не соответствующие градостроительным нормам_00-022_Август/bd1f964c-de00-4bdd-bc28-3b28727e4578.jpg","open")</f>
        <v/>
      </c>
      <c r="C5723" t="inlineStr">
        <is>
          <t>cbf95b01-f708-45a3-9ec0-3603469b538e</t>
        </is>
      </c>
      <c r="D5723" t="n">
        <v>45.0491</v>
      </c>
      <c r="E5723" t="n">
        <v>33.97413</v>
      </c>
      <c r="F5723" t="inlineStr"/>
      <c r="G5723" t="inlineStr"/>
      <c r="H5723" t="inlineStr"/>
    </row>
    <row r="5724">
      <c r="A5724" t="inlineStr">
        <is>
          <t>e585cff3-5eb2-4f22-ac00-8905615a079b.jpg</t>
        </is>
      </c>
      <c r="B5724">
        <f>HYPERLINK("Объекты недвижимости, не соответствующие градостроительным нормам_00-022_Август/e585cff3-5eb2-4f22-ac00-8905615a079b.jpg","open")</f>
        <v/>
      </c>
      <c r="C5724" t="inlineStr">
        <is>
          <t>a1a9db89-3f74-42ef-8fad-ad69705102cd</t>
        </is>
      </c>
      <c r="D5724" t="n">
        <v>45.0491</v>
      </c>
      <c r="E5724" t="n">
        <v>33.97413</v>
      </c>
      <c r="F5724" t="inlineStr"/>
      <c r="G5724" t="inlineStr"/>
      <c r="H5724" t="inlineStr"/>
    </row>
    <row r="5725">
      <c r="A5725" t="inlineStr">
        <is>
          <t>f7c8dc89-cc28-4b32-9887-4b1b944201be.jpg</t>
        </is>
      </c>
      <c r="B5725">
        <f>HYPERLINK("Объекты недвижимости, не соответствующие градостроительным нормам_00-022_Август/f7c8dc89-cc28-4b32-9887-4b1b944201be.jpg","open")</f>
        <v/>
      </c>
      <c r="C5725" t="inlineStr">
        <is>
          <t>a1a9db89-3f74-42ef-8fad-ad69705102cd</t>
        </is>
      </c>
      <c r="D5725" t="n">
        <v>45.0491</v>
      </c>
      <c r="E5725" t="n">
        <v>33.97413</v>
      </c>
      <c r="F5725" t="inlineStr"/>
      <c r="G5725" t="inlineStr"/>
      <c r="H5725" t="inlineStr"/>
    </row>
    <row r="5726">
      <c r="A5726" t="inlineStr">
        <is>
          <t>c2e42463-a40c-458a-9765-de76ced98156.jpg</t>
        </is>
      </c>
      <c r="B5726">
        <f>HYPERLINK("Объекты недвижимости, не соответствующие градостроительным нормам_00-022_Август/c2e42463-a40c-458a-9765-de76ced98156.jpg","open")</f>
        <v/>
      </c>
      <c r="C5726" t="inlineStr">
        <is>
          <t>a1a9db89-3f74-42ef-8fad-ad69705102cd</t>
        </is>
      </c>
      <c r="D5726" t="n">
        <v>45.0491</v>
      </c>
      <c r="E5726" t="n">
        <v>33.97413</v>
      </c>
      <c r="F5726" t="inlineStr"/>
      <c r="G5726" t="inlineStr"/>
      <c r="H5726" t="inlineStr"/>
    </row>
    <row r="5727">
      <c r="A5727" t="inlineStr">
        <is>
          <t>1bc84a7c-d0f2-48bb-bc16-b54fcf832040.jpg</t>
        </is>
      </c>
      <c r="B5727">
        <f>HYPERLINK("Объекты недвижимости, не соответствующие градостроительным нормам_00-022_Август/1bc84a7c-d0f2-48bb-bc16-b54fcf832040.jpg","open")</f>
        <v/>
      </c>
      <c r="C5727" t="inlineStr">
        <is>
          <t>a1a9db89-3f74-42ef-8fad-ad69705102cd</t>
        </is>
      </c>
      <c r="D5727" t="n">
        <v>45.0491</v>
      </c>
      <c r="E5727" t="n">
        <v>33.97413</v>
      </c>
      <c r="F5727" t="inlineStr"/>
      <c r="G5727" t="inlineStr"/>
      <c r="H5727" t="inlineStr"/>
    </row>
    <row r="5728">
      <c r="A5728" t="inlineStr">
        <is>
          <t>dcf0b587-7de0-428a-95a0-3fbabc88ebcf.jpg</t>
        </is>
      </c>
      <c r="B5728">
        <f>HYPERLINK("Объекты недвижимости, не соответствующие градостроительным нормам_00-022_Август/dcf0b587-7de0-428a-95a0-3fbabc88ebcf.jpg","open")</f>
        <v/>
      </c>
      <c r="C5728" t="inlineStr">
        <is>
          <t>cbf95b01-f708-45a3-9ec0-3603469b538e</t>
        </is>
      </c>
      <c r="D5728" t="n">
        <v>45.0491</v>
      </c>
      <c r="E5728" t="n">
        <v>33.97413</v>
      </c>
      <c r="F5728" t="inlineStr"/>
      <c r="G5728" t="inlineStr"/>
      <c r="H5728" t="inlineStr"/>
    </row>
    <row r="5729">
      <c r="A5729" t="inlineStr">
        <is>
          <t>5e7cece8-027e-4a29-9060-13222c7f6d6c.jpg</t>
        </is>
      </c>
      <c r="B5729">
        <f>HYPERLINK("Объекты недвижимости, не соответствующие градостроительным нормам_00-022_Август/5e7cece8-027e-4a29-9060-13222c7f6d6c.jpg","open")</f>
        <v/>
      </c>
      <c r="C5729" t="inlineStr">
        <is>
          <t>cbf95b01-f708-45a3-9ec0-3603469b538e</t>
        </is>
      </c>
      <c r="D5729" t="n">
        <v>45.0491</v>
      </c>
      <c r="E5729" t="n">
        <v>33.97413</v>
      </c>
      <c r="F5729" t="inlineStr"/>
      <c r="G5729" t="inlineStr"/>
      <c r="H5729" t="inlineStr"/>
    </row>
    <row r="5730">
      <c r="A5730" t="inlineStr">
        <is>
          <t>358d7b16-8685-45b2-aed1-5860ec7eb558.jpg</t>
        </is>
      </c>
      <c r="B5730">
        <f>HYPERLINK("Объекты недвижимости, не соответствующие градостроительным нормам_00-022_Август/358d7b16-8685-45b2-aed1-5860ec7eb558.jpg","open")</f>
        <v/>
      </c>
      <c r="C5730" t="inlineStr">
        <is>
          <t>cbf95b01-f708-45a3-9ec0-3603469b538e</t>
        </is>
      </c>
      <c r="D5730" t="n">
        <v>45.0491</v>
      </c>
      <c r="E5730" t="n">
        <v>33.97413</v>
      </c>
      <c r="F5730" t="inlineStr"/>
      <c r="G5730" t="inlineStr"/>
      <c r="H5730" t="inlineStr"/>
    </row>
    <row r="5731">
      <c r="A5731" t="inlineStr">
        <is>
          <t>b314ddcc-3ba4-4e73-90a5-9a7b4ffb99f8.jpg</t>
        </is>
      </c>
      <c r="B5731">
        <f>HYPERLINK("Объекты недвижимости, не соответствующие градостроительным нормам_00-022_Август/b314ddcc-3ba4-4e73-90a5-9a7b4ffb99f8.jpg","open")</f>
        <v/>
      </c>
      <c r="C5731" t="inlineStr">
        <is>
          <t>ed2bf0f1-3a66-4913-896e-4420a9796c0b</t>
        </is>
      </c>
      <c r="D5731" t="n">
        <v>55.44263</v>
      </c>
      <c r="E5731" t="n">
        <v>37.28361</v>
      </c>
      <c r="F5731" t="inlineStr"/>
      <c r="G5731" t="inlineStr"/>
      <c r="H5731" t="inlineStr"/>
    </row>
    <row r="5732">
      <c r="A5732" t="inlineStr">
        <is>
          <t>4462291b-8ac3-4d07-97f7-26b88aa591c1.jpg</t>
        </is>
      </c>
      <c r="B5732">
        <f>HYPERLINK("Объекты недвижимости, не соответствующие градостроительным нормам_00-022_Август/4462291b-8ac3-4d07-97f7-26b88aa591c1.jpg","open")</f>
        <v/>
      </c>
      <c r="C5732" t="inlineStr">
        <is>
          <t>f6f80c84-5569-48fd-b627-6f41ce4c61c4</t>
        </is>
      </c>
      <c r="D5732" t="n">
        <v>55.71863</v>
      </c>
      <c r="E5732" t="n">
        <v>37.78235</v>
      </c>
      <c r="F5732" t="inlineStr"/>
      <c r="G5732" t="inlineStr"/>
      <c r="H5732" t="inlineStr"/>
    </row>
    <row r="5733">
      <c r="A5733" t="inlineStr">
        <is>
          <t>cf946ca7-c7d6-44f7-9f46-61075dae05de.jpg</t>
        </is>
      </c>
      <c r="B5733">
        <f>HYPERLINK("Объекты недвижимости, не соответствующие градостроительным нормам_00-022_Август/cf946ca7-c7d6-44f7-9f46-61075dae05de.jpg","open")</f>
        <v/>
      </c>
      <c r="C5733" t="inlineStr">
        <is>
          <t>cbf95b01-f708-45a3-9ec0-3603469b538e</t>
        </is>
      </c>
      <c r="D5733" t="n">
        <v>45.0491</v>
      </c>
      <c r="E5733" t="n">
        <v>33.97413</v>
      </c>
      <c r="F5733" t="inlineStr"/>
      <c r="G5733" t="inlineStr"/>
      <c r="H5733" t="inlineStr"/>
    </row>
    <row r="5734">
      <c r="A5734" t="inlineStr">
        <is>
          <t>c92748f5-c0ed-4c97-9750-527a3f93ec0a.jpg</t>
        </is>
      </c>
      <c r="B5734">
        <f>HYPERLINK("Объекты недвижимости, не соответствующие градостроительным нормам_00-022_Август/c92748f5-c0ed-4c97-9750-527a3f93ec0a.jpg","open")</f>
        <v/>
      </c>
      <c r="C5734" t="inlineStr">
        <is>
          <t>cbf95b01-f708-45a3-9ec0-3603469b538e</t>
        </is>
      </c>
      <c r="D5734" t="n">
        <v>45.0491</v>
      </c>
      <c r="E5734" t="n">
        <v>33.97413</v>
      </c>
      <c r="F5734" t="inlineStr"/>
      <c r="G5734" t="inlineStr"/>
      <c r="H5734" t="inlineStr"/>
    </row>
    <row r="5735">
      <c r="A5735" t="inlineStr">
        <is>
          <t>935963e6-daed-4706-9d1c-af9057c49df2.jpg</t>
        </is>
      </c>
      <c r="B5735">
        <f>HYPERLINK("Объекты недвижимости, не соответствующие градостроительным нормам_00-022_Август/935963e6-daed-4706-9d1c-af9057c49df2.jpg","open")</f>
        <v/>
      </c>
      <c r="C5735" t="inlineStr">
        <is>
          <t>caa4772d-6278-4484-a046-ee25514bf521</t>
        </is>
      </c>
      <c r="D5735" t="n">
        <v>55.72272</v>
      </c>
      <c r="E5735" t="n">
        <v>37.78144</v>
      </c>
      <c r="F5735" t="inlineStr"/>
      <c r="G5735" t="inlineStr"/>
      <c r="H5735" t="inlineStr"/>
    </row>
    <row r="5736">
      <c r="A5736" t="inlineStr">
        <is>
          <t>b4be63f8-c012-420b-9d7b-3efc2fb4537b.jpg</t>
        </is>
      </c>
      <c r="B5736">
        <f>HYPERLINK("Объекты недвижимости, не соответствующие градостроительным нормам_00-022_Август/b4be63f8-c012-420b-9d7b-3efc2fb4537b.jpg","open")</f>
        <v/>
      </c>
      <c r="C5736" t="inlineStr">
        <is>
          <t>036c664f-5408-4fd0-b479-342c00468eeb</t>
        </is>
      </c>
      <c r="D5736" t="n">
        <v>55.63937</v>
      </c>
      <c r="E5736" t="n">
        <v>37.36086</v>
      </c>
      <c r="F5736" t="inlineStr"/>
      <c r="G5736" t="inlineStr"/>
      <c r="H5736" t="inlineStr"/>
    </row>
    <row r="5737">
      <c r="A5737" t="inlineStr">
        <is>
          <t>f8dc1431-1102-4e03-b008-a19313e6c0fa.jpg</t>
        </is>
      </c>
      <c r="B5737">
        <f>HYPERLINK("Объекты недвижимости, не соответствующие градостроительным нормам_00-022_Август/f8dc1431-1102-4e03-b008-a19313e6c0fa.jpg","open")</f>
        <v/>
      </c>
      <c r="C5737" t="inlineStr">
        <is>
          <t>030e8755-17c1-44eb-9530-707d0d3121cb</t>
        </is>
      </c>
      <c r="D5737" t="n">
        <v>45.04285</v>
      </c>
      <c r="E5737" t="n">
        <v>33.99224</v>
      </c>
      <c r="F5737" t="inlineStr"/>
      <c r="G5737" t="inlineStr"/>
      <c r="H5737" t="inlineStr"/>
    </row>
    <row r="5738">
      <c r="A5738" t="inlineStr">
        <is>
          <t>000f7537-4924-45ac-b075-4272da3325b6.jpg</t>
        </is>
      </c>
      <c r="B5738">
        <f>HYPERLINK("Объекты недвижимости, не соответствующие градостроительным нормам_00-022_Август/000f7537-4924-45ac-b075-4272da3325b6.jpg","open")</f>
        <v/>
      </c>
      <c r="C5738" t="inlineStr">
        <is>
          <t>50e4626c-a80e-42ab-b999-b5092c2c063f</t>
        </is>
      </c>
      <c r="D5738" t="n">
        <v>55.86878</v>
      </c>
      <c r="E5738" t="n">
        <v>37.53777</v>
      </c>
      <c r="F5738" t="inlineStr"/>
      <c r="G5738" t="inlineStr"/>
      <c r="H5738" t="inlineStr"/>
    </row>
    <row r="5739">
      <c r="A5739" t="inlineStr">
        <is>
          <t>f018dea1-e81a-482e-a533-a08b8425ffff.jpg</t>
        </is>
      </c>
      <c r="B5739">
        <f>HYPERLINK("Объекты недвижимости, не соответствующие градостроительным нормам_00-022_Август/f018dea1-e81a-482e-a533-a08b8425ffff.jpg","open")</f>
        <v/>
      </c>
      <c r="C5739" t="inlineStr">
        <is>
          <t>750bf7e4-0f0f-4f1a-96af-607dc8c1f1c9</t>
        </is>
      </c>
      <c r="D5739" t="n">
        <v>55.64653</v>
      </c>
      <c r="E5739" t="n">
        <v>37.66134</v>
      </c>
      <c r="F5739" t="inlineStr"/>
      <c r="G5739" t="inlineStr"/>
      <c r="H5739" t="inlineStr"/>
    </row>
    <row r="5740">
      <c r="A5740" t="inlineStr">
        <is>
          <t>c0bbc6d5-36ed-41c5-b603-5e6fa99d00e0.jpg</t>
        </is>
      </c>
      <c r="B5740">
        <f>HYPERLINK("Объекты недвижимости, не соответствующие градостроительным нормам_00-022_Август/c0bbc6d5-36ed-41c5-b603-5e6fa99d00e0.jpg","open")</f>
        <v/>
      </c>
      <c r="C5740" t="inlineStr">
        <is>
          <t>fce890a6-27da-4062-a046-08262a160ee6</t>
        </is>
      </c>
      <c r="D5740" t="n">
        <v>55.80078</v>
      </c>
      <c r="E5740" t="n">
        <v>37.69895</v>
      </c>
      <c r="F5740" t="inlineStr"/>
      <c r="G5740" t="inlineStr"/>
      <c r="H5740" t="inlineStr"/>
    </row>
    <row r="5741">
      <c r="A5741" t="inlineStr">
        <is>
          <t>b651ca29-fd9d-43a2-99b5-cbc9207f2124.jpg</t>
        </is>
      </c>
      <c r="B5741">
        <f>HYPERLINK("Объекты недвижимости, не соответствующие градостроительным нормам_00-022_Август/b651ca29-fd9d-43a2-99b5-cbc9207f2124.jpg","open")</f>
        <v/>
      </c>
      <c r="C5741" t="inlineStr">
        <is>
          <t>a28f597e-d1cd-4d3b-b572-c86d033412e9</t>
        </is>
      </c>
      <c r="D5741" t="n">
        <v>55.63785</v>
      </c>
      <c r="E5741" t="n">
        <v>37.35644</v>
      </c>
      <c r="F5741" t="inlineStr"/>
      <c r="G5741" t="inlineStr"/>
      <c r="H5741" t="inlineStr"/>
    </row>
    <row r="5742">
      <c r="A5742" t="inlineStr">
        <is>
          <t>1dc7fc8d-1e6e-43bc-811a-494f8dea1f29.jpg</t>
        </is>
      </c>
      <c r="B5742">
        <f>HYPERLINK("Объекты недвижимости, не соответствующие градостроительным нормам_00-022_Август/1dc7fc8d-1e6e-43bc-811a-494f8dea1f29.jpg","open")</f>
        <v/>
      </c>
      <c r="C5742" t="inlineStr">
        <is>
          <t>685d9054-b74f-49ab-857b-109fd2cec80d</t>
        </is>
      </c>
      <c r="D5742" t="n">
        <v>55.56809</v>
      </c>
      <c r="E5742" t="n">
        <v>37.58545</v>
      </c>
      <c r="F5742" t="inlineStr"/>
      <c r="G5742" t="inlineStr"/>
      <c r="H5742" t="inlineStr"/>
    </row>
    <row r="5743">
      <c r="A5743" t="inlineStr">
        <is>
          <t>7e86d624-1b0e-4ff1-b987-bb0c9ffc5a63.jpg</t>
        </is>
      </c>
      <c r="B5743">
        <f>HYPERLINK("Объекты недвижимости, не соответствующие градостроительным нормам_00-022_Август/7e86d624-1b0e-4ff1-b987-bb0c9ffc5a63.jpg","open")</f>
        <v/>
      </c>
      <c r="C5743" t="inlineStr">
        <is>
          <t>ad64e6b9-1ed5-44d7-a101-4945a1f9dec6</t>
        </is>
      </c>
      <c r="D5743" t="n">
        <v>55.66455</v>
      </c>
      <c r="E5743" t="n">
        <v>37.52574</v>
      </c>
      <c r="F5743" t="inlineStr"/>
      <c r="G5743" t="inlineStr"/>
      <c r="H5743" t="inlineStr"/>
    </row>
    <row r="5744">
      <c r="A5744" t="inlineStr">
        <is>
          <t>cc53c045-e40e-4c13-9311-4f88de14ac51.jpg</t>
        </is>
      </c>
      <c r="B5744">
        <f>HYPERLINK("Объекты недвижимости, не соответствующие градостроительным нормам_00-022_Август/cc53c045-e40e-4c13-9311-4f88de14ac51.jpg","open")</f>
        <v/>
      </c>
      <c r="C5744" t="inlineStr">
        <is>
          <t>9f88688f-4c81-42a8-b76a-3c3e7edf869e</t>
        </is>
      </c>
      <c r="D5744" t="n">
        <v>55.80078</v>
      </c>
      <c r="E5744" t="n">
        <v>37.69895</v>
      </c>
      <c r="F5744" t="inlineStr"/>
      <c r="G5744" t="inlineStr"/>
      <c r="H5744" t="inlineStr"/>
    </row>
    <row r="5745">
      <c r="A5745" t="inlineStr">
        <is>
          <t>f76afb37-1a24-46e2-9f88-d9a6ae2cc2ec.jpg</t>
        </is>
      </c>
      <c r="B5745">
        <f>HYPERLINK("Объекты недвижимости, не соответствующие градостроительным нормам_00-022_Август/f76afb37-1a24-46e2-9f88-d9a6ae2cc2ec.jpg","open")</f>
        <v/>
      </c>
      <c r="C5745" t="inlineStr">
        <is>
          <t>57812597-37e6-414c-8b11-8c661dbfeb70</t>
        </is>
      </c>
      <c r="D5745" t="n">
        <v>45.04416</v>
      </c>
      <c r="E5745" t="n">
        <v>33.99384</v>
      </c>
      <c r="F5745" t="inlineStr"/>
      <c r="G5745" t="inlineStr"/>
      <c r="H5745" t="inlineStr"/>
    </row>
    <row r="5746">
      <c r="A5746" t="inlineStr">
        <is>
          <t>f8097047-0d93-4a7a-ab9e-6f85cdec7b71.jpg</t>
        </is>
      </c>
      <c r="B5746">
        <f>HYPERLINK("Объекты недвижимости, не соответствующие градостроительным нормам_00-022_Август/f8097047-0d93-4a7a-ab9e-6f85cdec7b71.jpg","open")</f>
        <v/>
      </c>
      <c r="C5746" t="inlineStr">
        <is>
          <t>030e8755-17c1-44eb-9530-707d0d3121cb</t>
        </is>
      </c>
      <c r="D5746" t="n">
        <v>45.04285</v>
      </c>
      <c r="E5746" t="n">
        <v>33.99224</v>
      </c>
      <c r="F5746" t="inlineStr"/>
      <c r="G5746" t="inlineStr"/>
      <c r="H5746" t="inlineStr"/>
    </row>
    <row r="5747">
      <c r="A5747" t="inlineStr">
        <is>
          <t>507743d7-e209-4eda-9a39-91483bdf8ed9.jpg</t>
        </is>
      </c>
      <c r="B5747">
        <f>HYPERLINK("Объекты недвижимости, не соответствующие градостроительным нормам_00-022_Август/507743d7-e209-4eda-9a39-91483bdf8ed9.jpg","open")</f>
        <v/>
      </c>
      <c r="C5747" t="inlineStr">
        <is>
          <t>936502dd-24a4-4256-9fdf-0d8fb72af3ed</t>
        </is>
      </c>
      <c r="D5747" t="n">
        <v>45.04285</v>
      </c>
      <c r="E5747" t="n">
        <v>33.99224</v>
      </c>
      <c r="F5747" t="inlineStr"/>
      <c r="G5747" t="inlineStr"/>
      <c r="H5747" t="inlineStr"/>
    </row>
    <row r="5748">
      <c r="A5748" t="inlineStr">
        <is>
          <t>98551a9e-0644-40ed-9043-d0636496887b.jpg</t>
        </is>
      </c>
      <c r="B5748">
        <f>HYPERLINK("Объекты недвижимости, не соответствующие градостроительным нормам_00-022_Август/98551a9e-0644-40ed-9043-d0636496887b.jpg","open")</f>
        <v/>
      </c>
      <c r="C5748" t="inlineStr">
        <is>
          <t>b0b7ea82-53be-40d0-b992-e2fd18611d5c</t>
        </is>
      </c>
      <c r="D5748" t="n">
        <v>55.70689</v>
      </c>
      <c r="E5748" t="n">
        <v>37.67225</v>
      </c>
      <c r="F5748" t="inlineStr"/>
      <c r="G5748" t="inlineStr"/>
      <c r="H5748" t="inlineStr"/>
    </row>
    <row r="5749">
      <c r="A5749" t="inlineStr">
        <is>
          <t>d06f2a8b-ddd1-4eeb-b853-41bf3ddef8b5.jpg</t>
        </is>
      </c>
      <c r="B5749">
        <f>HYPERLINK("Объекты недвижимости, не соответствующие градостроительным нормам_00-022_Август/d06f2a8b-ddd1-4eeb-b853-41bf3ddef8b5.jpg","open")</f>
        <v/>
      </c>
      <c r="C5749" t="inlineStr">
        <is>
          <t>1a55986c-2c3f-40c0-b3d1-014dce77832e</t>
        </is>
      </c>
      <c r="D5749" t="n">
        <v>55.44388</v>
      </c>
      <c r="E5749" t="n">
        <v>37.25941</v>
      </c>
      <c r="F5749" t="inlineStr"/>
      <c r="G5749" t="inlineStr"/>
      <c r="H5749" t="inlineStr"/>
    </row>
    <row r="5750">
      <c r="A5750" t="inlineStr">
        <is>
          <t>a58d5ff4-54d9-4a6e-8ddb-ddfe5b141b01.jpg</t>
        </is>
      </c>
      <c r="B5750">
        <f>HYPERLINK("Объекты недвижимости, не соответствующие градостроительным нормам_00-022_Август/a58d5ff4-54d9-4a6e-8ddb-ddfe5b141b01.jpg","open")</f>
        <v/>
      </c>
      <c r="C5750" t="inlineStr">
        <is>
          <t>acedacc2-0d8b-4fc1-9622-25621a89d071</t>
        </is>
      </c>
      <c r="D5750" t="n">
        <v>55.82521</v>
      </c>
      <c r="E5750" t="n">
        <v>37.82129</v>
      </c>
      <c r="F5750" t="inlineStr"/>
      <c r="G5750" t="inlineStr"/>
      <c r="H5750" t="inlineStr"/>
    </row>
    <row r="5751">
      <c r="A5751" t="inlineStr">
        <is>
          <t>c1f7628d-20a7-4a32-98c0-73b2dd915f16.jpg</t>
        </is>
      </c>
      <c r="B5751">
        <f>HYPERLINK("Объекты недвижимости, не соответствующие градостроительным нормам_00-022_Август/c1f7628d-20a7-4a32-98c0-73b2dd915f16.jpg","open")</f>
        <v/>
      </c>
      <c r="C5751" t="inlineStr">
        <is>
          <t>8cde1fd0-eca1-4510-86ab-3c743b65fdfc</t>
        </is>
      </c>
      <c r="D5751" t="n">
        <v>55.86203</v>
      </c>
      <c r="E5751" t="n">
        <v>37.56278</v>
      </c>
      <c r="F5751" t="inlineStr"/>
      <c r="G5751" t="inlineStr"/>
      <c r="H5751" t="inlineStr"/>
    </row>
    <row r="5752">
      <c r="A5752" t="inlineStr">
        <is>
          <t>858870c5-47e4-4068-9289-b4972bf0e0df.jpg</t>
        </is>
      </c>
      <c r="B5752">
        <f>HYPERLINK("Объекты недвижимости, не соответствующие градостроительным нормам_00-022_Август/858870c5-47e4-4068-9289-b4972bf0e0df.jpg","open")</f>
        <v/>
      </c>
      <c r="C5752" t="inlineStr">
        <is>
          <t>8cde1fd0-eca1-4510-86ab-3c743b65fdfc</t>
        </is>
      </c>
      <c r="D5752" t="n">
        <v>55.86248</v>
      </c>
      <c r="E5752" t="n">
        <v>37.56184</v>
      </c>
      <c r="F5752" t="inlineStr"/>
      <c r="G5752" t="inlineStr"/>
      <c r="H5752" t="inlineStr"/>
    </row>
    <row r="5753">
      <c r="A5753" t="inlineStr">
        <is>
          <t>66b18047-d6c5-49b7-85fd-3b702704255d.jpg</t>
        </is>
      </c>
      <c r="B5753">
        <f>HYPERLINK("Объекты недвижимости, не соответствующие градостроительным нормам_00-022_Август/66b18047-d6c5-49b7-85fd-3b702704255d.jpg","open")</f>
        <v/>
      </c>
      <c r="C5753" t="inlineStr">
        <is>
          <t>685d9054-b74f-49ab-857b-109fd2cec80d</t>
        </is>
      </c>
      <c r="D5753" t="n">
        <v>55.56746</v>
      </c>
      <c r="E5753" t="n">
        <v>37.58249</v>
      </c>
      <c r="F5753" t="inlineStr"/>
      <c r="G5753" t="inlineStr"/>
      <c r="H5753" t="inlineStr"/>
    </row>
    <row r="5754">
      <c r="A5754" t="inlineStr">
        <is>
          <t>cba1a19d-5922-4497-89a3-b4ea334672ed.jpg</t>
        </is>
      </c>
      <c r="B5754">
        <f>HYPERLINK("Объекты недвижимости, не соответствующие градостроительным нормам_00-022_Август/cba1a19d-5922-4497-89a3-b4ea334672ed.jpg","open")</f>
        <v/>
      </c>
      <c r="C5754" t="inlineStr">
        <is>
          <t>caa4772d-6278-4484-a046-ee25514bf521</t>
        </is>
      </c>
      <c r="D5754" t="n">
        <v>55.73338</v>
      </c>
      <c r="E5754" t="n">
        <v>37.76709</v>
      </c>
      <c r="F5754" t="inlineStr"/>
      <c r="G5754" t="inlineStr"/>
      <c r="H5754" t="inlineStr"/>
    </row>
    <row r="5755">
      <c r="A5755" t="inlineStr">
        <is>
          <t>279a71e9-90fc-4460-acf3-c50fd6f7f287.jpg</t>
        </is>
      </c>
      <c r="B5755">
        <f>HYPERLINK("Объекты недвижимости, не соответствующие градостроительным нормам_00-022_Август/279a71e9-90fc-4460-acf3-c50fd6f7f287.jpg","open")</f>
        <v/>
      </c>
      <c r="C5755" t="inlineStr">
        <is>
          <t>caa4772d-6278-4484-a046-ee25514bf521</t>
        </is>
      </c>
      <c r="D5755" t="n">
        <v>55.73027</v>
      </c>
      <c r="E5755" t="n">
        <v>37.7748</v>
      </c>
      <c r="F5755" t="inlineStr"/>
      <c r="G5755" t="inlineStr"/>
      <c r="H5755" t="inlineStr"/>
    </row>
    <row r="5756">
      <c r="A5756" t="inlineStr">
        <is>
          <t>757303ad-0093-4b97-875b-a7aef134d44d.jpg</t>
        </is>
      </c>
      <c r="B5756">
        <f>HYPERLINK("Объекты недвижимости, не соответствующие градостроительным нормам_00-022_Август/757303ad-0093-4b97-875b-a7aef134d44d.jpg","open")</f>
        <v/>
      </c>
      <c r="C5756" t="inlineStr">
        <is>
          <t>685d9054-b74f-49ab-857b-109fd2cec80d</t>
        </is>
      </c>
      <c r="D5756" t="n">
        <v>55.56718</v>
      </c>
      <c r="E5756" t="n">
        <v>37.58358</v>
      </c>
      <c r="F5756" t="inlineStr"/>
      <c r="G5756" t="inlineStr"/>
      <c r="H5756" t="inlineStr"/>
    </row>
    <row r="5757">
      <c r="A5757" t="inlineStr">
        <is>
          <t>39337672-bd0c-45f3-8a38-12e8b2a6e11b.jpg</t>
        </is>
      </c>
      <c r="B5757">
        <f>HYPERLINK("Объекты недвижимости, не соответствующие градостроительным нормам_00-022_Август/39337672-bd0c-45f3-8a38-12e8b2a6e11b.jpg","open")</f>
        <v/>
      </c>
      <c r="C5757" t="inlineStr">
        <is>
          <t>685d9054-b74f-49ab-857b-109fd2cec80d</t>
        </is>
      </c>
      <c r="D5757" t="n">
        <v>55.56573</v>
      </c>
      <c r="E5757" t="n">
        <v>37.58477</v>
      </c>
      <c r="F5757" t="inlineStr"/>
      <c r="G5757" t="inlineStr"/>
      <c r="H5757" t="inlineStr"/>
    </row>
    <row r="5758">
      <c r="A5758" t="inlineStr">
        <is>
          <t>ae801b56-d176-4750-b6c8-3c498aebb5a5.jpg</t>
        </is>
      </c>
      <c r="B5758">
        <f>HYPERLINK("Объекты недвижимости, не соответствующие градостроительным нормам_00-022_Август/ae801b56-d176-4750-b6c8-3c498aebb5a5.jpg","open")</f>
        <v/>
      </c>
      <c r="C5758" t="inlineStr">
        <is>
          <t>8b2675e2-7f40-47a9-a462-7c9feecd299c</t>
        </is>
      </c>
      <c r="D5758" t="n">
        <v>55.55878</v>
      </c>
      <c r="E5758" t="n">
        <v>37.5001</v>
      </c>
      <c r="F5758" t="inlineStr"/>
      <c r="G5758" t="inlineStr"/>
      <c r="H5758" t="inlineStr"/>
    </row>
    <row r="5759">
      <c r="A5759" t="inlineStr">
        <is>
          <t>d1a157a2-c55c-480b-8cef-04d970221745.jpg</t>
        </is>
      </c>
      <c r="B5759">
        <f>HYPERLINK("Объекты недвижимости, не соответствующие градостроительным нормам_00-022_Август/d1a157a2-c55c-480b-8cef-04d970221745.jpg","open")</f>
        <v/>
      </c>
      <c r="C5759" t="inlineStr">
        <is>
          <t>8b2675e2-7f40-47a9-a462-7c9feecd299c</t>
        </is>
      </c>
      <c r="D5759" t="n">
        <v>55.55987</v>
      </c>
      <c r="E5759" t="n">
        <v>37.49882</v>
      </c>
      <c r="F5759" t="inlineStr"/>
      <c r="G5759" t="inlineStr"/>
      <c r="H5759" t="inlineStr"/>
    </row>
    <row r="5760">
      <c r="A5760" t="inlineStr">
        <is>
          <t>82d81524-04d8-4ae2-8eee-1b314785c5b6.jpg</t>
        </is>
      </c>
      <c r="B5760">
        <f>HYPERLINK("Объекты недвижимости, не соответствующие градостроительным нормам_00-022_Август/82d81524-04d8-4ae2-8eee-1b314785c5b6.jpg","open")</f>
        <v/>
      </c>
      <c r="C5760" t="inlineStr">
        <is>
          <t>685d9054-b74f-49ab-857b-109fd2cec80d</t>
        </is>
      </c>
      <c r="D5760" t="n">
        <v>55.56529</v>
      </c>
      <c r="E5760" t="n">
        <v>37.5843</v>
      </c>
      <c r="F5760" t="inlineStr"/>
      <c r="G5760" t="inlineStr"/>
      <c r="H5760" t="inlineStr"/>
    </row>
    <row r="5761">
      <c r="A5761" t="inlineStr">
        <is>
          <t>189dcdd7-df9b-4985-a415-f1e5375694d9.jpg</t>
        </is>
      </c>
      <c r="B5761">
        <f>HYPERLINK("Объекты недвижимости, не соответствующие градостроительным нормам_00-022_Август/189dcdd7-df9b-4985-a415-f1e5375694d9.jpg","open")</f>
        <v/>
      </c>
      <c r="C5761" t="inlineStr">
        <is>
          <t>685d9054-b74f-49ab-857b-109fd2cec80d</t>
        </is>
      </c>
      <c r="D5761" t="n">
        <v>55.56541</v>
      </c>
      <c r="E5761" t="n">
        <v>37.58456</v>
      </c>
      <c r="F5761" t="inlineStr"/>
      <c r="G5761" t="inlineStr"/>
      <c r="H5761" t="inlineStr"/>
    </row>
    <row r="5762">
      <c r="A5762" t="inlineStr">
        <is>
          <t>f1a451d1-45bd-442d-94c1-594a4250d4f9.jpg</t>
        </is>
      </c>
      <c r="B5762">
        <f>HYPERLINK("Объекты недвижимости, не соответствующие градостроительным нормам_00-022_Август/f1a451d1-45bd-442d-94c1-594a4250d4f9.jpg","open")</f>
        <v/>
      </c>
      <c r="C5762" t="inlineStr">
        <is>
          <t>5e5b9944-4f9e-4223-bf96-0bc0c8a93dfa</t>
        </is>
      </c>
      <c r="D5762" t="n">
        <v>55.97604</v>
      </c>
      <c r="E5762" t="n">
        <v>37.3992</v>
      </c>
      <c r="F5762" t="inlineStr"/>
      <c r="G5762" t="inlineStr"/>
      <c r="H5762" t="inlineStr"/>
    </row>
    <row r="5763">
      <c r="A5763" t="inlineStr">
        <is>
          <t>32057ac2-ac64-45c6-b13c-365a958a5b49.jpg</t>
        </is>
      </c>
      <c r="B5763">
        <f>HYPERLINK("Объекты недвижимости, не соответствующие градостроительным нормам_00-022_Август/32057ac2-ac64-45c6-b13c-365a958a5b49.jpg","open")</f>
        <v/>
      </c>
      <c r="C5763" t="inlineStr">
        <is>
          <t>1c951e11-4940-43c6-a447-394097e5609a</t>
        </is>
      </c>
      <c r="D5763" t="n">
        <v>55.86447</v>
      </c>
      <c r="E5763" t="n">
        <v>37.54518</v>
      </c>
      <c r="F5763" t="inlineStr"/>
      <c r="G5763" t="inlineStr"/>
      <c r="H5763" t="inlineStr"/>
    </row>
    <row r="5764">
      <c r="A5764" t="inlineStr">
        <is>
          <t>44cdeaba-14ad-4283-be7e-0d02099ad1ec.jpg</t>
        </is>
      </c>
      <c r="B5764">
        <f>HYPERLINK("Объекты недвижимости, не соответствующие градостроительным нормам_00-022_Август/44cdeaba-14ad-4283-be7e-0d02099ad1ec.jpg","open")</f>
        <v/>
      </c>
      <c r="C5764" t="inlineStr">
        <is>
          <t>8cde1fd0-eca1-4510-86ab-3c743b65fdfc</t>
        </is>
      </c>
      <c r="D5764" t="n">
        <v>55.86394</v>
      </c>
      <c r="E5764" t="n">
        <v>37.5441</v>
      </c>
      <c r="F5764" t="inlineStr"/>
      <c r="G5764" t="inlineStr"/>
      <c r="H5764" t="inlineStr"/>
    </row>
    <row r="5765">
      <c r="A5765" t="inlineStr">
        <is>
          <t>d943b232-0e78-45d8-8a82-19d5c9a0f4ad.jpg</t>
        </is>
      </c>
      <c r="B5765">
        <f>HYPERLINK("Объекты недвижимости, не соответствующие градостроительным нормам_00-022_Август/d943b232-0e78-45d8-8a82-19d5c9a0f4ad.jpg","open")</f>
        <v/>
      </c>
      <c r="C5765" t="inlineStr">
        <is>
          <t>1231bbc5-e64c-4dc7-9acc-77710f47607a</t>
        </is>
      </c>
      <c r="D5765" t="n">
        <v>55.56453</v>
      </c>
      <c r="E5765" t="n">
        <v>37.58308</v>
      </c>
      <c r="F5765" t="inlineStr"/>
      <c r="G5765" t="inlineStr"/>
      <c r="H5765" t="inlineStr"/>
    </row>
    <row r="5766">
      <c r="A5766" t="inlineStr">
        <is>
          <t>7a54a71a-3e35-4287-8ede-894050700f0d.jpg</t>
        </is>
      </c>
      <c r="B5766">
        <f>HYPERLINK("Объекты недвижимости, не соответствующие градостроительным нормам_00-022_Август/7a54a71a-3e35-4287-8ede-894050700f0d.jpg","open")</f>
        <v/>
      </c>
      <c r="C5766" t="inlineStr">
        <is>
          <t>685d9054-b74f-49ab-857b-109fd2cec80d</t>
        </is>
      </c>
      <c r="D5766" t="n">
        <v>55.56453</v>
      </c>
      <c r="E5766" t="n">
        <v>37.5831</v>
      </c>
      <c r="F5766" t="inlineStr"/>
      <c r="G5766" t="inlineStr"/>
      <c r="H5766" t="inlineStr"/>
    </row>
    <row r="5767">
      <c r="A5767" t="inlineStr">
        <is>
          <t>9d38762b-fea9-4ec3-8b75-fbd16e43a9dc.jpg</t>
        </is>
      </c>
      <c r="B5767">
        <f>HYPERLINK("Объекты недвижимости, не соответствующие градостроительным нормам_00-022_Август/9d38762b-fea9-4ec3-8b75-fbd16e43a9dc.jpg","open")</f>
        <v/>
      </c>
      <c r="C5767" t="inlineStr">
        <is>
          <t>685d9054-b74f-49ab-857b-109fd2cec80d</t>
        </is>
      </c>
      <c r="D5767" t="n">
        <v>55.56447</v>
      </c>
      <c r="E5767" t="n">
        <v>37.58313</v>
      </c>
      <c r="F5767" t="inlineStr"/>
      <c r="G5767" t="inlineStr"/>
      <c r="H5767" t="inlineStr"/>
    </row>
    <row r="5768">
      <c r="A5768" t="inlineStr">
        <is>
          <t>89153b05-fcf6-4a40-bfb3-b5db04430982.jpg</t>
        </is>
      </c>
      <c r="B5768">
        <f>HYPERLINK("Объекты недвижимости, не соответствующие градостроительным нормам_00-022_Август/89153b05-fcf6-4a40-bfb3-b5db04430982.jpg","open")</f>
        <v/>
      </c>
      <c r="C5768" t="inlineStr">
        <is>
          <t>8cde1fd0-eca1-4510-86ab-3c743b65fdfc</t>
        </is>
      </c>
      <c r="D5768" t="n">
        <v>55.86242</v>
      </c>
      <c r="E5768" t="n">
        <v>37.54107</v>
      </c>
      <c r="F5768" t="inlineStr"/>
      <c r="G5768" t="inlineStr"/>
      <c r="H5768" t="inlineStr"/>
    </row>
    <row r="5769">
      <c r="A5769" t="inlineStr">
        <is>
          <t>836d0863-f654-4e5a-86d9-e17aa47d618d.jpg</t>
        </is>
      </c>
      <c r="B5769">
        <f>HYPERLINK("Объекты недвижимости, не соответствующие градостроительным нормам_00-022_Август/836d0863-f654-4e5a-86d9-e17aa47d618d.jpg","open")</f>
        <v/>
      </c>
      <c r="C5769" t="inlineStr">
        <is>
          <t>8cde1fd0-eca1-4510-86ab-3c743b65fdfc</t>
        </is>
      </c>
      <c r="D5769" t="n">
        <v>55.85828</v>
      </c>
      <c r="E5769" t="n">
        <v>37.54673</v>
      </c>
      <c r="F5769" t="inlineStr"/>
      <c r="G5769" t="inlineStr"/>
      <c r="H5769" t="inlineStr"/>
    </row>
    <row r="5770">
      <c r="A5770" t="inlineStr">
        <is>
          <t>2510f172-7626-462c-b76e-e02aeac32f9b.jpg</t>
        </is>
      </c>
      <c r="B5770">
        <f>HYPERLINK("Объекты недвижимости, не соответствующие градостроительным нормам_00-022_Август/2510f172-7626-462c-b76e-e02aeac32f9b.jpg","open")</f>
        <v/>
      </c>
      <c r="C5770" t="inlineStr">
        <is>
          <t>d2c4eccd-3e4b-406c-a903-0f5e43d0be35</t>
        </is>
      </c>
      <c r="D5770" t="n">
        <v>45.052</v>
      </c>
      <c r="E5770" t="n">
        <v>33.98193</v>
      </c>
      <c r="F5770" t="inlineStr"/>
      <c r="G5770" t="inlineStr"/>
      <c r="H5770" t="inlineStr"/>
    </row>
    <row r="5771">
      <c r="A5771" t="inlineStr">
        <is>
          <t>2a915f7a-c824-4c34-b8c8-f9e72e815bfc.jpg</t>
        </is>
      </c>
      <c r="B5771">
        <f>HYPERLINK("Объекты недвижимости, не соответствующие градостроительным нормам_00-022_Август/2a915f7a-c824-4c34-b8c8-f9e72e815bfc.jpg","open")</f>
        <v/>
      </c>
      <c r="C5771" t="inlineStr">
        <is>
          <t>48b533d5-d106-4175-ac9b-d5ce8d90cccf</t>
        </is>
      </c>
      <c r="D5771" t="n">
        <v>55.78888</v>
      </c>
      <c r="E5771" t="n">
        <v>37.40048</v>
      </c>
      <c r="F5771" t="inlineStr"/>
      <c r="G5771" t="inlineStr"/>
      <c r="H5771" t="inlineStr"/>
    </row>
    <row r="5772">
      <c r="A5772" t="inlineStr">
        <is>
          <t>98e96fd0-44c1-439c-a333-594c3b1eadce.jpg</t>
        </is>
      </c>
      <c r="B5772">
        <f>HYPERLINK("Объекты недвижимости, не соответствующие градостроительным нормам_00-022_Август/98e96fd0-44c1-439c-a333-594c3b1eadce.jpg","open")</f>
        <v/>
      </c>
      <c r="C5772" t="inlineStr">
        <is>
          <t>18a5c468-d9e6-4814-8477-1caf4a2e1fe9</t>
        </is>
      </c>
      <c r="D5772" t="n">
        <v>45.052</v>
      </c>
      <c r="E5772" t="n">
        <v>33.98193</v>
      </c>
      <c r="F5772" t="inlineStr"/>
      <c r="G5772" t="inlineStr"/>
      <c r="H5772" t="inlineStr"/>
    </row>
    <row r="5773">
      <c r="A5773" t="inlineStr">
        <is>
          <t>54b0a064-e7ea-40b8-85f5-845fd1df35d1.jpg</t>
        </is>
      </c>
      <c r="B5773">
        <f>HYPERLINK("Объекты недвижимости, не соответствующие градостроительным нормам_00-022_Август/54b0a064-e7ea-40b8-85f5-845fd1df35d1.jpg","open")</f>
        <v/>
      </c>
      <c r="C5773" t="inlineStr">
        <is>
          <t>18a5c468-d9e6-4814-8477-1caf4a2e1fe9</t>
        </is>
      </c>
      <c r="D5773" t="n">
        <v>45.052</v>
      </c>
      <c r="E5773" t="n">
        <v>33.98193</v>
      </c>
      <c r="F5773" t="inlineStr"/>
      <c r="G5773" t="inlineStr"/>
      <c r="H5773" t="inlineStr"/>
    </row>
    <row r="5774">
      <c r="A5774" t="inlineStr">
        <is>
          <t>8f8189ce-766f-418d-8f74-f49706882cd1.jpg</t>
        </is>
      </c>
      <c r="B5774">
        <f>HYPERLINK("Объекты недвижимости, не соответствующие градостроительным нормам_00-022_Август/8f8189ce-766f-418d-8f74-f49706882cd1.jpg","open")</f>
        <v/>
      </c>
      <c r="C5774" t="inlineStr">
        <is>
          <t>8b2675e2-7f40-47a9-a462-7c9feecd299c</t>
        </is>
      </c>
      <c r="D5774" t="n">
        <v>55.57195</v>
      </c>
      <c r="E5774" t="n">
        <v>37.49473</v>
      </c>
      <c r="F5774" t="inlineStr"/>
      <c r="G5774" t="inlineStr"/>
      <c r="H5774" t="inlineStr"/>
    </row>
    <row r="5775">
      <c r="A5775" t="inlineStr">
        <is>
          <t>8befec3c-1712-4389-8c30-e2f0d6d73787.jpg</t>
        </is>
      </c>
      <c r="B5775">
        <f>HYPERLINK("Объекты недвижимости, не соответствующие градостроительным нормам_00-022_Август/8befec3c-1712-4389-8c30-e2f0d6d73787.jpg","open")</f>
        <v/>
      </c>
      <c r="C5775" t="inlineStr">
        <is>
          <t>18a5c468-d9e6-4814-8477-1caf4a2e1fe9</t>
        </is>
      </c>
      <c r="D5775" t="n">
        <v>45.052</v>
      </c>
      <c r="E5775" t="n">
        <v>33.98193</v>
      </c>
      <c r="F5775" t="inlineStr"/>
      <c r="G5775" t="inlineStr"/>
      <c r="H5775" t="inlineStr"/>
    </row>
    <row r="5776">
      <c r="A5776" t="inlineStr">
        <is>
          <t>befccc1b-0a50-4804-aaa1-a01f45a6af7a.jpg</t>
        </is>
      </c>
      <c r="B5776">
        <f>HYPERLINK("Объекты недвижимости, не соответствующие градостроительным нормам_00-022_Август/befccc1b-0a50-4804-aaa1-a01f45a6af7a.jpg","open")</f>
        <v/>
      </c>
      <c r="C5776" t="inlineStr">
        <is>
          <t>1231bbc5-e64c-4dc7-9acc-77710f47607a</t>
        </is>
      </c>
      <c r="D5776" t="n">
        <v>55.56464</v>
      </c>
      <c r="E5776" t="n">
        <v>37.58321</v>
      </c>
      <c r="F5776" t="inlineStr"/>
      <c r="G5776" t="inlineStr"/>
      <c r="H5776" t="inlineStr"/>
    </row>
    <row r="5777">
      <c r="A5777" t="inlineStr">
        <is>
          <t>480fbaa3-dd2f-422e-b810-dbbecb95ebac.jpg</t>
        </is>
      </c>
      <c r="B5777">
        <f>HYPERLINK("Объекты недвижимости, не соответствующие градостроительным нормам_00-022_Август/480fbaa3-dd2f-422e-b810-dbbecb95ebac.jpg","open")</f>
        <v/>
      </c>
      <c r="C5777" t="inlineStr">
        <is>
          <t>685d9054-b74f-49ab-857b-109fd2cec80d</t>
        </is>
      </c>
      <c r="D5777" t="n">
        <v>55.56464</v>
      </c>
      <c r="E5777" t="n">
        <v>37.58321</v>
      </c>
      <c r="F5777" t="inlineStr"/>
      <c r="G5777" t="inlineStr"/>
      <c r="H5777" t="inlineStr"/>
    </row>
    <row r="5778">
      <c r="A5778" t="inlineStr">
        <is>
          <t>9ec91632-5d35-4735-837c-e7e1dc1a3050.jpg</t>
        </is>
      </c>
      <c r="B5778">
        <f>HYPERLINK("Объекты недвижимости, не соответствующие градостроительным нормам_00-022_Август/9ec91632-5d35-4735-837c-e7e1dc1a3050.jpg","open")</f>
        <v/>
      </c>
      <c r="C5778" t="inlineStr">
        <is>
          <t>036c664f-5408-4fd0-b479-342c00468eeb</t>
        </is>
      </c>
      <c r="D5778" t="n">
        <v>55.63894</v>
      </c>
      <c r="E5778" t="n">
        <v>37.3571</v>
      </c>
      <c r="F5778" t="inlineStr"/>
      <c r="G5778" t="inlineStr"/>
      <c r="H5778" t="inlineStr"/>
    </row>
    <row r="5779">
      <c r="A5779" t="inlineStr">
        <is>
          <t>6fe1f31b-3e24-4444-999b-a33d989fc5b2.jpg</t>
        </is>
      </c>
      <c r="B5779">
        <f>HYPERLINK("Объекты недвижимости, не соответствующие градостроительным нормам_00-022_Август/6fe1f31b-3e24-4444-999b-a33d989fc5b2.jpg","open")</f>
        <v/>
      </c>
      <c r="C5779" t="inlineStr">
        <is>
          <t>18a5c468-d9e6-4814-8477-1caf4a2e1fe9</t>
        </is>
      </c>
      <c r="D5779" t="n">
        <v>45.052</v>
      </c>
      <c r="E5779" t="n">
        <v>33.98193</v>
      </c>
      <c r="F5779" t="inlineStr"/>
      <c r="G5779" t="inlineStr"/>
      <c r="H5779" t="inlineStr"/>
    </row>
    <row r="5780">
      <c r="A5780" t="inlineStr">
        <is>
          <t>1d1245e3-9fb6-4a3b-a753-ca2c1120b547.jpg</t>
        </is>
      </c>
      <c r="B5780">
        <f>HYPERLINK("Объекты недвижимости, не соответствующие градостроительным нормам_00-022_Август/1d1245e3-9fb6-4a3b-a753-ca2c1120b547.jpg","open")</f>
        <v/>
      </c>
      <c r="C5780" t="inlineStr">
        <is>
          <t>d2c4eccd-3e4b-406c-a903-0f5e43d0be35</t>
        </is>
      </c>
      <c r="D5780" t="n">
        <v>45.052</v>
      </c>
      <c r="E5780" t="n">
        <v>33.98193</v>
      </c>
      <c r="F5780" t="inlineStr"/>
      <c r="G5780" t="inlineStr"/>
      <c r="H5780" t="inlineStr"/>
    </row>
    <row r="5781">
      <c r="A5781" t="inlineStr">
        <is>
          <t>d7036999-410b-4362-a88d-258918864949.jpg</t>
        </is>
      </c>
      <c r="B5781">
        <f>HYPERLINK("Объекты недвижимости, не соответствующие градостроительным нормам_00-022_Август/d7036999-410b-4362-a88d-258918864949.jpg","open")</f>
        <v/>
      </c>
      <c r="C5781" t="inlineStr">
        <is>
          <t>8b2675e2-7f40-47a9-a462-7c9feecd299c</t>
        </is>
      </c>
      <c r="D5781" t="n">
        <v>55.58225</v>
      </c>
      <c r="E5781" t="n">
        <v>37.47972</v>
      </c>
      <c r="F5781" t="inlineStr"/>
      <c r="G5781" t="inlineStr"/>
      <c r="H5781" t="inlineStr"/>
    </row>
    <row r="5782">
      <c r="A5782" t="inlineStr">
        <is>
          <t>3a1210df-ee6c-4033-b8a3-3eb74a00f5a9.jpg</t>
        </is>
      </c>
      <c r="B5782">
        <f>HYPERLINK("Объекты недвижимости, не соответствующие градостроительным нормам_00-022_Август/3a1210df-ee6c-4033-b8a3-3eb74a00f5a9.jpg","open")</f>
        <v/>
      </c>
      <c r="C5782" t="inlineStr">
        <is>
          <t>b0b7ea82-53be-40d0-b992-e2fd18611d5c</t>
        </is>
      </c>
      <c r="D5782" t="n">
        <v>45.04734</v>
      </c>
      <c r="E5782" t="n">
        <v>33.97827</v>
      </c>
      <c r="F5782" t="inlineStr"/>
      <c r="G5782" t="inlineStr"/>
      <c r="H5782" t="inlineStr"/>
    </row>
    <row r="5783">
      <c r="A5783" t="inlineStr">
        <is>
          <t>433ab06c-551f-4899-96ec-0eefd13f1508.jpg</t>
        </is>
      </c>
      <c r="B5783">
        <f>HYPERLINK("Объекты недвижимости, не соответствующие градостроительным нормам_00-022_Август/433ab06c-551f-4899-96ec-0eefd13f1508.jpg","open")</f>
        <v/>
      </c>
      <c r="C5783" t="inlineStr">
        <is>
          <t>18a5c468-d9e6-4814-8477-1caf4a2e1fe9</t>
        </is>
      </c>
      <c r="D5783" t="n">
        <v>45.052</v>
      </c>
      <c r="E5783" t="n">
        <v>33.98193</v>
      </c>
      <c r="F5783" t="inlineStr"/>
      <c r="G5783" t="inlineStr"/>
      <c r="H5783" t="inlineStr"/>
    </row>
    <row r="5784">
      <c r="A5784" t="inlineStr">
        <is>
          <t>9fd4f4f1-b100-4ab2-9c0b-b084de856827.jpg</t>
        </is>
      </c>
      <c r="B5784">
        <f>HYPERLINK("Объекты недвижимости, не соответствующие градостроительным нормам_00-022_Август/9fd4f4f1-b100-4ab2-9c0b-b084de856827.jpg","open")</f>
        <v/>
      </c>
      <c r="C5784" t="inlineStr">
        <is>
          <t>ed2bf0f1-3a66-4913-896e-4420a9796c0b</t>
        </is>
      </c>
      <c r="D5784" t="n">
        <v>55.44678</v>
      </c>
      <c r="E5784" t="n">
        <v>37.2418</v>
      </c>
      <c r="F5784" t="inlineStr"/>
      <c r="G5784" t="inlineStr"/>
      <c r="H5784" t="inlineStr"/>
    </row>
    <row r="5785">
      <c r="A5785" t="inlineStr">
        <is>
          <t>636cf315-0e2a-409e-9dfe-37b45fa4864b.jpg</t>
        </is>
      </c>
      <c r="B5785">
        <f>HYPERLINK("Объекты недвижимости, не соответствующие градостроительным нормам_00-022_Август/636cf315-0e2a-409e-9dfe-37b45fa4864b.jpg","open")</f>
        <v/>
      </c>
      <c r="C5785" t="inlineStr">
        <is>
          <t>18a5c468-d9e6-4814-8477-1caf4a2e1fe9</t>
        </is>
      </c>
      <c r="D5785" t="n">
        <v>45.052</v>
      </c>
      <c r="E5785" t="n">
        <v>33.98193</v>
      </c>
      <c r="F5785" t="inlineStr"/>
      <c r="G5785" t="inlineStr"/>
      <c r="H5785" t="inlineStr"/>
    </row>
    <row r="5786">
      <c r="A5786" t="inlineStr">
        <is>
          <t>b89dd09b-d4dc-4505-9dea-be7d6c8b7de4.jpg</t>
        </is>
      </c>
      <c r="B5786">
        <f>HYPERLINK("Объекты недвижимости, не соответствующие градостроительным нормам_00-022_Август/b89dd09b-d4dc-4505-9dea-be7d6c8b7de4.jpg","open")</f>
        <v/>
      </c>
      <c r="C5786" t="inlineStr">
        <is>
          <t>d2c4eccd-3e4b-406c-a903-0f5e43d0be35</t>
        </is>
      </c>
      <c r="D5786" t="n">
        <v>45.052</v>
      </c>
      <c r="E5786" t="n">
        <v>33.98193</v>
      </c>
      <c r="F5786" t="inlineStr"/>
      <c r="G5786" t="inlineStr"/>
      <c r="H5786" t="inlineStr"/>
    </row>
    <row r="5787">
      <c r="A5787" t="inlineStr">
        <is>
          <t>7023dabd-f773-4041-95ce-e8fed260e409.jpg</t>
        </is>
      </c>
      <c r="B5787">
        <f>HYPERLINK("Объекты недвижимости, не соответствующие градостроительным нормам_00-022_Август/7023dabd-f773-4041-95ce-e8fed260e409.jpg","open")</f>
        <v/>
      </c>
      <c r="C5787" t="inlineStr">
        <is>
          <t>dd48f742-b338-42e2-bbaf-b3a9701b437c</t>
        </is>
      </c>
      <c r="D5787" t="n">
        <v>55.72837</v>
      </c>
      <c r="E5787" t="n">
        <v>37.67902</v>
      </c>
      <c r="F5787" t="inlineStr"/>
      <c r="G5787" t="inlineStr"/>
      <c r="H5787" t="inlineStr"/>
    </row>
    <row r="5788">
      <c r="A5788" t="inlineStr">
        <is>
          <t>590fb114-3f2f-44ac-8757-15ea9a2d5a19.jpg</t>
        </is>
      </c>
      <c r="B5788">
        <f>HYPERLINK("Объекты недвижимости, не соответствующие градостроительным нормам_00-022_Август/590fb114-3f2f-44ac-8757-15ea9a2d5a19.jpg","open")</f>
        <v/>
      </c>
      <c r="C5788" t="inlineStr">
        <is>
          <t>50e4626c-a80e-42ab-b999-b5092c2c063f</t>
        </is>
      </c>
      <c r="D5788" t="n">
        <v>55.86691</v>
      </c>
      <c r="E5788" t="n">
        <v>36.76328</v>
      </c>
      <c r="F5788" t="inlineStr"/>
      <c r="G5788" t="inlineStr"/>
      <c r="H5788" t="inlineStr"/>
    </row>
    <row r="5789">
      <c r="A5789" t="inlineStr">
        <is>
          <t>72bd3755-b75f-40ad-82c8-60791efadec7.jpg</t>
        </is>
      </c>
      <c r="B5789">
        <f>HYPERLINK("Объекты недвижимости, не соответствующие градостроительным нормам_00-022_Август/72bd3755-b75f-40ad-82c8-60791efadec7.jpg","open")</f>
        <v/>
      </c>
      <c r="C5789" t="inlineStr">
        <is>
          <t>f20fbc2b-b369-4734-bb66-92af02fbb0d1</t>
        </is>
      </c>
      <c r="D5789" t="n">
        <v>45.05236</v>
      </c>
      <c r="E5789" t="n">
        <v>33.98206</v>
      </c>
      <c r="F5789" t="inlineStr"/>
      <c r="G5789" t="inlineStr"/>
      <c r="H5789" t="inlineStr"/>
    </row>
    <row r="5790">
      <c r="A5790" t="inlineStr">
        <is>
          <t>6a79d3a9-8892-4f07-b7ef-e581545a9d93.jpg</t>
        </is>
      </c>
      <c r="B5790">
        <f>HYPERLINK("Объекты недвижимости, не соответствующие градостроительным нормам_00-022_Август/6a79d3a9-8892-4f07-b7ef-e581545a9d93.jpg","open")</f>
        <v/>
      </c>
      <c r="C5790" t="inlineStr">
        <is>
          <t>18a5c468-d9e6-4814-8477-1caf4a2e1fe9</t>
        </is>
      </c>
      <c r="D5790" t="n">
        <v>45.052</v>
      </c>
      <c r="E5790" t="n">
        <v>33.98193</v>
      </c>
      <c r="F5790" t="inlineStr"/>
      <c r="G5790" t="inlineStr"/>
      <c r="H5790" t="inlineStr"/>
    </row>
    <row r="5791">
      <c r="A5791" t="inlineStr">
        <is>
          <t>0dfb65db-06c9-4637-bfbf-69a1141faee6.jpg</t>
        </is>
      </c>
      <c r="B5791">
        <f>HYPERLINK("Объекты недвижимости, не соответствующие градостроительным нормам_00-022_Август/0dfb65db-06c9-4637-bfbf-69a1141faee6.jpg","open")</f>
        <v/>
      </c>
      <c r="C5791" t="inlineStr">
        <is>
          <t>685d9054-b74f-49ab-857b-109fd2cec80d</t>
        </is>
      </c>
      <c r="D5791" t="n">
        <v>55.56009</v>
      </c>
      <c r="E5791" t="n">
        <v>37.58379</v>
      </c>
      <c r="F5791" t="inlineStr"/>
      <c r="G5791" t="inlineStr"/>
      <c r="H5791" t="inlineStr"/>
    </row>
    <row r="5792">
      <c r="A5792" t="inlineStr">
        <is>
          <t>6850ff13-7550-40d9-ab48-a02b79c8b5ec.jpg</t>
        </is>
      </c>
      <c r="B5792">
        <f>HYPERLINK("Объекты недвижимости, не соответствующие градостроительным нормам_00-022_Август/6850ff13-7550-40d9-ab48-a02b79c8b5ec.jpg","open")</f>
        <v/>
      </c>
      <c r="C5792" t="inlineStr">
        <is>
          <t>18a5c468-d9e6-4814-8477-1caf4a2e1fe9</t>
        </is>
      </c>
      <c r="D5792" t="n">
        <v>45.052</v>
      </c>
      <c r="E5792" t="n">
        <v>33.98193</v>
      </c>
      <c r="F5792" t="inlineStr"/>
      <c r="G5792" t="inlineStr"/>
      <c r="H5792" t="inlineStr"/>
    </row>
    <row r="5793">
      <c r="A5793" t="inlineStr">
        <is>
          <t>5cb3d712-0f81-481f-95d7-631b69fb2c00.jpg</t>
        </is>
      </c>
      <c r="B5793">
        <f>HYPERLINK("Объекты недвижимости, не соответствующие градостроительным нормам_00-022_Август/5cb3d712-0f81-481f-95d7-631b69fb2c00.jpg","open")</f>
        <v/>
      </c>
      <c r="C5793" t="inlineStr">
        <is>
          <t>685d9054-b74f-49ab-857b-109fd2cec80d</t>
        </is>
      </c>
      <c r="D5793" t="n">
        <v>55.56003</v>
      </c>
      <c r="E5793" t="n">
        <v>37.58323</v>
      </c>
      <c r="F5793" t="inlineStr"/>
      <c r="G5793" t="inlineStr"/>
      <c r="H5793" t="inlineStr"/>
    </row>
    <row r="5794">
      <c r="A5794" t="inlineStr">
        <is>
          <t>a3b054c9-35a8-4773-bf1b-d05f78d2ff69.jpg</t>
        </is>
      </c>
      <c r="B5794">
        <f>HYPERLINK("Объекты недвижимости, не соответствующие градостроительным нормам_00-022_Август/a3b054c9-35a8-4773-bf1b-d05f78d2ff69.jpg","open")</f>
        <v/>
      </c>
      <c r="C5794" t="inlineStr">
        <is>
          <t>685d9054-b74f-49ab-857b-109fd2cec80d</t>
        </is>
      </c>
      <c r="D5794" t="n">
        <v>55.56107</v>
      </c>
      <c r="E5794" t="n">
        <v>37.58211</v>
      </c>
      <c r="F5794" t="inlineStr"/>
      <c r="G5794" t="inlineStr"/>
      <c r="H5794" t="inlineStr"/>
    </row>
    <row r="5795">
      <c r="A5795" t="inlineStr">
        <is>
          <t>3d02b768-5a19-4e5b-9321-9233be768e0f.jpg</t>
        </is>
      </c>
      <c r="B5795">
        <f>HYPERLINK("Объекты недвижимости, не соответствующие градостроительным нормам_00-022_Август/3d02b768-5a19-4e5b-9321-9233be768e0f.jpg","open")</f>
        <v/>
      </c>
      <c r="C5795" t="inlineStr">
        <is>
          <t>8b2675e2-7f40-47a9-a462-7c9feecd299c</t>
        </is>
      </c>
      <c r="D5795" t="n">
        <v>55.60498</v>
      </c>
      <c r="E5795" t="n">
        <v>37.48795</v>
      </c>
      <c r="F5795" t="inlineStr"/>
      <c r="G5795" t="inlineStr"/>
      <c r="H5795" t="inlineStr"/>
    </row>
    <row r="5796">
      <c r="A5796" t="inlineStr">
        <is>
          <t>34a13932-a05c-4ea3-b8fb-217b6dadcfbe.jpg</t>
        </is>
      </c>
      <c r="B5796">
        <f>HYPERLINK("Объекты недвижимости, не соответствующие градостроительным нормам_00-022_Август/34a13932-a05c-4ea3-b8fb-217b6dadcfbe.jpg","open")</f>
        <v/>
      </c>
      <c r="C5796" t="inlineStr">
        <is>
          <t>685d9054-b74f-49ab-857b-109fd2cec80d</t>
        </is>
      </c>
      <c r="D5796" t="n">
        <v>55.56009</v>
      </c>
      <c r="E5796" t="n">
        <v>37.58372</v>
      </c>
      <c r="F5796" t="inlineStr"/>
      <c r="G5796" t="inlineStr"/>
      <c r="H5796" t="inlineStr"/>
    </row>
    <row r="5797">
      <c r="A5797" t="inlineStr">
        <is>
          <t>52b1dbdd-208d-4e45-9728-3873ed251c9d.jpg</t>
        </is>
      </c>
      <c r="B5797">
        <f>HYPERLINK("Объекты недвижимости, не соответствующие градостроительным нормам_00-022_Август/52b1dbdd-208d-4e45-9728-3873ed251c9d.jpg","open")</f>
        <v/>
      </c>
      <c r="C5797" t="inlineStr">
        <is>
          <t>685d9054-b74f-49ab-857b-109fd2cec80d</t>
        </is>
      </c>
      <c r="D5797" t="n">
        <v>55.56154</v>
      </c>
      <c r="E5797" t="n">
        <v>37.58221</v>
      </c>
      <c r="F5797" t="inlineStr"/>
      <c r="G5797" t="inlineStr"/>
      <c r="H5797" t="inlineStr"/>
    </row>
    <row r="5798">
      <c r="A5798" t="inlineStr">
        <is>
          <t>ccf42ccd-c743-4fc6-8809-e0b239227f4f.jpg</t>
        </is>
      </c>
      <c r="B5798">
        <f>HYPERLINK("Объекты недвижимости, не соответствующие градостроительным нормам_00-022_Август/ccf42ccd-c743-4fc6-8809-e0b239227f4f.jpg","open")</f>
        <v/>
      </c>
      <c r="C5798" t="inlineStr">
        <is>
          <t>1231bbc5-e64c-4dc7-9acc-77710f47607a</t>
        </is>
      </c>
      <c r="D5798" t="n">
        <v>55.56156</v>
      </c>
      <c r="E5798" t="n">
        <v>37.58219</v>
      </c>
      <c r="F5798" t="inlineStr"/>
      <c r="G5798" t="inlineStr"/>
      <c r="H5798" t="inlineStr"/>
    </row>
    <row r="5799">
      <c r="A5799" t="inlineStr">
        <is>
          <t>03d0c3e0-589c-44a0-a6c6-52c3d440b8fb.jpg</t>
        </is>
      </c>
      <c r="B5799">
        <f>HYPERLINK("Объекты недвижимости, не соответствующие градостроительным нормам_00-022_Август/03d0c3e0-589c-44a0-a6c6-52c3d440b8fb.jpg","open")</f>
        <v/>
      </c>
      <c r="C5799" t="inlineStr">
        <is>
          <t>18a5c468-d9e6-4814-8477-1caf4a2e1fe9</t>
        </is>
      </c>
      <c r="D5799" t="n">
        <v>45.052</v>
      </c>
      <c r="E5799" t="n">
        <v>33.98193</v>
      </c>
      <c r="F5799" t="inlineStr"/>
      <c r="G5799" t="inlineStr"/>
      <c r="H5799" t="inlineStr"/>
    </row>
    <row r="5800">
      <c r="A5800" t="inlineStr">
        <is>
          <t>1e5d0994-dbb6-4013-b679-962fdaa851cf.jpg</t>
        </is>
      </c>
      <c r="B5800">
        <f>HYPERLINK("Объекты недвижимости, не соответствующие градостроительным нормам_00-022_Август/1e5d0994-dbb6-4013-b679-962fdaa851cf.jpg","open")</f>
        <v/>
      </c>
      <c r="C5800" t="inlineStr">
        <is>
          <t>789f6c51-64ee-4078-b7bd-443af8b8b68a</t>
        </is>
      </c>
      <c r="D5800" t="n">
        <v>55.86469</v>
      </c>
      <c r="E5800" t="n">
        <v>37.60882</v>
      </c>
      <c r="F5800" t="inlineStr"/>
      <c r="G5800" t="inlineStr"/>
      <c r="H5800" t="inlineStr"/>
    </row>
    <row r="5801">
      <c r="A5801" t="inlineStr">
        <is>
          <t>51a91fea-afaf-4d2d-a050-162720d52a04.jpg</t>
        </is>
      </c>
      <c r="B5801">
        <f>HYPERLINK("Объекты недвижимости, не соответствующие градостроительным нормам_00-022_Август/51a91fea-afaf-4d2d-a050-162720d52a04.jpg","open")</f>
        <v/>
      </c>
      <c r="C5801" t="inlineStr">
        <is>
          <t>2acfb2da-e3f6-464c-bd17-4b713522c142</t>
        </is>
      </c>
      <c r="D5801" t="n">
        <v>55.8647</v>
      </c>
      <c r="E5801" t="n">
        <v>37.60881</v>
      </c>
      <c r="F5801" t="inlineStr"/>
      <c r="G5801" t="inlineStr"/>
      <c r="H5801" t="inlineStr"/>
    </row>
    <row r="5802">
      <c r="A5802" t="inlineStr">
        <is>
          <t>8678b079-a810-4038-8fca-2607338d2043.jpg</t>
        </is>
      </c>
      <c r="B5802">
        <f>HYPERLINK("Объекты недвижимости, не соответствующие градостроительным нормам_00-022_Август/8678b079-a810-4038-8fca-2607338d2043.jpg","open")</f>
        <v/>
      </c>
      <c r="C5802" t="inlineStr">
        <is>
          <t>18a5c468-d9e6-4814-8477-1caf4a2e1fe9</t>
        </is>
      </c>
      <c r="D5802" t="n">
        <v>45.052</v>
      </c>
      <c r="E5802" t="n">
        <v>33.98193</v>
      </c>
      <c r="F5802" t="inlineStr"/>
      <c r="G5802" t="inlineStr"/>
      <c r="H5802" t="inlineStr"/>
    </row>
    <row r="5803">
      <c r="A5803" t="inlineStr">
        <is>
          <t>2f091cb3-ecd9-41d5-9976-c05bbb698c4e.jpg</t>
        </is>
      </c>
      <c r="B5803">
        <f>HYPERLINK("Объекты недвижимости, не соответствующие градостроительным нормам_00-022_Август/2f091cb3-ecd9-41d5-9976-c05bbb698c4e.jpg","open")</f>
        <v/>
      </c>
      <c r="C5803" t="inlineStr">
        <is>
          <t>cbf95b01-f708-45a3-9ec0-3603469b538e</t>
        </is>
      </c>
      <c r="D5803" t="n">
        <v>45.05132</v>
      </c>
      <c r="E5803" t="n">
        <v>33.98146</v>
      </c>
      <c r="F5803" t="inlineStr"/>
      <c r="G5803" t="inlineStr"/>
      <c r="H5803" t="inlineStr"/>
    </row>
    <row r="5804">
      <c r="A5804" t="inlineStr">
        <is>
          <t>4b60b559-c9dc-45cd-9e81-e0ae149bcc89.jpg</t>
        </is>
      </c>
      <c r="B5804">
        <f>HYPERLINK("Объекты недвижимости, не соответствующие градостроительным нормам_00-022_Август/4b60b559-c9dc-45cd-9e81-e0ae149bcc89.jpg","open")</f>
        <v/>
      </c>
      <c r="C5804" t="inlineStr">
        <is>
          <t>cbf95b01-f708-45a3-9ec0-3603469b538e</t>
        </is>
      </c>
      <c r="D5804" t="n">
        <v>45.05287</v>
      </c>
      <c r="E5804" t="n">
        <v>33.97995</v>
      </c>
      <c r="F5804" t="inlineStr"/>
      <c r="G5804" t="inlineStr"/>
      <c r="H5804" t="inlineStr"/>
    </row>
    <row r="5805">
      <c r="A5805" t="inlineStr">
        <is>
          <t>4c70ef59-ea59-4b2c-93d5-27e636175215.jpg</t>
        </is>
      </c>
      <c r="B5805">
        <f>HYPERLINK("Объекты недвижимости, не соответствующие градостроительным нормам_00-022_Август/4c70ef59-ea59-4b2c-93d5-27e636175215.jpg","open")</f>
        <v/>
      </c>
      <c r="C5805" t="inlineStr">
        <is>
          <t>ad64e6b9-1ed5-44d7-a101-4945a1f9dec6</t>
        </is>
      </c>
      <c r="D5805" t="n">
        <v>55.66312</v>
      </c>
      <c r="E5805" t="n">
        <v>37.5182</v>
      </c>
      <c r="F5805" t="inlineStr"/>
      <c r="G5805" t="inlineStr"/>
      <c r="H5805" t="inlineStr"/>
    </row>
    <row r="5806">
      <c r="A5806" t="inlineStr">
        <is>
          <t>1b6e8705-30a7-4310-be61-7ada0e336af0.jpg</t>
        </is>
      </c>
      <c r="B5806">
        <f>HYPERLINK("Объекты недвижимости, не соответствующие градостроительным нормам_00-022_Август/1b6e8705-30a7-4310-be61-7ada0e336af0.jpg","open")</f>
        <v/>
      </c>
      <c r="C5806" t="inlineStr">
        <is>
          <t>936502dd-24a4-4256-9fdf-0d8fb72af3ed</t>
        </is>
      </c>
      <c r="D5806" t="n">
        <v>45.04285</v>
      </c>
      <c r="E5806" t="n">
        <v>33.99224</v>
      </c>
      <c r="F5806" t="inlineStr"/>
      <c r="G5806" t="inlineStr"/>
      <c r="H5806" t="inlineStr"/>
    </row>
    <row r="5807">
      <c r="A5807" t="inlineStr">
        <is>
          <t>f755c2a1-d0d4-4778-834c-9cb885e7efac.jpg</t>
        </is>
      </c>
      <c r="B5807">
        <f>HYPERLINK("Объекты недвижимости, не соответствующие градостроительным нормам_00-022_Август/f755c2a1-d0d4-4778-834c-9cb885e7efac.jpg","open")</f>
        <v/>
      </c>
      <c r="C5807" t="inlineStr">
        <is>
          <t>cbf95b01-f708-45a3-9ec0-3603469b538e</t>
        </is>
      </c>
      <c r="D5807" t="n">
        <v>45.05287</v>
      </c>
      <c r="E5807" t="n">
        <v>33.97995</v>
      </c>
      <c r="F5807" t="inlineStr"/>
      <c r="G5807" t="inlineStr"/>
      <c r="H5807" t="inlineStr"/>
    </row>
    <row r="5808">
      <c r="A5808" t="inlineStr">
        <is>
          <t>d93233c0-a407-4966-aa6f-8bd673d1020a.jpg</t>
        </is>
      </c>
      <c r="B5808">
        <f>HYPERLINK("Объекты недвижимости, не соответствующие градостроительным нормам_00-022_Август/d93233c0-a407-4966-aa6f-8bd673d1020a.jpg","open")</f>
        <v/>
      </c>
      <c r="C5808" t="inlineStr">
        <is>
          <t>57aae8a4-582b-4309-8045-c8127a9f86ae</t>
        </is>
      </c>
      <c r="D5808" t="n">
        <v>55.82155</v>
      </c>
      <c r="E5808" t="n">
        <v>37.81442</v>
      </c>
      <c r="F5808" t="inlineStr"/>
      <c r="G5808" t="inlineStr"/>
      <c r="H5808" t="inlineStr"/>
    </row>
    <row r="5809">
      <c r="A5809" t="inlineStr">
        <is>
          <t>bef493ff-79e2-4ee0-be07-a84000a30bb3.jpg</t>
        </is>
      </c>
      <c r="B5809">
        <f>HYPERLINK("Объекты недвижимости, не соответствующие градостроительным нормам_00-022_Август/bef493ff-79e2-4ee0-be07-a84000a30bb3.jpg","open")</f>
        <v/>
      </c>
      <c r="C5809" t="inlineStr">
        <is>
          <t>acedacc2-0d8b-4fc1-9622-25621a89d071</t>
        </is>
      </c>
      <c r="D5809" t="n">
        <v>55.8216</v>
      </c>
      <c r="E5809" t="n">
        <v>37.8143</v>
      </c>
      <c r="F5809" t="inlineStr"/>
      <c r="G5809" t="inlineStr"/>
      <c r="H5809" t="inlineStr"/>
    </row>
    <row r="5810">
      <c r="A5810" t="inlineStr">
        <is>
          <t>b5989dfd-96a6-4362-8ec1-4510c83d4442.jpg</t>
        </is>
      </c>
      <c r="B5810">
        <f>HYPERLINK("Объекты недвижимости, не соответствующие градостроительным нормам_00-022_Август/b5989dfd-96a6-4362-8ec1-4510c83d4442.jpg","open")</f>
        <v/>
      </c>
      <c r="C5810" t="inlineStr">
        <is>
          <t>cbf95b01-f708-45a3-9ec0-3603469b538e</t>
        </is>
      </c>
      <c r="D5810" t="n">
        <v>45.05287</v>
      </c>
      <c r="E5810" t="n">
        <v>33.97995</v>
      </c>
      <c r="F5810" t="inlineStr"/>
      <c r="G5810" t="inlineStr"/>
      <c r="H5810" t="inlineStr"/>
    </row>
    <row r="5811">
      <c r="A5811" t="inlineStr">
        <is>
          <t>c5426019-5ad1-46f4-927c-01d87b3c37bd.jpg</t>
        </is>
      </c>
      <c r="B5811">
        <f>HYPERLINK("Объекты недвижимости, не соответствующие градостроительным нормам_00-022_Август/c5426019-5ad1-46f4-927c-01d87b3c37bd.jpg","open")</f>
        <v/>
      </c>
      <c r="C5811" t="inlineStr">
        <is>
          <t>cbf95b01-f708-45a3-9ec0-3603469b538e</t>
        </is>
      </c>
      <c r="D5811" t="n">
        <v>45.05287</v>
      </c>
      <c r="E5811" t="n">
        <v>33.97995</v>
      </c>
      <c r="F5811" t="inlineStr"/>
      <c r="G5811" t="inlineStr"/>
      <c r="H5811" t="inlineStr"/>
    </row>
    <row r="5812">
      <c r="A5812" t="inlineStr">
        <is>
          <t>26833e32-6e66-4584-b046-d4d571bfd4f5.jpg</t>
        </is>
      </c>
      <c r="B5812">
        <f>HYPERLINK("Объекты недвижимости, не соответствующие градостроительным нормам_00-022_Август/26833e32-6e66-4584-b046-d4d571bfd4f5.jpg","open")</f>
        <v/>
      </c>
      <c r="C5812" t="inlineStr">
        <is>
          <t>18a5c468-d9e6-4814-8477-1caf4a2e1fe9</t>
        </is>
      </c>
      <c r="D5812" t="n">
        <v>45.052</v>
      </c>
      <c r="E5812" t="n">
        <v>33.98193</v>
      </c>
      <c r="F5812" t="inlineStr"/>
      <c r="G5812" t="inlineStr"/>
      <c r="H5812" t="inlineStr"/>
    </row>
    <row r="5813">
      <c r="A5813" t="inlineStr">
        <is>
          <t>f52f6a5b-d666-49bb-9b7d-dab3a1cc465a.jpg</t>
        </is>
      </c>
      <c r="B5813">
        <f>HYPERLINK("Объекты недвижимости, не соответствующие градостроительным нормам_00-022_Август/f52f6a5b-d666-49bb-9b7d-dab3a1cc465a.jpg","open")</f>
        <v/>
      </c>
      <c r="C5813" t="inlineStr">
        <is>
          <t>d2c4eccd-3e4b-406c-a903-0f5e43d0be35</t>
        </is>
      </c>
      <c r="D5813" t="n">
        <v>45.052</v>
      </c>
      <c r="E5813" t="n">
        <v>33.98193</v>
      </c>
      <c r="F5813" t="inlineStr"/>
      <c r="G5813" t="inlineStr"/>
      <c r="H5813" t="inlineStr"/>
    </row>
    <row r="5814">
      <c r="A5814" t="inlineStr">
        <is>
          <t>459f6740-921a-4b55-b733-295784e6b993.jpg</t>
        </is>
      </c>
      <c r="B5814">
        <f>HYPERLINK("Объекты недвижимости, не соответствующие градостроительным нормам_00-022_Август/459f6740-921a-4b55-b733-295784e6b993.jpg","open")</f>
        <v/>
      </c>
      <c r="C5814" t="inlineStr">
        <is>
          <t>1a55986c-2c3f-40c0-b3d1-014dce77832e</t>
        </is>
      </c>
      <c r="D5814" t="n">
        <v>55.44545</v>
      </c>
      <c r="E5814" t="n">
        <v>37.2391</v>
      </c>
      <c r="F5814" t="inlineStr"/>
      <c r="G5814" t="inlineStr"/>
      <c r="H5814" t="inlineStr"/>
    </row>
    <row r="5815">
      <c r="A5815" t="inlineStr">
        <is>
          <t>c9291111-0d64-4fe0-9f40-2d73bb366fb1.jpg</t>
        </is>
      </c>
      <c r="B5815">
        <f>HYPERLINK("Объекты недвижимости, не соответствующие градостроительным нормам_00-022_Август/c9291111-0d64-4fe0-9f40-2d73bb366fb1.jpg","open")</f>
        <v/>
      </c>
      <c r="C5815" t="inlineStr">
        <is>
          <t>18a5c468-d9e6-4814-8477-1caf4a2e1fe9</t>
        </is>
      </c>
      <c r="D5815" t="n">
        <v>45.052</v>
      </c>
      <c r="E5815" t="n">
        <v>33.98193</v>
      </c>
      <c r="F5815" t="inlineStr"/>
      <c r="G5815" t="inlineStr"/>
      <c r="H5815" t="inlineStr"/>
    </row>
    <row r="5816">
      <c r="A5816" t="inlineStr">
        <is>
          <t>54d4d858-f850-405e-849e-1d20a7e90fec.jpg</t>
        </is>
      </c>
      <c r="B5816">
        <f>HYPERLINK("Объекты недвижимости, не соответствующие градостроительным нормам_00-022_Август/54d4d858-f850-405e-849e-1d20a7e90fec.jpg","open")</f>
        <v/>
      </c>
      <c r="C5816" t="inlineStr">
        <is>
          <t>2acfb2da-e3f6-464c-bd17-4b713522c142</t>
        </is>
      </c>
      <c r="D5816" t="n">
        <v>55.86643</v>
      </c>
      <c r="E5816" t="n">
        <v>37.61025</v>
      </c>
      <c r="F5816" t="inlineStr"/>
      <c r="G5816" t="inlineStr"/>
      <c r="H5816" t="inlineStr"/>
    </row>
    <row r="5817">
      <c r="A5817" t="inlineStr">
        <is>
          <t>7342c06d-db9e-48a1-96aa-1a9661d6299f.jpg</t>
        </is>
      </c>
      <c r="B5817">
        <f>HYPERLINK("Объекты недвижимости, не соответствующие градостроительным нормам_00-022_Август/7342c06d-db9e-48a1-96aa-1a9661d6299f.jpg","open")</f>
        <v/>
      </c>
      <c r="C5817" t="inlineStr">
        <is>
          <t>ed2bf0f1-3a66-4913-896e-4420a9796c0b</t>
        </is>
      </c>
      <c r="D5817" t="n">
        <v>55.44484</v>
      </c>
      <c r="E5817" t="n">
        <v>37.24831</v>
      </c>
      <c r="F5817" t="inlineStr"/>
      <c r="G5817" t="inlineStr"/>
      <c r="H5817" t="inlineStr"/>
    </row>
    <row r="5818">
      <c r="A5818" t="inlineStr">
        <is>
          <t>0e245dde-7f49-4836-bcbe-1a197a216900.jpg</t>
        </is>
      </c>
      <c r="B5818">
        <f>HYPERLINK("Объекты недвижимости, не соответствующие градостроительным нормам_00-022_Август/0e245dde-7f49-4836-bcbe-1a197a216900.jpg","open")</f>
        <v/>
      </c>
      <c r="C5818" t="inlineStr">
        <is>
          <t>685d9054-b74f-49ab-857b-109fd2cec80d</t>
        </is>
      </c>
      <c r="D5818" t="n">
        <v>55.56169</v>
      </c>
      <c r="E5818" t="n">
        <v>37.58619</v>
      </c>
      <c r="F5818" t="inlineStr"/>
      <c r="G5818" t="inlineStr"/>
      <c r="H5818" t="inlineStr"/>
    </row>
    <row r="5819">
      <c r="A5819" t="inlineStr">
        <is>
          <t>b5a186f0-cf98-4b95-a10a-60f5c96256fe.jpg</t>
        </is>
      </c>
      <c r="B5819">
        <f>HYPERLINK("Объекты недвижимости, не соответствующие градостроительным нормам_00-022_Август/b5a186f0-cf98-4b95-a10a-60f5c96256fe.jpg","open")</f>
        <v/>
      </c>
      <c r="C5819" t="inlineStr">
        <is>
          <t>685d9054-b74f-49ab-857b-109fd2cec80d</t>
        </is>
      </c>
      <c r="D5819" t="n">
        <v>55.55986</v>
      </c>
      <c r="E5819" t="n">
        <v>37.58642</v>
      </c>
      <c r="F5819" t="inlineStr"/>
      <c r="G5819" t="inlineStr"/>
      <c r="H5819" t="inlineStr"/>
    </row>
    <row r="5820">
      <c r="A5820" t="inlineStr">
        <is>
          <t>5f13f108-f938-4826-906c-25f356c8e0ae.jpg</t>
        </is>
      </c>
      <c r="B5820">
        <f>HYPERLINK("Объекты недвижимости, не соответствующие градостроительным нормам_00-022_Август/5f13f108-f938-4826-906c-25f356c8e0ae.jpg","open")</f>
        <v/>
      </c>
      <c r="C5820" t="inlineStr">
        <is>
          <t>fce890a6-27da-4062-a046-08262a160ee6</t>
        </is>
      </c>
      <c r="D5820" t="n">
        <v>45.05013</v>
      </c>
      <c r="E5820" t="n">
        <v>33.97311</v>
      </c>
      <c r="F5820" t="inlineStr"/>
      <c r="G5820" t="inlineStr"/>
      <c r="H5820" t="inlineStr"/>
    </row>
    <row r="5821">
      <c r="A5821" t="inlineStr">
        <is>
          <t>dd2d1891-f83c-4c31-885c-24756504b7d8.jpg</t>
        </is>
      </c>
      <c r="B5821">
        <f>HYPERLINK("Объекты недвижимости, не соответствующие градостроительным нормам_00-022_Август/dd2d1891-f83c-4c31-885c-24756504b7d8.jpg","open")</f>
        <v/>
      </c>
      <c r="C5821" t="inlineStr">
        <is>
          <t>d2c4eccd-3e4b-406c-a903-0f5e43d0be35</t>
        </is>
      </c>
      <c r="D5821" t="n">
        <v>45.052</v>
      </c>
      <c r="E5821" t="n">
        <v>33.98193</v>
      </c>
      <c r="F5821" t="inlineStr"/>
      <c r="G5821" t="inlineStr"/>
      <c r="H5821" t="inlineStr"/>
    </row>
    <row r="5822">
      <c r="A5822" t="inlineStr">
        <is>
          <t>80362ec2-254e-422a-bd9b-80213dbd20ee.jpg</t>
        </is>
      </c>
      <c r="B5822">
        <f>HYPERLINK("Объекты недвижимости, не соответствующие градостроительным нормам_00-022_Август/80362ec2-254e-422a-bd9b-80213dbd20ee.jpg","open")</f>
        <v/>
      </c>
      <c r="C5822" t="inlineStr">
        <is>
          <t>685d9054-b74f-49ab-857b-109fd2cec80d</t>
        </is>
      </c>
      <c r="D5822" t="n">
        <v>55.55972</v>
      </c>
      <c r="E5822" t="n">
        <v>37.57815</v>
      </c>
      <c r="F5822" t="inlineStr"/>
      <c r="G5822" t="inlineStr"/>
      <c r="H5822" t="inlineStr"/>
    </row>
    <row r="5823">
      <c r="A5823" t="inlineStr">
        <is>
          <t>3022054b-32ba-47ac-8856-bf989c243b47.jpg</t>
        </is>
      </c>
      <c r="B5823">
        <f>HYPERLINK("Объекты недвижимости, не соответствующие градостроительным нормам_00-022_Август/3022054b-32ba-47ac-8856-bf989c243b47.jpg","open")</f>
        <v/>
      </c>
      <c r="C5823" t="inlineStr">
        <is>
          <t>d2c4eccd-3e4b-406c-a903-0f5e43d0be35</t>
        </is>
      </c>
      <c r="D5823" t="n">
        <v>45.052</v>
      </c>
      <c r="E5823" t="n">
        <v>33.98193</v>
      </c>
      <c r="F5823" t="inlineStr"/>
      <c r="G5823" t="inlineStr"/>
      <c r="H5823" t="inlineStr"/>
    </row>
    <row r="5824">
      <c r="A5824" t="inlineStr">
        <is>
          <t>441546d8-47fe-4866-96ec-af5c05092c2d.jpg</t>
        </is>
      </c>
      <c r="B5824">
        <f>HYPERLINK("Объекты недвижимости, не соответствующие градостроительным нормам_00-022_Август/441546d8-47fe-4866-96ec-af5c05092c2d.jpg","open")</f>
        <v/>
      </c>
      <c r="C5824" t="inlineStr">
        <is>
          <t>8cde1fd0-eca1-4510-86ab-3c743b65fdfc</t>
        </is>
      </c>
      <c r="D5824" t="n">
        <v>55.86217</v>
      </c>
      <c r="E5824" t="n">
        <v>37.53531</v>
      </c>
      <c r="F5824" t="inlineStr"/>
      <c r="G5824" t="inlineStr"/>
      <c r="H5824" t="inlineStr"/>
    </row>
    <row r="5825">
      <c r="A5825" t="inlineStr">
        <is>
          <t>1e27b7e9-d8c0-4acb-bffa-48575b045411.jpg</t>
        </is>
      </c>
      <c r="B5825">
        <f>HYPERLINK("Объекты недвижимости, не соответствующие градостроительным нормам_00-022_Август/1e27b7e9-d8c0-4acb-bffa-48575b045411.jpg","open")</f>
        <v/>
      </c>
      <c r="C5825" t="inlineStr">
        <is>
          <t>caa4772d-6278-4484-a046-ee25514bf521</t>
        </is>
      </c>
      <c r="D5825" t="n">
        <v>55.72461</v>
      </c>
      <c r="E5825" t="n">
        <v>37.76587</v>
      </c>
      <c r="F5825" t="inlineStr"/>
      <c r="G5825" t="inlineStr"/>
      <c r="H5825" t="inlineStr"/>
    </row>
    <row r="5826">
      <c r="A5826" t="inlineStr">
        <is>
          <t>f44a2496-b340-42f4-8d78-616cc0b66e6b.jpg</t>
        </is>
      </c>
      <c r="B5826">
        <f>HYPERLINK("Объекты недвижимости, не соответствующие градостроительным нормам_00-022_Август/f44a2496-b340-42f4-8d78-616cc0b66e6b.jpg","open")</f>
        <v/>
      </c>
      <c r="C5826" t="inlineStr">
        <is>
          <t>56702d00-3d38-4721-8f83-3846a59c1e44</t>
        </is>
      </c>
      <c r="D5826" t="n">
        <v>55.81948</v>
      </c>
      <c r="E5826" t="n">
        <v>37.86628</v>
      </c>
      <c r="F5826" t="inlineStr"/>
      <c r="G5826" t="inlineStr"/>
      <c r="H5826" t="inlineStr"/>
    </row>
    <row r="5827">
      <c r="A5827" t="inlineStr">
        <is>
          <t>4eefdab4-86a4-43c1-addd-58be78f0c702.jpg</t>
        </is>
      </c>
      <c r="B5827">
        <f>HYPERLINK("Объекты недвижимости, не соответствующие градостроительным нормам_00-022_Август/4eefdab4-86a4-43c1-addd-58be78f0c702.jpg","open")</f>
        <v/>
      </c>
      <c r="C5827" t="inlineStr">
        <is>
          <t>1c951e11-4940-43c6-a447-394097e5609a</t>
        </is>
      </c>
      <c r="D5827" t="n">
        <v>55.86444</v>
      </c>
      <c r="E5827" t="n">
        <v>37.5452</v>
      </c>
      <c r="F5827" t="inlineStr"/>
      <c r="G5827" t="inlineStr"/>
      <c r="H5827" t="inlineStr"/>
    </row>
    <row r="5828">
      <c r="A5828" t="inlineStr">
        <is>
          <t>dfb0ba19-0c52-4fca-954e-820b080e799b.jpg</t>
        </is>
      </c>
      <c r="B5828">
        <f>HYPERLINK("Объекты недвижимости, не соответствующие градостроительным нормам_00-022_Август/dfb0ba19-0c52-4fca-954e-820b080e799b.jpg","open")</f>
        <v/>
      </c>
      <c r="C5828" t="inlineStr">
        <is>
          <t>1c951e11-4940-43c6-a447-394097e5609a</t>
        </is>
      </c>
      <c r="D5828" t="n">
        <v>55.86444</v>
      </c>
      <c r="E5828" t="n">
        <v>37.54512</v>
      </c>
      <c r="F5828" t="inlineStr"/>
      <c r="G5828" t="inlineStr"/>
      <c r="H5828" t="inlineStr"/>
    </row>
    <row r="5829">
      <c r="A5829" t="inlineStr">
        <is>
          <t>b5e7317e-3fe5-4b00-9de3-84c71176b6df.jpg</t>
        </is>
      </c>
      <c r="B5829">
        <f>HYPERLINK("Объекты недвижимости, не соответствующие градостроительным нормам_00-022_Август/b5e7317e-3fe5-4b00-9de3-84c71176b6df.jpg","open")</f>
        <v/>
      </c>
      <c r="C5829" t="inlineStr">
        <is>
          <t>8cde1fd0-eca1-4510-86ab-3c743b65fdfc</t>
        </is>
      </c>
      <c r="D5829" t="n">
        <v>55.86444</v>
      </c>
      <c r="E5829" t="n">
        <v>37.54514</v>
      </c>
      <c r="F5829" t="inlineStr"/>
      <c r="G5829" t="inlineStr"/>
      <c r="H5829" t="inlineStr"/>
    </row>
    <row r="5830">
      <c r="A5830" t="inlineStr">
        <is>
          <t>9002033b-f040-453d-8ec0-891486d84b75.jpg</t>
        </is>
      </c>
      <c r="B5830">
        <f>HYPERLINK("Объекты недвижимости, не соответствующие градостроительным нормам_00-022_Август/9002033b-f040-453d-8ec0-891486d84b75.jpg","open")</f>
        <v/>
      </c>
      <c r="C5830" t="inlineStr">
        <is>
          <t>1c951e11-4940-43c6-a447-394097e5609a</t>
        </is>
      </c>
      <c r="D5830" t="n">
        <v>55.86393</v>
      </c>
      <c r="E5830" t="n">
        <v>37.54419</v>
      </c>
      <c r="F5830" t="inlineStr"/>
      <c r="G5830" t="inlineStr"/>
      <c r="H5830" t="inlineStr"/>
    </row>
    <row r="5831">
      <c r="A5831" t="inlineStr">
        <is>
          <t>37cadaec-63ff-460d-9cc1-e93cd58f96f5.jpg</t>
        </is>
      </c>
      <c r="B5831">
        <f>HYPERLINK("Объекты недвижимости, не соответствующие градостроительным нормам_00-022_Август/37cadaec-63ff-460d-9cc1-e93cd58f96f5.jpg","open")</f>
        <v/>
      </c>
      <c r="C5831" t="inlineStr">
        <is>
          <t>f6f80c84-5569-48fd-b627-6f41ce4c61c4</t>
        </is>
      </c>
      <c r="D5831" t="n">
        <v>55.72599</v>
      </c>
      <c r="E5831" t="n">
        <v>37.76214</v>
      </c>
      <c r="F5831" t="inlineStr"/>
      <c r="G5831" t="inlineStr"/>
      <c r="H5831" t="inlineStr"/>
    </row>
    <row r="5832">
      <c r="A5832" t="inlineStr">
        <is>
          <t>999f79f1-ea4f-4b12-a20e-16a8b0ff220a.jpg</t>
        </is>
      </c>
      <c r="B5832">
        <f>HYPERLINK("Объекты недвижимости, не соответствующие градостроительным нормам_00-022_Август/999f79f1-ea4f-4b12-a20e-16a8b0ff220a.jpg","open")</f>
        <v/>
      </c>
      <c r="C5832" t="inlineStr">
        <is>
          <t>a28f597e-d1cd-4d3b-b572-c86d033412e9</t>
        </is>
      </c>
      <c r="D5832" t="n">
        <v>55.64512</v>
      </c>
      <c r="E5832" t="n">
        <v>37.34963</v>
      </c>
      <c r="F5832" t="inlineStr"/>
      <c r="G5832" t="inlineStr"/>
      <c r="H5832" t="inlineStr"/>
    </row>
    <row r="5833">
      <c r="A5833" t="inlineStr">
        <is>
          <t>e2a82fff-5b45-42a0-99a0-7e02de8368fb.jpg</t>
        </is>
      </c>
      <c r="B5833">
        <f>HYPERLINK("Объекты недвижимости, не соответствующие градостроительным нормам_00-022_Август/e2a82fff-5b45-42a0-99a0-7e02de8368fb.jpg","open")</f>
        <v/>
      </c>
      <c r="C5833" t="inlineStr">
        <is>
          <t>036c664f-5408-4fd0-b479-342c00468eeb</t>
        </is>
      </c>
      <c r="D5833" t="n">
        <v>55.64508</v>
      </c>
      <c r="E5833" t="n">
        <v>37.34968</v>
      </c>
      <c r="F5833" t="inlineStr"/>
      <c r="G5833" t="inlineStr"/>
      <c r="H5833" t="inlineStr"/>
    </row>
    <row r="5834">
      <c r="A5834" t="inlineStr">
        <is>
          <t>f3cef5e9-0ddf-4817-9f93-56de2bdd91bc.jpg</t>
        </is>
      </c>
      <c r="B5834">
        <f>HYPERLINK("Объекты недвижимости, не соответствующие градостроительным нормам_00-022_Август/f3cef5e9-0ddf-4817-9f93-56de2bdd91bc.jpg","open")</f>
        <v/>
      </c>
      <c r="C5834" t="inlineStr">
        <is>
          <t>8cde1fd0-eca1-4510-86ab-3c743b65fdfc</t>
        </is>
      </c>
      <c r="D5834" t="n">
        <v>55.86661</v>
      </c>
      <c r="E5834" t="n">
        <v>37.53659</v>
      </c>
      <c r="F5834" t="inlineStr"/>
      <c r="G5834" t="inlineStr"/>
      <c r="H5834" t="inlineStr"/>
    </row>
    <row r="5835">
      <c r="A5835" t="inlineStr">
        <is>
          <t>49b6b1b9-2d37-4501-9b92-9107f9b0f15c.jpg</t>
        </is>
      </c>
      <c r="B5835">
        <f>HYPERLINK("Объекты недвижимости, не соответствующие градостроительным нормам_00-022_Август/49b6b1b9-2d37-4501-9b92-9107f9b0f15c.jpg","open")</f>
        <v/>
      </c>
      <c r="C5835" t="inlineStr">
        <is>
          <t>1c951e11-4940-43c6-a447-394097e5609a</t>
        </is>
      </c>
      <c r="D5835" t="n">
        <v>55.86689</v>
      </c>
      <c r="E5835" t="n">
        <v>37.54098</v>
      </c>
      <c r="F5835" t="inlineStr"/>
      <c r="G5835" t="inlineStr"/>
      <c r="H5835" t="inlineStr"/>
    </row>
    <row r="5836">
      <c r="A5836" t="inlineStr">
        <is>
          <t>6f95dd1b-8ae4-4e8c-b388-b73f8648f454.jpg</t>
        </is>
      </c>
      <c r="B5836">
        <f>HYPERLINK("Объекты недвижимости, не соответствующие градостроительным нормам_00-022_Август/6f95dd1b-8ae4-4e8c-b388-b73f8648f454.jpg","open")</f>
        <v/>
      </c>
      <c r="C5836" t="inlineStr">
        <is>
          <t>1c951e11-4940-43c6-a447-394097e5609a</t>
        </is>
      </c>
      <c r="D5836" t="n">
        <v>55.86656</v>
      </c>
      <c r="E5836" t="n">
        <v>37.53407</v>
      </c>
      <c r="F5836" t="inlineStr"/>
      <c r="G5836" t="inlineStr"/>
      <c r="H5836" t="inlineStr"/>
    </row>
    <row r="5837">
      <c r="A5837" t="inlineStr">
        <is>
          <t>2f86af81-f97d-46e1-aa3d-d6ce99266f2f.jpg</t>
        </is>
      </c>
      <c r="B5837">
        <f>HYPERLINK("Объекты недвижимости, не соответствующие градостроительным нормам_00-022_Август/2f86af81-f97d-46e1-aa3d-d6ce99266f2f.jpg","open")</f>
        <v/>
      </c>
      <c r="C5837" t="inlineStr">
        <is>
          <t>685d9054-b74f-49ab-857b-109fd2cec80d</t>
        </is>
      </c>
      <c r="D5837" t="n">
        <v>55.56</v>
      </c>
      <c r="E5837" t="n">
        <v>37.57751</v>
      </c>
      <c r="F5837" t="inlineStr"/>
      <c r="G5837" t="inlineStr"/>
      <c r="H5837" t="inlineStr"/>
    </row>
    <row r="5838">
      <c r="A5838" t="inlineStr">
        <is>
          <t>d41da7c5-bf2d-4be8-aa1c-34cfb45fca7a.jpg</t>
        </is>
      </c>
      <c r="B5838">
        <f>HYPERLINK("Объекты недвижимости, не соответствующие градостроительным нормам_00-022_Август/d41da7c5-bf2d-4be8-aa1c-34cfb45fca7a.jpg","open")</f>
        <v/>
      </c>
      <c r="C5838" t="inlineStr">
        <is>
          <t>1231bbc5-e64c-4dc7-9acc-77710f47607a</t>
        </is>
      </c>
      <c r="D5838" t="n">
        <v>55.56006</v>
      </c>
      <c r="E5838" t="n">
        <v>37.57755</v>
      </c>
      <c r="F5838" t="inlineStr"/>
      <c r="G5838" t="inlineStr"/>
      <c r="H5838" t="inlineStr"/>
    </row>
    <row r="5839">
      <c r="A5839" t="inlineStr">
        <is>
          <t>ec368257-b617-4ea6-a5a2-29dcf5b46fdf.jpg</t>
        </is>
      </c>
      <c r="B5839">
        <f>HYPERLINK("Объекты недвижимости, не соответствующие градостроительным нормам_00-022_Август/ec368257-b617-4ea6-a5a2-29dcf5b46fdf.jpg","open")</f>
        <v/>
      </c>
      <c r="C5839" t="inlineStr">
        <is>
          <t>d2c4eccd-3e4b-406c-a903-0f5e43d0be35</t>
        </is>
      </c>
      <c r="D5839" t="n">
        <v>45.052</v>
      </c>
      <c r="E5839" t="n">
        <v>33.98193</v>
      </c>
      <c r="F5839" t="inlineStr"/>
      <c r="G5839" t="inlineStr"/>
      <c r="H5839" t="inlineStr"/>
    </row>
    <row r="5840">
      <c r="A5840" t="inlineStr">
        <is>
          <t>b37332ce-6db0-45bd-ba89-c7fecd0a4713.jpg</t>
        </is>
      </c>
      <c r="B5840">
        <f>HYPERLINK("Объекты недвижимости, не соответствующие градостроительным нормам_00-022_Август/b37332ce-6db0-45bd-ba89-c7fecd0a4713.jpg","open")</f>
        <v/>
      </c>
      <c r="C5840" t="inlineStr">
        <is>
          <t>18a5c468-d9e6-4814-8477-1caf4a2e1fe9</t>
        </is>
      </c>
      <c r="D5840" t="n">
        <v>45.052</v>
      </c>
      <c r="E5840" t="n">
        <v>33.98193</v>
      </c>
      <c r="F5840" t="inlineStr"/>
      <c r="G5840" t="inlineStr"/>
      <c r="H5840" t="inlineStr"/>
    </row>
    <row r="5841">
      <c r="A5841" t="inlineStr">
        <is>
          <t>80a5f66d-fad4-4dc5-af7d-e50ceeebb27e.jpg</t>
        </is>
      </c>
      <c r="B5841">
        <f>HYPERLINK("Объекты недвижимости, не соответствующие градостроительным нормам_00-022_Август/80a5f66d-fad4-4dc5-af7d-e50ceeebb27e.jpg","open")</f>
        <v/>
      </c>
      <c r="C5841" t="inlineStr">
        <is>
          <t>caa4772d-6278-4484-a046-ee25514bf521</t>
        </is>
      </c>
      <c r="D5841" t="n">
        <v>55.72528</v>
      </c>
      <c r="E5841" t="n">
        <v>37.73771</v>
      </c>
      <c r="F5841" t="inlineStr"/>
      <c r="G5841" t="inlineStr"/>
      <c r="H5841" t="inlineStr"/>
    </row>
    <row r="5842">
      <c r="A5842" t="inlineStr">
        <is>
          <t>24671f47-527d-4e9b-914d-da39c94c1579.jpg</t>
        </is>
      </c>
      <c r="B5842">
        <f>HYPERLINK("Объекты недвижимости, не соответствующие градостроительным нормам_00-022_Август/24671f47-527d-4e9b-914d-da39c94c1579.jpg","open")</f>
        <v/>
      </c>
      <c r="C5842" t="inlineStr">
        <is>
          <t>caa4772d-6278-4484-a046-ee25514bf521</t>
        </is>
      </c>
      <c r="D5842" t="n">
        <v>55.72516</v>
      </c>
      <c r="E5842" t="n">
        <v>37.73763</v>
      </c>
      <c r="F5842" t="inlineStr"/>
      <c r="G5842" t="inlineStr"/>
      <c r="H5842" t="inlineStr"/>
    </row>
    <row r="5843">
      <c r="A5843" t="inlineStr">
        <is>
          <t>6912d5e3-8584-41af-b2ca-f8b5666b055e.jpg</t>
        </is>
      </c>
      <c r="B5843">
        <f>HYPERLINK("Объекты недвижимости, не соответствующие градостроительным нормам_00-022_Август/6912d5e3-8584-41af-b2ca-f8b5666b055e.jpg","open")</f>
        <v/>
      </c>
      <c r="C5843" t="inlineStr">
        <is>
          <t>d2c4eccd-3e4b-406c-a903-0f5e43d0be35</t>
        </is>
      </c>
      <c r="D5843" t="n">
        <v>45.052</v>
      </c>
      <c r="E5843" t="n">
        <v>33.98193</v>
      </c>
      <c r="F5843" t="inlineStr"/>
      <c r="G5843" t="inlineStr"/>
      <c r="H5843" t="inlineStr"/>
    </row>
    <row r="5844">
      <c r="A5844" t="inlineStr">
        <is>
          <t>c1b77f28-0bfc-4a34-b40f-cae0a638c509.jpg</t>
        </is>
      </c>
      <c r="B5844">
        <f>HYPERLINK("Объекты недвижимости, не соответствующие градостроительным нормам_00-022_Август/c1b77f28-0bfc-4a34-b40f-cae0a638c509.jpg","open")</f>
        <v/>
      </c>
      <c r="C5844" t="inlineStr">
        <is>
          <t>f6f80c84-5569-48fd-b627-6f41ce4c61c4</t>
        </is>
      </c>
      <c r="D5844" t="n">
        <v>55.72335</v>
      </c>
      <c r="E5844" t="n">
        <v>37.73415</v>
      </c>
      <c r="F5844" t="inlineStr"/>
      <c r="G5844" t="inlineStr"/>
      <c r="H5844" t="inlineStr"/>
    </row>
    <row r="5845">
      <c r="A5845" t="inlineStr">
        <is>
          <t>ae5ff3a8-f935-4bb7-94c8-96c08592de2d.jpg</t>
        </is>
      </c>
      <c r="B5845">
        <f>HYPERLINK("Объекты недвижимости, не соответствующие градостроительным нормам_00-022_Август/ae5ff3a8-f935-4bb7-94c8-96c08592de2d.jpg","open")</f>
        <v/>
      </c>
      <c r="C5845" t="inlineStr">
        <is>
          <t>6e2567a0-1fb9-40d5-a0e7-0adb480d2965</t>
        </is>
      </c>
      <c r="D5845" t="n">
        <v>55.7823</v>
      </c>
      <c r="E5845" t="n">
        <v>37.67113</v>
      </c>
      <c r="F5845" t="inlineStr"/>
      <c r="G5845" t="inlineStr"/>
      <c r="H5845" t="inlineStr"/>
    </row>
    <row r="5846">
      <c r="A5846" t="inlineStr">
        <is>
          <t>ee95b7e3-6063-4c8a-aa0d-0a88ff8cb5df.jpg</t>
        </is>
      </c>
      <c r="B5846">
        <f>HYPERLINK("Объекты недвижимости, не соответствующие градостроительным нормам_00-022_Август/ee95b7e3-6063-4c8a-aa0d-0a88ff8cb5df.jpg","open")</f>
        <v/>
      </c>
      <c r="C5846" t="inlineStr">
        <is>
          <t>d2c4eccd-3e4b-406c-a903-0f5e43d0be35</t>
        </is>
      </c>
      <c r="D5846" t="n">
        <v>45.052</v>
      </c>
      <c r="E5846" t="n">
        <v>33.98193</v>
      </c>
      <c r="F5846" t="inlineStr"/>
      <c r="G5846" t="inlineStr"/>
      <c r="H5846" t="inlineStr"/>
    </row>
    <row r="5847">
      <c r="A5847" t="inlineStr">
        <is>
          <t>4bffbd85-960b-4150-8c1f-afd22089ea73.jpg</t>
        </is>
      </c>
      <c r="B5847">
        <f>HYPERLINK("Объекты недвижимости, не соответствующие градостроительным нормам_00-022_Август/4bffbd85-960b-4150-8c1f-afd22089ea73.jpg","open")</f>
        <v/>
      </c>
      <c r="C5847" t="inlineStr">
        <is>
          <t>93848fc8-17e7-4748-9ebc-c7e379e11d2f</t>
        </is>
      </c>
      <c r="D5847" t="n">
        <v>55.61168</v>
      </c>
      <c r="E5847" t="n">
        <v>37.49254</v>
      </c>
      <c r="F5847" t="inlineStr"/>
      <c r="G5847" t="inlineStr"/>
      <c r="H5847" t="inlineStr"/>
    </row>
    <row r="5848">
      <c r="A5848" t="inlineStr">
        <is>
          <t>5a3e67c8-1b5f-448c-a9ba-c2ad6fa0f4c7.jpg</t>
        </is>
      </c>
      <c r="B5848">
        <f>HYPERLINK("Объекты недвижимости, не соответствующие градостроительным нормам_00-022_Август/5a3e67c8-1b5f-448c-a9ba-c2ad6fa0f4c7.jpg","open")</f>
        <v/>
      </c>
      <c r="C5848" t="inlineStr">
        <is>
          <t>1231bbc5-e64c-4dc7-9acc-77710f47607a</t>
        </is>
      </c>
      <c r="D5848" t="n">
        <v>55.56159</v>
      </c>
      <c r="E5848" t="n">
        <v>37.58091</v>
      </c>
      <c r="F5848" t="inlineStr"/>
      <c r="G5848" t="inlineStr"/>
      <c r="H5848" t="inlineStr"/>
    </row>
    <row r="5849">
      <c r="A5849" t="inlineStr">
        <is>
          <t>7f5298b5-6cb5-4783-9a42-86a61156b80d.jpg</t>
        </is>
      </c>
      <c r="B5849">
        <f>HYPERLINK("Объекты недвижимости, не соответствующие градостроительным нормам_00-022_Август/7f5298b5-6cb5-4783-9a42-86a61156b80d.jpg","open")</f>
        <v/>
      </c>
      <c r="C5849" t="inlineStr">
        <is>
          <t>685d9054-b74f-49ab-857b-109fd2cec80d</t>
        </is>
      </c>
      <c r="D5849" t="n">
        <v>55.56159</v>
      </c>
      <c r="E5849" t="n">
        <v>37.58091</v>
      </c>
      <c r="F5849" t="inlineStr"/>
      <c r="G5849" t="inlineStr"/>
      <c r="H5849" t="inlineStr"/>
    </row>
    <row r="5850">
      <c r="A5850" t="inlineStr">
        <is>
          <t>c3294624-a6fc-4e98-b06c-0e134ea301ad.jpg</t>
        </is>
      </c>
      <c r="B5850">
        <f>HYPERLINK("Объекты недвижимости, не соответствующие градостроительным нормам_00-022_Август/c3294624-a6fc-4e98-b06c-0e134ea301ad.jpg","open")</f>
        <v/>
      </c>
      <c r="C5850" t="inlineStr">
        <is>
          <t>8cde1fd0-eca1-4510-86ab-3c743b65fdfc</t>
        </is>
      </c>
      <c r="D5850" t="n">
        <v>55.86784</v>
      </c>
      <c r="E5850" t="n">
        <v>37.5312</v>
      </c>
      <c r="F5850" t="inlineStr"/>
      <c r="G5850" t="inlineStr"/>
      <c r="H5850" t="inlineStr"/>
    </row>
    <row r="5851">
      <c r="A5851" t="inlineStr">
        <is>
          <t>2629cbd7-e9a6-46bf-9288-66767f254848.jpg</t>
        </is>
      </c>
      <c r="B5851">
        <f>HYPERLINK("Объекты недвижимости, не соответствующие градостроительным нормам_00-022_Август/2629cbd7-e9a6-46bf-9288-66767f254848.jpg","open")</f>
        <v/>
      </c>
      <c r="C5851" t="inlineStr">
        <is>
          <t>18a5c468-d9e6-4814-8477-1caf4a2e1fe9</t>
        </is>
      </c>
      <c r="D5851" t="n">
        <v>45.052</v>
      </c>
      <c r="E5851" t="n">
        <v>33.98193</v>
      </c>
      <c r="F5851" t="inlineStr"/>
      <c r="G5851" t="inlineStr"/>
      <c r="H5851" t="inlineStr"/>
    </row>
    <row r="5852">
      <c r="A5852" t="inlineStr">
        <is>
          <t>8154e6bd-c336-4d90-908b-fa17da1d6b11.jpg</t>
        </is>
      </c>
      <c r="B5852">
        <f>HYPERLINK("Объекты недвижимости, не соответствующие градостроительным нормам_00-022_Август/8154e6bd-c336-4d90-908b-fa17da1d6b11.jpg","open")</f>
        <v/>
      </c>
      <c r="C5852" t="inlineStr">
        <is>
          <t>d2c4eccd-3e4b-406c-a903-0f5e43d0be35</t>
        </is>
      </c>
      <c r="D5852" t="n">
        <v>45.052</v>
      </c>
      <c r="E5852" t="n">
        <v>33.98193</v>
      </c>
      <c r="F5852" t="inlineStr"/>
      <c r="G5852" t="inlineStr"/>
      <c r="H5852" t="inlineStr"/>
    </row>
    <row r="5853">
      <c r="A5853" t="inlineStr">
        <is>
          <t>df84c428-0044-45ab-a237-0a0a26619410.jpg</t>
        </is>
      </c>
      <c r="B5853">
        <f>HYPERLINK("Объекты недвижимости, не соответствующие градостроительным нормам_00-022_Август/df84c428-0044-45ab-a237-0a0a26619410.jpg","open")</f>
        <v/>
      </c>
      <c r="C5853" t="inlineStr">
        <is>
          <t>18a5c468-d9e6-4814-8477-1caf4a2e1fe9</t>
        </is>
      </c>
      <c r="D5853" t="n">
        <v>45.052</v>
      </c>
      <c r="E5853" t="n">
        <v>33.98193</v>
      </c>
      <c r="F5853" t="inlineStr"/>
      <c r="G5853" t="inlineStr"/>
      <c r="H5853" t="inlineStr"/>
    </row>
    <row r="5854">
      <c r="A5854" t="inlineStr">
        <is>
          <t>40f350b5-7bd4-4ea9-aec1-a12d816590d5.jpg</t>
        </is>
      </c>
      <c r="B5854">
        <f>HYPERLINK("Объекты недвижимости, не соответствующие градостроительным нормам_00-022_Август/40f350b5-7bd4-4ea9-aec1-a12d816590d5.jpg","open")</f>
        <v/>
      </c>
      <c r="C5854" t="inlineStr">
        <is>
          <t>6e2567a0-1fb9-40d5-a0e7-0adb480d2965</t>
        </is>
      </c>
      <c r="D5854" t="n">
        <v>55.7823</v>
      </c>
      <c r="E5854" t="n">
        <v>37.67113</v>
      </c>
      <c r="F5854" t="inlineStr"/>
      <c r="G5854" t="inlineStr"/>
      <c r="H5854" t="inlineStr"/>
    </row>
    <row r="5855">
      <c r="A5855" t="inlineStr">
        <is>
          <t>2fd32458-f057-4ac4-a9f7-a31380fae082.jpg</t>
        </is>
      </c>
      <c r="B5855">
        <f>HYPERLINK("Объекты недвижимости, не соответствующие градостроительным нормам_00-022_Август/2fd32458-f057-4ac4-a9f7-a31380fae082.jpg","open")</f>
        <v/>
      </c>
      <c r="C5855" t="inlineStr">
        <is>
          <t>18a5c468-d9e6-4814-8477-1caf4a2e1fe9</t>
        </is>
      </c>
      <c r="D5855" t="n">
        <v>45.052</v>
      </c>
      <c r="E5855" t="n">
        <v>33.98193</v>
      </c>
      <c r="F5855" t="inlineStr"/>
      <c r="G5855" t="inlineStr"/>
      <c r="H5855" t="inlineStr"/>
    </row>
    <row r="5856">
      <c r="A5856" t="inlineStr">
        <is>
          <t>ab6570aa-a6da-4502-b65a-faa429469e70.jpg</t>
        </is>
      </c>
      <c r="B5856">
        <f>HYPERLINK("Объекты недвижимости, не соответствующие градостроительным нормам_00-022_Август/ab6570aa-a6da-4502-b65a-faa429469e70.jpg","open")</f>
        <v/>
      </c>
      <c r="C5856" t="inlineStr">
        <is>
          <t>1c951e11-4940-43c6-a447-394097e5609a</t>
        </is>
      </c>
      <c r="D5856" t="n">
        <v>55.86787</v>
      </c>
      <c r="E5856" t="n">
        <v>37.52609</v>
      </c>
      <c r="F5856" t="inlineStr"/>
      <c r="G5856" t="inlineStr"/>
      <c r="H5856" t="inlineStr"/>
    </row>
    <row r="5857">
      <c r="A5857" t="inlineStr">
        <is>
          <t>ba2deab9-60d8-4835-85e0-c3a71f7e1791.jpg</t>
        </is>
      </c>
      <c r="B5857">
        <f>HYPERLINK("Объекты недвижимости, не соответствующие градостроительным нормам_00-022_Август/ba2deab9-60d8-4835-85e0-c3a71f7e1791.jpg","open")</f>
        <v/>
      </c>
      <c r="C5857" t="inlineStr">
        <is>
          <t>1c951e11-4940-43c6-a447-394097e5609a</t>
        </is>
      </c>
      <c r="D5857" t="n">
        <v>55.86788</v>
      </c>
      <c r="E5857" t="n">
        <v>37.52599</v>
      </c>
      <c r="F5857" t="inlineStr"/>
      <c r="G5857" t="inlineStr"/>
      <c r="H5857" t="inlineStr"/>
    </row>
    <row r="5858">
      <c r="A5858" t="inlineStr">
        <is>
          <t>854670ab-ba9f-4c7c-b6b9-9268de93396f.jpg</t>
        </is>
      </c>
      <c r="B5858">
        <f>HYPERLINK("Объекты недвижимости, не соответствующие градостроительным нормам_00-022_Август/854670ab-ba9f-4c7c-b6b9-9268de93396f.jpg","open")</f>
        <v/>
      </c>
      <c r="C5858" t="inlineStr">
        <is>
          <t>1c951e11-4940-43c6-a447-394097e5609a</t>
        </is>
      </c>
      <c r="D5858" t="n">
        <v>55.86789</v>
      </c>
      <c r="E5858" t="n">
        <v>37.5259</v>
      </c>
      <c r="F5858" t="inlineStr"/>
      <c r="G5858" t="inlineStr"/>
      <c r="H5858" t="inlineStr"/>
    </row>
    <row r="5859">
      <c r="A5859" t="inlineStr">
        <is>
          <t>d3ea825f-1c9f-46be-93eb-0881d97ca4ed.jpg</t>
        </is>
      </c>
      <c r="B5859">
        <f>HYPERLINK("Объекты недвижимости, не соответствующие градостроительным нормам_00-022_Август/d3ea825f-1c9f-46be-93eb-0881d97ca4ed.jpg","open")</f>
        <v/>
      </c>
      <c r="C5859" t="inlineStr">
        <is>
          <t>1c951e11-4940-43c6-a447-394097e5609a</t>
        </is>
      </c>
      <c r="D5859" t="n">
        <v>55.86785</v>
      </c>
      <c r="E5859" t="n">
        <v>37.52576</v>
      </c>
      <c r="F5859" t="inlineStr"/>
      <c r="G5859" t="inlineStr"/>
      <c r="H5859" t="inlineStr"/>
    </row>
    <row r="5860">
      <c r="A5860" t="inlineStr">
        <is>
          <t>f6446b83-9be3-4575-b405-0b249bb9d587.jpg</t>
        </is>
      </c>
      <c r="B5860">
        <f>HYPERLINK("Объекты недвижимости, не соответствующие градостроительным нормам_00-022_Август/f6446b83-9be3-4575-b405-0b249bb9d587.jpg","open")</f>
        <v/>
      </c>
      <c r="C5860" t="inlineStr">
        <is>
          <t>d2c4eccd-3e4b-406c-a903-0f5e43d0be35</t>
        </is>
      </c>
      <c r="D5860" t="n">
        <v>45.052</v>
      </c>
      <c r="E5860" t="n">
        <v>33.98193</v>
      </c>
      <c r="F5860" t="inlineStr"/>
      <c r="G5860" t="inlineStr"/>
      <c r="H5860" t="inlineStr"/>
    </row>
    <row r="5861">
      <c r="A5861" t="inlineStr">
        <is>
          <t>a31f8e6d-4193-4d5c-ba83-b0d6908dbd42.jpg</t>
        </is>
      </c>
      <c r="B5861">
        <f>HYPERLINK("Объекты недвижимости, не соответствующие градостроительным нормам_00-022_Август/a31f8e6d-4193-4d5c-ba83-b0d6908dbd42.jpg","open")</f>
        <v/>
      </c>
      <c r="C5861" t="inlineStr">
        <is>
          <t>8cde1fd0-eca1-4510-86ab-3c743b65fdfc</t>
        </is>
      </c>
      <c r="D5861" t="n">
        <v>55.86723</v>
      </c>
      <c r="E5861" t="n">
        <v>37.52491</v>
      </c>
      <c r="F5861" t="inlineStr"/>
      <c r="G5861" t="inlineStr"/>
      <c r="H5861" t="inlineStr"/>
    </row>
    <row r="5862">
      <c r="A5862" t="inlineStr">
        <is>
          <t>49ea29c5-76e5-4c8d-befb-76bc0db957d4.jpg</t>
        </is>
      </c>
      <c r="B5862">
        <f>HYPERLINK("Объекты недвижимости, не соответствующие градостроительным нормам_00-022_Август/49ea29c5-76e5-4c8d-befb-76bc0db957d4.jpg","open")</f>
        <v/>
      </c>
      <c r="C5862" t="inlineStr">
        <is>
          <t>1c951e11-4940-43c6-a447-394097e5609a</t>
        </is>
      </c>
      <c r="D5862" t="n">
        <v>55.86681</v>
      </c>
      <c r="E5862" t="n">
        <v>37.5242</v>
      </c>
      <c r="F5862" t="inlineStr"/>
      <c r="G5862" t="inlineStr"/>
      <c r="H5862" t="inlineStr"/>
    </row>
    <row r="5863">
      <c r="A5863" t="inlineStr">
        <is>
          <t>3c788797-b691-400f-bede-65ebd95d0fbc.jpg</t>
        </is>
      </c>
      <c r="B5863">
        <f>HYPERLINK("Объекты недвижимости, не соответствующие градостроительным нормам_00-022_Август/3c788797-b691-400f-bede-65ebd95d0fbc.jpg","open")</f>
        <v/>
      </c>
      <c r="C5863" t="inlineStr">
        <is>
          <t>8cde1fd0-eca1-4510-86ab-3c743b65fdfc</t>
        </is>
      </c>
      <c r="D5863" t="n">
        <v>55.86679</v>
      </c>
      <c r="E5863" t="n">
        <v>37.52424</v>
      </c>
      <c r="F5863" t="inlineStr"/>
      <c r="G5863" t="inlineStr"/>
      <c r="H5863" t="inlineStr"/>
    </row>
    <row r="5864">
      <c r="A5864" t="inlineStr">
        <is>
          <t>36a88461-aa32-4788-b143-65c5bf2f3c1c.jpg</t>
        </is>
      </c>
      <c r="B5864">
        <f>HYPERLINK("Объекты недвижимости, не соответствующие градостроительным нормам_00-022_Август/36a88461-aa32-4788-b143-65c5bf2f3c1c.jpg","open")</f>
        <v/>
      </c>
      <c r="C5864" t="inlineStr">
        <is>
          <t>685d9054-b74f-49ab-857b-109fd2cec80d</t>
        </is>
      </c>
      <c r="D5864" t="n">
        <v>55.56005</v>
      </c>
      <c r="E5864" t="n">
        <v>37.57753</v>
      </c>
      <c r="F5864" t="inlineStr"/>
      <c r="G5864" t="inlineStr"/>
      <c r="H5864" t="inlineStr"/>
    </row>
    <row r="5865">
      <c r="A5865" t="inlineStr">
        <is>
          <t>8a93bea0-fe97-45d9-8ad8-bdf1b63fe046.jpg</t>
        </is>
      </c>
      <c r="B5865">
        <f>HYPERLINK("Объекты недвижимости, не соответствующие градостроительным нормам_00-022_Август/8a93bea0-fe97-45d9-8ad8-bdf1b63fe046.jpg","open")</f>
        <v/>
      </c>
      <c r="C5865" t="inlineStr">
        <is>
          <t>1231bbc5-e64c-4dc7-9acc-77710f47607a</t>
        </is>
      </c>
      <c r="D5865" t="n">
        <v>55.5601</v>
      </c>
      <c r="E5865" t="n">
        <v>37.5776</v>
      </c>
      <c r="F5865" t="inlineStr"/>
      <c r="G5865" t="inlineStr"/>
      <c r="H5865" t="inlineStr"/>
    </row>
    <row r="5866">
      <c r="A5866" t="inlineStr">
        <is>
          <t>26c99efb-fc63-4770-b309-12f20ca28e1f.jpg</t>
        </is>
      </c>
      <c r="B5866">
        <f>HYPERLINK("Объекты недвижимости, не соответствующие градостроительным нормам_00-022_Август/26c99efb-fc63-4770-b309-12f20ca28e1f.jpg","open")</f>
        <v/>
      </c>
      <c r="C5866" t="inlineStr">
        <is>
          <t>18a5c468-d9e6-4814-8477-1caf4a2e1fe9</t>
        </is>
      </c>
      <c r="D5866" t="n">
        <v>45.052</v>
      </c>
      <c r="E5866" t="n">
        <v>33.98193</v>
      </c>
      <c r="F5866" t="inlineStr"/>
      <c r="G5866" t="inlineStr"/>
      <c r="H5866" t="inlineStr"/>
    </row>
    <row r="5867">
      <c r="A5867" t="inlineStr">
        <is>
          <t>d687a0e8-028e-4c3f-bcb7-bdb6aa6af7f5.jpg</t>
        </is>
      </c>
      <c r="B5867">
        <f>HYPERLINK("Объекты недвижимости, не соответствующие градостроительным нормам_00-022_Август/d687a0e8-028e-4c3f-bcb7-bdb6aa6af7f5.jpg","open")</f>
        <v/>
      </c>
      <c r="C5867" t="inlineStr">
        <is>
          <t>ad64e6b9-1ed5-44d7-a101-4945a1f9dec6</t>
        </is>
      </c>
      <c r="D5867" t="n">
        <v>55.66488</v>
      </c>
      <c r="E5867" t="n">
        <v>37.51585</v>
      </c>
      <c r="F5867" t="inlineStr"/>
      <c r="G5867" t="inlineStr"/>
      <c r="H5867" t="inlineStr"/>
    </row>
    <row r="5868">
      <c r="A5868" t="inlineStr">
        <is>
          <t>fd6c98f5-d23e-43b6-ac02-3208cc670b89.jpg</t>
        </is>
      </c>
      <c r="B5868">
        <f>HYPERLINK("Объекты недвижимости, не соответствующие градостроительным нормам_00-022_Август/fd6c98f5-d23e-43b6-ac02-3208cc670b89.jpg","open")</f>
        <v/>
      </c>
      <c r="C5868" t="inlineStr">
        <is>
          <t>18a5c468-d9e6-4814-8477-1caf4a2e1fe9</t>
        </is>
      </c>
      <c r="D5868" t="n">
        <v>45.052</v>
      </c>
      <c r="E5868" t="n">
        <v>33.98193</v>
      </c>
      <c r="F5868" t="inlineStr"/>
      <c r="G5868" t="inlineStr"/>
      <c r="H5868" t="inlineStr"/>
    </row>
    <row r="5869">
      <c r="A5869" t="inlineStr">
        <is>
          <t>d627326b-28ec-4efd-bdba-784357e7b98b.jpg</t>
        </is>
      </c>
      <c r="B5869">
        <f>HYPERLINK("Объекты недвижимости, не соответствующие градостроительным нормам_00-022_Август/d627326b-28ec-4efd-bdba-784357e7b98b.jpg","open")</f>
        <v/>
      </c>
      <c r="C5869" t="inlineStr">
        <is>
          <t>e90a3ac0-5b70-4ede-abeb-382371713306</t>
        </is>
      </c>
      <c r="D5869" t="n">
        <v>45.05277</v>
      </c>
      <c r="E5869" t="n">
        <v>33.98236</v>
      </c>
      <c r="F5869" t="inlineStr"/>
      <c r="G5869" t="inlineStr"/>
      <c r="H5869" t="inlineStr"/>
    </row>
    <row r="5870">
      <c r="A5870" t="inlineStr">
        <is>
          <t>3b38acb2-8854-4f62-af30-a2b97ce00c54.jpg</t>
        </is>
      </c>
      <c r="B5870">
        <f>HYPERLINK("Объекты недвижимости, не соответствующие градостроительным нормам_00-022_Август/3b38acb2-8854-4f62-af30-a2b97ce00c54.jpg","open")</f>
        <v/>
      </c>
      <c r="C5870" t="inlineStr">
        <is>
          <t>18a5c468-d9e6-4814-8477-1caf4a2e1fe9</t>
        </is>
      </c>
      <c r="D5870" t="n">
        <v>45.052</v>
      </c>
      <c r="E5870" t="n">
        <v>33.98193</v>
      </c>
      <c r="F5870" t="inlineStr"/>
      <c r="G5870" t="inlineStr"/>
      <c r="H5870" t="inlineStr"/>
    </row>
    <row r="5871">
      <c r="A5871" t="inlineStr">
        <is>
          <t>91b6a244-28f7-4da8-bc64-914aa405f486.jpg</t>
        </is>
      </c>
      <c r="B5871">
        <f>HYPERLINK("Объекты недвижимости, не соответствующие градостроительным нормам_00-022_Август/91b6a244-28f7-4da8-bc64-914aa405f486.jpg","open")</f>
        <v/>
      </c>
      <c r="C5871" t="inlineStr">
        <is>
          <t>18a5c468-d9e6-4814-8477-1caf4a2e1fe9</t>
        </is>
      </c>
      <c r="D5871" t="n">
        <v>45.052</v>
      </c>
      <c r="E5871" t="n">
        <v>33.98193</v>
      </c>
      <c r="F5871" t="inlineStr"/>
      <c r="G5871" t="inlineStr"/>
      <c r="H5871" t="inlineStr"/>
    </row>
    <row r="5872">
      <c r="A5872" t="inlineStr">
        <is>
          <t>f7edf7de-82e3-47ed-8e81-50dcb2a5722b.jpg</t>
        </is>
      </c>
      <c r="B5872">
        <f>HYPERLINK("Объекты недвижимости, не соответствующие градостроительным нормам_00-022_Август/f7edf7de-82e3-47ed-8e81-50dcb2a5722b.jpg","open")</f>
        <v/>
      </c>
      <c r="C5872" t="inlineStr">
        <is>
          <t>b0b7ea82-53be-40d0-b992-e2fd18611d5c</t>
        </is>
      </c>
      <c r="D5872" t="n">
        <v>55.70205</v>
      </c>
      <c r="E5872" t="n">
        <v>37.68787</v>
      </c>
      <c r="F5872" t="inlineStr"/>
      <c r="G5872" t="inlineStr"/>
      <c r="H5872" t="inlineStr"/>
    </row>
    <row r="5873">
      <c r="A5873" t="inlineStr">
        <is>
          <t>fda9119f-6085-4c0d-9181-c2f35a8d4aa3.jpg</t>
        </is>
      </c>
      <c r="B5873">
        <f>HYPERLINK("Объекты недвижимости, не соответствующие градостроительным нормам_00-022_Август/fda9119f-6085-4c0d-9181-c2f35a8d4aa3.jpg","open")</f>
        <v/>
      </c>
      <c r="C5873" t="inlineStr">
        <is>
          <t>b0429a31-0c70-4b9f-8ea5-73929d82f89e</t>
        </is>
      </c>
      <c r="D5873" t="n">
        <v>55.65496</v>
      </c>
      <c r="E5873" t="n">
        <v>37.61024</v>
      </c>
      <c r="F5873" t="inlineStr"/>
      <c r="G5873" t="inlineStr"/>
      <c r="H5873" t="inlineStr"/>
    </row>
    <row r="5874">
      <c r="A5874" t="inlineStr">
        <is>
          <t>e55af062-2998-45ce-9663-6432026c2c2d.jpg</t>
        </is>
      </c>
      <c r="B5874">
        <f>HYPERLINK("Объекты недвижимости, не соответствующие градостроительным нормам_00-022_Август/e55af062-2998-45ce-9663-6432026c2c2d.jpg","open")</f>
        <v/>
      </c>
      <c r="C5874" t="inlineStr">
        <is>
          <t>99f3abba-c55b-49f0-9de5-9f88e9597cc0</t>
        </is>
      </c>
      <c r="D5874" t="n">
        <v>55.65496</v>
      </c>
      <c r="E5874" t="n">
        <v>37.61024</v>
      </c>
      <c r="F5874" t="inlineStr"/>
      <c r="G5874" t="inlineStr"/>
      <c r="H5874" t="inlineStr"/>
    </row>
    <row r="5875">
      <c r="A5875" t="inlineStr">
        <is>
          <t>eceb2410-a7b0-413f-b708-4eab0d635ddd.jpg</t>
        </is>
      </c>
      <c r="B5875">
        <f>HYPERLINK("Объекты недвижимости, не соответствующие градостроительным нормам_00-022_Август/eceb2410-a7b0-413f-b708-4eab0d635ddd.jpg","open")</f>
        <v/>
      </c>
      <c r="C5875" t="inlineStr">
        <is>
          <t>685d9054-b74f-49ab-857b-109fd2cec80d</t>
        </is>
      </c>
      <c r="D5875" t="n">
        <v>55.55796</v>
      </c>
      <c r="E5875" t="n">
        <v>37.57903</v>
      </c>
      <c r="F5875" t="inlineStr"/>
      <c r="G5875" t="inlineStr"/>
      <c r="H5875" t="inlineStr"/>
    </row>
    <row r="5876">
      <c r="A5876" t="inlineStr">
        <is>
          <t>2cad544f-c227-4987-849a-b1d2451a39cc.jpg</t>
        </is>
      </c>
      <c r="B5876">
        <f>HYPERLINK("Объекты недвижимости, не соответствующие градостроительным нормам_00-022_Август/2cad544f-c227-4987-849a-b1d2451a39cc.jpg","open")</f>
        <v/>
      </c>
      <c r="C5876" t="inlineStr">
        <is>
          <t>f20fbc2b-b369-4734-bb66-92af02fbb0d1</t>
        </is>
      </c>
      <c r="D5876" t="n">
        <v>55.70127</v>
      </c>
      <c r="E5876" t="n">
        <v>37.68622</v>
      </c>
      <c r="F5876" t="inlineStr"/>
      <c r="G5876" t="inlineStr"/>
      <c r="H5876" t="inlineStr"/>
    </row>
    <row r="5877">
      <c r="A5877" t="inlineStr">
        <is>
          <t>ae962be9-d126-4735-910e-dfaed20761a2.jpg</t>
        </is>
      </c>
      <c r="B5877">
        <f>HYPERLINK("Объекты недвижимости, не соответствующие градостроительным нормам_00-022_Август/ae962be9-d126-4735-910e-dfaed20761a2.jpg","open")</f>
        <v/>
      </c>
      <c r="C5877" t="inlineStr">
        <is>
          <t>b0429a31-0c70-4b9f-8ea5-73929d82f89e</t>
        </is>
      </c>
      <c r="D5877" t="n">
        <v>55.65496</v>
      </c>
      <c r="E5877" t="n">
        <v>37.61024</v>
      </c>
      <c r="F5877" t="inlineStr"/>
      <c r="G5877" t="inlineStr"/>
      <c r="H5877" t="inlineStr"/>
    </row>
    <row r="5878">
      <c r="A5878" t="inlineStr">
        <is>
          <t>b76a3b5f-cf22-4d6a-8b3d-58cf92063c83.jpg</t>
        </is>
      </c>
      <c r="B5878">
        <f>HYPERLINK("Объекты недвижимости, не соответствующие градостроительным нормам_00-022_Август/b76a3b5f-cf22-4d6a-8b3d-58cf92063c83.jpg","open")</f>
        <v/>
      </c>
      <c r="C5878" t="inlineStr">
        <is>
          <t>685d9054-b74f-49ab-857b-109fd2cec80d</t>
        </is>
      </c>
      <c r="D5878" t="n">
        <v>55.56133</v>
      </c>
      <c r="E5878" t="n">
        <v>37.59309</v>
      </c>
      <c r="F5878" t="inlineStr"/>
      <c r="G5878" t="inlineStr"/>
      <c r="H5878" t="inlineStr"/>
    </row>
    <row r="5879">
      <c r="A5879" t="inlineStr">
        <is>
          <t>12d28c11-1bbf-4c7c-bd91-7f09b983166a.jpg</t>
        </is>
      </c>
      <c r="B5879">
        <f>HYPERLINK("Объекты недвижимости, не соответствующие градостроительным нормам_00-022_Август/12d28c11-1bbf-4c7c-bd91-7f09b983166a.jpg","open")</f>
        <v/>
      </c>
      <c r="C5879" t="inlineStr">
        <is>
          <t>cb4060b2-34d3-44a4-9f60-115fb1e9278e</t>
        </is>
      </c>
      <c r="D5879" t="n">
        <v>55.76994</v>
      </c>
      <c r="E5879" t="n">
        <v>37.66786</v>
      </c>
      <c r="F5879" t="inlineStr"/>
      <c r="G5879" t="inlineStr"/>
      <c r="H5879" t="inlineStr"/>
    </row>
    <row r="5880">
      <c r="A5880" t="inlineStr">
        <is>
          <t>c9cc2e47-5c03-4e54-a21e-7b7577d3c6d6.jpg</t>
        </is>
      </c>
      <c r="B5880">
        <f>HYPERLINK("Объекты недвижимости, не соответствующие градостроительным нормам_00-022_Август/c9cc2e47-5c03-4e54-a21e-7b7577d3c6d6.jpg","open")</f>
        <v/>
      </c>
      <c r="C5880" t="inlineStr">
        <is>
          <t>685d9054-b74f-49ab-857b-109fd2cec80d</t>
        </is>
      </c>
      <c r="D5880" t="n">
        <v>55.57506</v>
      </c>
      <c r="E5880" t="n">
        <v>37.59706</v>
      </c>
      <c r="F5880" t="inlineStr"/>
      <c r="G5880" t="inlineStr"/>
      <c r="H5880" t="inlineStr"/>
    </row>
    <row r="5881">
      <c r="A5881" t="inlineStr">
        <is>
          <t>68879772-0d2e-44de-b5e9-2aff4b8f290a.jpg</t>
        </is>
      </c>
      <c r="B5881">
        <f>HYPERLINK("Объекты недвижимости, не соответствующие градостроительным нормам_00-022_Август/68879772-0d2e-44de-b5e9-2aff4b8f290a.jpg","open")</f>
        <v/>
      </c>
      <c r="C5881" t="inlineStr">
        <is>
          <t>18a5c468-d9e6-4814-8477-1caf4a2e1fe9</t>
        </is>
      </c>
      <c r="D5881" t="n">
        <v>45.052</v>
      </c>
      <c r="E5881" t="n">
        <v>33.98193</v>
      </c>
      <c r="F5881" t="inlineStr"/>
      <c r="G5881" t="inlineStr"/>
      <c r="H5881" t="inlineStr"/>
    </row>
    <row r="5882">
      <c r="A5882" t="inlineStr">
        <is>
          <t>fa3a2247-b493-4048-a9b2-344e704a7640.jpg</t>
        </is>
      </c>
      <c r="B5882">
        <f>HYPERLINK("Объекты недвижимости, не соответствующие градостроительным нормам_00-022_Август/fa3a2247-b493-4048-a9b2-344e704a7640.jpg","open")</f>
        <v/>
      </c>
      <c r="C5882" t="inlineStr">
        <is>
          <t>18a5c468-d9e6-4814-8477-1caf4a2e1fe9</t>
        </is>
      </c>
      <c r="D5882" t="n">
        <v>45.052</v>
      </c>
      <c r="E5882" t="n">
        <v>33.98193</v>
      </c>
      <c r="F5882" t="inlineStr"/>
      <c r="G5882" t="inlineStr"/>
      <c r="H5882" t="inlineStr"/>
    </row>
    <row r="5883">
      <c r="A5883" t="inlineStr">
        <is>
          <t>f1a30549-280d-440c-9e4a-d47e39c93a38.jpg</t>
        </is>
      </c>
      <c r="B5883">
        <f>HYPERLINK("Объекты недвижимости, не соответствующие градостроительным нормам_00-022_Август/f1a30549-280d-440c-9e4a-d47e39c93a38.jpg","open")</f>
        <v/>
      </c>
      <c r="C5883" t="inlineStr">
        <is>
          <t>18a5c468-d9e6-4814-8477-1caf4a2e1fe9</t>
        </is>
      </c>
      <c r="D5883" t="n">
        <v>45.052</v>
      </c>
      <c r="E5883" t="n">
        <v>33.98193</v>
      </c>
      <c r="F5883" t="inlineStr"/>
      <c r="G5883" t="inlineStr"/>
      <c r="H5883" t="inlineStr"/>
    </row>
    <row r="5884">
      <c r="A5884" t="inlineStr">
        <is>
          <t>07ca0809-50a9-4295-991b-e5995d19e63e.jpg</t>
        </is>
      </c>
      <c r="B5884">
        <f>HYPERLINK("Объекты недвижимости, не соответствующие градостроительным нормам_00-022_Август/07ca0809-50a9-4295-991b-e5995d19e63e.jpg","open")</f>
        <v/>
      </c>
      <c r="C5884" t="inlineStr">
        <is>
          <t>18a5c468-d9e6-4814-8477-1caf4a2e1fe9</t>
        </is>
      </c>
      <c r="D5884" t="n">
        <v>45.052</v>
      </c>
      <c r="E5884" t="n">
        <v>33.98193</v>
      </c>
      <c r="F5884" t="inlineStr"/>
      <c r="G5884" t="inlineStr"/>
      <c r="H5884" t="inlineStr"/>
    </row>
    <row r="5885">
      <c r="A5885" t="inlineStr">
        <is>
          <t>369e3431-1b84-405e-89f1-95ed39f75406.jpg</t>
        </is>
      </c>
      <c r="B5885">
        <f>HYPERLINK("Объекты недвижимости, не соответствующие градостроительным нормам_00-022_Август/369e3431-1b84-405e-89f1-95ed39f75406.jpg","open")</f>
        <v/>
      </c>
      <c r="C5885" t="inlineStr">
        <is>
          <t>f20fbc2b-b369-4734-bb66-92af02fbb0d1</t>
        </is>
      </c>
      <c r="D5885" t="n">
        <v>55.70303</v>
      </c>
      <c r="E5885" t="n">
        <v>37.68475</v>
      </c>
      <c r="F5885" t="inlineStr"/>
      <c r="G5885" t="inlineStr"/>
      <c r="H5885" t="inlineStr"/>
    </row>
    <row r="5886">
      <c r="A5886" t="inlineStr">
        <is>
          <t>73cf26ca-50b5-4ce1-ae5c-de37c08d56fa.jpg</t>
        </is>
      </c>
      <c r="B5886">
        <f>HYPERLINK("Объекты недвижимости, не соответствующие градостроительным нормам_00-022_Август/73cf26ca-50b5-4ce1-ae5c-de37c08d56fa.jpg","open")</f>
        <v/>
      </c>
      <c r="C5886" t="inlineStr">
        <is>
          <t>18a5c468-d9e6-4814-8477-1caf4a2e1fe9</t>
        </is>
      </c>
      <c r="D5886" t="n">
        <v>45.052</v>
      </c>
      <c r="E5886" t="n">
        <v>33.98193</v>
      </c>
      <c r="F5886" t="inlineStr"/>
      <c r="G5886" t="inlineStr"/>
      <c r="H5886" t="inlineStr"/>
    </row>
    <row r="5887">
      <c r="A5887" t="inlineStr">
        <is>
          <t>9999bdc1-d4dc-4394-bdc9-84a3c61ca842.jpg</t>
        </is>
      </c>
      <c r="B5887">
        <f>HYPERLINK("Объекты недвижимости, не соответствующие градостроительным нормам_00-022_Август/9999bdc1-d4dc-4394-bdc9-84a3c61ca842.jpg","open")</f>
        <v/>
      </c>
      <c r="C5887" t="inlineStr">
        <is>
          <t>18a5c468-d9e6-4814-8477-1caf4a2e1fe9</t>
        </is>
      </c>
      <c r="D5887" t="n">
        <v>45.052</v>
      </c>
      <c r="E5887" t="n">
        <v>33.98193</v>
      </c>
      <c r="F5887" t="inlineStr"/>
      <c r="G5887" t="inlineStr"/>
      <c r="H5887" t="inlineStr"/>
    </row>
    <row r="5888">
      <c r="A5888" t="inlineStr">
        <is>
          <t>903aa6a7-e9f8-43e6-afd4-399e934d538a.jpg</t>
        </is>
      </c>
      <c r="B5888">
        <f>HYPERLINK("Объекты недвижимости, не соответствующие градостроительным нормам_00-022_Август/903aa6a7-e9f8-43e6-afd4-399e934d538a.jpg","open")</f>
        <v/>
      </c>
      <c r="C5888" t="inlineStr">
        <is>
          <t>685d9054-b74f-49ab-857b-109fd2cec80d</t>
        </is>
      </c>
      <c r="D5888" t="n">
        <v>55.57633</v>
      </c>
      <c r="E5888" t="n">
        <v>37.6073</v>
      </c>
      <c r="F5888" t="inlineStr"/>
      <c r="G5888" t="inlineStr"/>
      <c r="H5888" t="inlineStr"/>
    </row>
    <row r="5889">
      <c r="A5889" t="inlineStr">
        <is>
          <t>cad14092-d51e-46cc-b1fe-4faa1d83b15c.jpg</t>
        </is>
      </c>
      <c r="B5889">
        <f>HYPERLINK("Объекты недвижимости, не соответствующие градостроительным нормам_00-022_Август/cad14092-d51e-46cc-b1fe-4faa1d83b15c.jpg","open")</f>
        <v/>
      </c>
      <c r="C5889" t="inlineStr">
        <is>
          <t>8cde1fd0-eca1-4510-86ab-3c743b65fdfc</t>
        </is>
      </c>
      <c r="D5889" t="n">
        <v>55.875</v>
      </c>
      <c r="E5889" t="n">
        <v>37.52741</v>
      </c>
      <c r="F5889" t="inlineStr"/>
      <c r="G5889" t="inlineStr"/>
      <c r="H5889" t="inlineStr"/>
    </row>
    <row r="5890">
      <c r="A5890" t="inlineStr">
        <is>
          <t>886b109f-0028-4e33-aa3c-23ff7e6fc5fa.jpg</t>
        </is>
      </c>
      <c r="B5890">
        <f>HYPERLINK("Объекты недвижимости, не соответствующие градостроительным нормам_00-022_Август/886b109f-0028-4e33-aa3c-23ff7e6fc5fa.jpg","open")</f>
        <v/>
      </c>
      <c r="C5890" t="inlineStr">
        <is>
          <t>8cde1fd0-eca1-4510-86ab-3c743b65fdfc</t>
        </is>
      </c>
      <c r="D5890" t="n">
        <v>55.87499</v>
      </c>
      <c r="E5890" t="n">
        <v>37.5272</v>
      </c>
      <c r="F5890" t="inlineStr"/>
      <c r="G5890" t="inlineStr"/>
      <c r="H5890" t="inlineStr"/>
    </row>
    <row r="5891">
      <c r="A5891" t="inlineStr">
        <is>
          <t>0f7fa3c3-d04b-4f22-849e-0c15ff92e126.jpg</t>
        </is>
      </c>
      <c r="B5891">
        <f>HYPERLINK("Объекты недвижимости, не соответствующие градостроительным нормам_00-022_Август/0f7fa3c3-d04b-4f22-849e-0c15ff92e126.jpg","open")</f>
        <v/>
      </c>
      <c r="C5891" t="inlineStr">
        <is>
          <t>acedacc2-0d8b-4fc1-9622-25621a89d071</t>
        </is>
      </c>
      <c r="D5891" t="n">
        <v>55.82148</v>
      </c>
      <c r="E5891" t="n">
        <v>37.81425</v>
      </c>
      <c r="F5891" t="inlineStr"/>
      <c r="G5891" t="inlineStr"/>
      <c r="H5891" t="inlineStr"/>
    </row>
    <row r="5892">
      <c r="A5892" t="inlineStr">
        <is>
          <t>f7066899-290c-4453-b0ef-90ae8bfcfd07.jpg</t>
        </is>
      </c>
      <c r="B5892">
        <f>HYPERLINK("Объекты недвижимости, не соответствующие градостроительным нормам_00-022_Август/f7066899-290c-4453-b0ef-90ae8bfcfd07.jpg","open")</f>
        <v/>
      </c>
      <c r="C5892" t="inlineStr">
        <is>
          <t>acedacc2-0d8b-4fc1-9622-25621a89d071</t>
        </is>
      </c>
      <c r="D5892" t="n">
        <v>55.82148</v>
      </c>
      <c r="E5892" t="n">
        <v>37.81425</v>
      </c>
      <c r="F5892" t="inlineStr"/>
      <c r="G5892" t="inlineStr"/>
      <c r="H5892" t="inlineStr"/>
    </row>
    <row r="5893">
      <c r="A5893" t="inlineStr">
        <is>
          <t>0d78e31a-be92-4cac-bfee-8d404f6a241a.jpg</t>
        </is>
      </c>
      <c r="B5893">
        <f>HYPERLINK("Объекты недвижимости, не соответствующие градостроительным нормам_00-022_Август/0d78e31a-be92-4cac-bfee-8d404f6a241a.jpg","open")</f>
        <v/>
      </c>
      <c r="C5893" t="inlineStr">
        <is>
          <t>18a5c468-d9e6-4814-8477-1caf4a2e1fe9</t>
        </is>
      </c>
      <c r="D5893" t="n">
        <v>45.052</v>
      </c>
      <c r="E5893" t="n">
        <v>33.98193</v>
      </c>
      <c r="F5893" t="inlineStr"/>
      <c r="G5893" t="inlineStr"/>
      <c r="H5893" t="inlineStr"/>
    </row>
    <row r="5894">
      <c r="A5894" t="inlineStr">
        <is>
          <t>074de9f1-096a-4b09-b3d1-77168ab1bbfe.jpg</t>
        </is>
      </c>
      <c r="B5894">
        <f>HYPERLINK("Объекты недвижимости, не соответствующие градостроительным нормам_00-022_Август/074de9f1-096a-4b09-b3d1-77168ab1bbfe.jpg","open")</f>
        <v/>
      </c>
      <c r="C5894" t="inlineStr">
        <is>
          <t>685d9054-b74f-49ab-857b-109fd2cec80d</t>
        </is>
      </c>
      <c r="D5894" t="n">
        <v>55.56239</v>
      </c>
      <c r="E5894" t="n">
        <v>37.57864</v>
      </c>
      <c r="F5894" t="inlineStr"/>
      <c r="G5894" t="inlineStr"/>
      <c r="H5894" t="inlineStr"/>
    </row>
    <row r="5895">
      <c r="A5895" t="inlineStr">
        <is>
          <t>253e71af-e5ee-4829-b888-afaa84c5d490.jpg</t>
        </is>
      </c>
      <c r="B5895">
        <f>HYPERLINK("Объекты недвижимости, не соответствующие градостроительным нормам_00-022_Август/253e71af-e5ee-4829-b888-afaa84c5d490.jpg","open")</f>
        <v/>
      </c>
      <c r="C5895" t="inlineStr">
        <is>
          <t>caa4772d-6278-4484-a046-ee25514bf521</t>
        </is>
      </c>
      <c r="D5895" t="n">
        <v>55.71666</v>
      </c>
      <c r="E5895" t="n">
        <v>37.75428</v>
      </c>
      <c r="F5895" t="inlineStr"/>
      <c r="G5895" t="inlineStr"/>
      <c r="H5895" t="inlineStr"/>
    </row>
    <row r="5896">
      <c r="A5896" t="inlineStr">
        <is>
          <t>859c1dc2-b7ca-4a6f-8c2f-b97e26114825.jpg</t>
        </is>
      </c>
      <c r="B5896">
        <f>HYPERLINK("Объекты недвижимости, не соответствующие градостроительным нормам_00-022_Август/859c1dc2-b7ca-4a6f-8c2f-b97e26114825.jpg","open")</f>
        <v/>
      </c>
      <c r="C5896" t="inlineStr">
        <is>
          <t>18a5c468-d9e6-4814-8477-1caf4a2e1fe9</t>
        </is>
      </c>
      <c r="D5896" t="n">
        <v>45.052</v>
      </c>
      <c r="E5896" t="n">
        <v>33.98193</v>
      </c>
      <c r="F5896" t="inlineStr"/>
      <c r="G5896" t="inlineStr"/>
      <c r="H5896" t="inlineStr"/>
    </row>
    <row r="5897">
      <c r="A5897" t="inlineStr">
        <is>
          <t>0e1e4944-e3bc-436a-a6f1-83205a55d6e0.jpg</t>
        </is>
      </c>
      <c r="B5897">
        <f>HYPERLINK("Объекты недвижимости, не соответствующие градостроительным нормам_00-022_Август/0e1e4944-e3bc-436a-a6f1-83205a55d6e0.jpg","open")</f>
        <v/>
      </c>
      <c r="C5897" t="inlineStr">
        <is>
          <t>acedacc2-0d8b-4fc1-9622-25621a89d071</t>
        </is>
      </c>
      <c r="D5897" t="n">
        <v>55.8226</v>
      </c>
      <c r="E5897" t="n">
        <v>37.81889</v>
      </c>
      <c r="F5897" t="inlineStr"/>
      <c r="G5897" t="inlineStr"/>
      <c r="H5897" t="inlineStr"/>
    </row>
    <row r="5898">
      <c r="A5898" t="inlineStr">
        <is>
          <t>b4b2c8b6-ee23-402f-8781-84ca9ddbc440.jpg</t>
        </is>
      </c>
      <c r="B5898">
        <f>HYPERLINK("Объекты недвижимости, не соответствующие градостроительным нормам_00-022_Август/b4b2c8b6-ee23-402f-8781-84ca9ddbc440.jpg","open")</f>
        <v/>
      </c>
      <c r="C5898" t="inlineStr">
        <is>
          <t>18a5c468-d9e6-4814-8477-1caf4a2e1fe9</t>
        </is>
      </c>
      <c r="D5898" t="n">
        <v>45.052</v>
      </c>
      <c r="E5898" t="n">
        <v>33.98193</v>
      </c>
      <c r="F5898" t="inlineStr"/>
      <c r="G5898" t="inlineStr"/>
      <c r="H5898" t="inlineStr"/>
    </row>
    <row r="5899">
      <c r="A5899" t="inlineStr">
        <is>
          <t>5618bfd2-7ee8-4cb8-89f7-934ccfd53be9.jpg</t>
        </is>
      </c>
      <c r="B5899">
        <f>HYPERLINK("Объекты недвижимости, не соответствующие градостроительным нормам_00-022_Август/5618bfd2-7ee8-4cb8-89f7-934ccfd53be9.jpg","open")</f>
        <v/>
      </c>
      <c r="C5899" t="inlineStr">
        <is>
          <t>18a5c468-d9e6-4814-8477-1caf4a2e1fe9</t>
        </is>
      </c>
      <c r="D5899" t="n">
        <v>45.052</v>
      </c>
      <c r="E5899" t="n">
        <v>33.98193</v>
      </c>
      <c r="F5899" t="inlineStr"/>
      <c r="G5899" t="inlineStr"/>
      <c r="H5899" t="inlineStr"/>
    </row>
    <row r="5900">
      <c r="A5900" t="inlineStr">
        <is>
          <t>148890fb-92f3-45d5-9a7b-766faae2a034.jpg</t>
        </is>
      </c>
      <c r="B5900">
        <f>HYPERLINK("Объекты недвижимости, не соответствующие градостроительным нормам_00-022_Август/148890fb-92f3-45d5-9a7b-766faae2a034.jpg","open")</f>
        <v/>
      </c>
      <c r="C5900" t="inlineStr">
        <is>
          <t>d2c4eccd-3e4b-406c-a903-0f5e43d0be35</t>
        </is>
      </c>
      <c r="D5900" t="n">
        <v>45.052</v>
      </c>
      <c r="E5900" t="n">
        <v>33.98193</v>
      </c>
      <c r="F5900" t="inlineStr"/>
      <c r="G5900" t="inlineStr"/>
      <c r="H5900" t="inlineStr"/>
    </row>
    <row r="5901">
      <c r="A5901" t="inlineStr">
        <is>
          <t>e6abd4f8-8815-46e8-97d0-a9418c1ced3d.jpg</t>
        </is>
      </c>
      <c r="B5901">
        <f>HYPERLINK("Объекты недвижимости, не соответствующие градостроительным нормам_00-022_Август/e6abd4f8-8815-46e8-97d0-a9418c1ced3d.jpg","open")</f>
        <v/>
      </c>
      <c r="C5901" t="inlineStr">
        <is>
          <t>8cde1fd0-eca1-4510-86ab-3c743b65fdfc</t>
        </is>
      </c>
      <c r="D5901" t="n">
        <v>55.87774</v>
      </c>
      <c r="E5901" t="n">
        <v>37.52103</v>
      </c>
      <c r="F5901" t="inlineStr"/>
      <c r="G5901" t="inlineStr"/>
      <c r="H5901" t="inlineStr"/>
    </row>
    <row r="5902">
      <c r="A5902" t="inlineStr">
        <is>
          <t>d94d70b0-a66f-4993-9383-5bb9abcfa0a6.jpg</t>
        </is>
      </c>
      <c r="B5902">
        <f>HYPERLINK("Объекты недвижимости, не соответствующие градостроительным нормам_00-022_Август/d94d70b0-a66f-4993-9383-5bb9abcfa0a6.jpg","open")</f>
        <v/>
      </c>
      <c r="C5902" t="inlineStr">
        <is>
          <t>1231bbc5-e64c-4dc7-9acc-77710f47607a</t>
        </is>
      </c>
      <c r="D5902" t="n">
        <v>55.56401</v>
      </c>
      <c r="E5902" t="n">
        <v>37.57847</v>
      </c>
      <c r="F5902" t="inlineStr"/>
      <c r="G5902" t="inlineStr"/>
      <c r="H5902" t="inlineStr"/>
    </row>
    <row r="5903">
      <c r="A5903" t="inlineStr">
        <is>
          <t>a14e7096-780b-45d8-8ec7-b79754ef8b31.jpg</t>
        </is>
      </c>
      <c r="B5903">
        <f>HYPERLINK("Объекты недвижимости, не соответствующие градостроительным нормам_00-022_Август/a14e7096-780b-45d8-8ec7-b79754ef8b31.jpg","open")</f>
        <v/>
      </c>
      <c r="C5903" t="inlineStr">
        <is>
          <t>18a5c468-d9e6-4814-8477-1caf4a2e1fe9</t>
        </is>
      </c>
      <c r="D5903" t="n">
        <v>45.052</v>
      </c>
      <c r="E5903" t="n">
        <v>33.98193</v>
      </c>
      <c r="F5903" t="inlineStr"/>
      <c r="G5903" t="inlineStr"/>
      <c r="H5903" t="inlineStr"/>
    </row>
    <row r="5904">
      <c r="A5904" t="inlineStr">
        <is>
          <t>a35bbc0d-35a6-4645-8524-76547507ff2a.jpg</t>
        </is>
      </c>
      <c r="B5904">
        <f>HYPERLINK("Объекты недвижимости, не соответствующие градостроительным нормам_00-022_Август/a35bbc0d-35a6-4645-8524-76547507ff2a.jpg","open")</f>
        <v/>
      </c>
      <c r="C5904" t="inlineStr">
        <is>
          <t>685d9054-b74f-49ab-857b-109fd2cec80d</t>
        </is>
      </c>
      <c r="D5904" t="n">
        <v>55.56404</v>
      </c>
      <c r="E5904" t="n">
        <v>37.57846</v>
      </c>
      <c r="F5904" t="inlineStr"/>
      <c r="G5904" t="inlineStr"/>
      <c r="H5904" t="inlineStr"/>
    </row>
    <row r="5905">
      <c r="A5905" t="inlineStr">
        <is>
          <t>8612ae71-2f10-43ba-ba69-1fafce4866cc.jpg</t>
        </is>
      </c>
      <c r="B5905">
        <f>HYPERLINK("Объекты недвижимости, не соответствующие градостроительным нормам_00-022_Август/8612ae71-2f10-43ba-ba69-1fafce4866cc.jpg","open")</f>
        <v/>
      </c>
      <c r="C5905" t="inlineStr">
        <is>
          <t>18a5c468-d9e6-4814-8477-1caf4a2e1fe9</t>
        </is>
      </c>
      <c r="D5905" t="n">
        <v>45.052</v>
      </c>
      <c r="E5905" t="n">
        <v>33.98193</v>
      </c>
      <c r="F5905" t="inlineStr"/>
      <c r="G5905" t="inlineStr"/>
      <c r="H5905" t="inlineStr"/>
    </row>
    <row r="5906">
      <c r="A5906" t="inlineStr">
        <is>
          <t>6f10210c-7fed-49cf-8901-172b7c664a4b.jpg</t>
        </is>
      </c>
      <c r="B5906">
        <f>HYPERLINK("Объекты недвижимости, не соответствующие градостроительным нормам_00-022_Август/6f10210c-7fed-49cf-8901-172b7c664a4b.jpg","open")</f>
        <v/>
      </c>
      <c r="C5906" t="inlineStr">
        <is>
          <t>18a5c468-d9e6-4814-8477-1caf4a2e1fe9</t>
        </is>
      </c>
      <c r="D5906" t="n">
        <v>45.052</v>
      </c>
      <c r="E5906" t="n">
        <v>33.98193</v>
      </c>
      <c r="F5906" t="inlineStr"/>
      <c r="G5906" t="inlineStr"/>
      <c r="H5906" t="inlineStr"/>
    </row>
    <row r="5907">
      <c r="A5907" t="inlineStr">
        <is>
          <t>71a55ff0-10d6-4ab7-aa18-268d199f73ec.jpg</t>
        </is>
      </c>
      <c r="B5907">
        <f>HYPERLINK("Объекты недвижимости, не соответствующие градостроительным нормам_00-022_Август/71a55ff0-10d6-4ab7-aa18-268d199f73ec.jpg","open")</f>
        <v/>
      </c>
      <c r="C5907" t="inlineStr">
        <is>
          <t>18a5c468-d9e6-4814-8477-1caf4a2e1fe9</t>
        </is>
      </c>
      <c r="D5907" t="n">
        <v>45.052</v>
      </c>
      <c r="E5907" t="n">
        <v>33.98193</v>
      </c>
      <c r="F5907" t="inlineStr"/>
      <c r="G5907" t="inlineStr"/>
      <c r="H5907" t="inlineStr"/>
    </row>
    <row r="5908">
      <c r="A5908" t="inlineStr">
        <is>
          <t>108a9d94-220f-4a99-8268-215b49daecb5.jpg</t>
        </is>
      </c>
      <c r="B5908">
        <f>HYPERLINK("Объекты недвижимости, не соответствующие градостроительным нормам_00-022_Август/108a9d94-220f-4a99-8268-215b49daecb5.jpg","open")</f>
        <v/>
      </c>
      <c r="C5908" t="inlineStr">
        <is>
          <t>18a5c468-d9e6-4814-8477-1caf4a2e1fe9</t>
        </is>
      </c>
      <c r="D5908" t="n">
        <v>45.052</v>
      </c>
      <c r="E5908" t="n">
        <v>33.98193</v>
      </c>
      <c r="F5908" t="inlineStr"/>
      <c r="G5908" t="inlineStr"/>
      <c r="H5908" t="inlineStr"/>
    </row>
    <row r="5909">
      <c r="A5909" t="inlineStr">
        <is>
          <t>a70bdb6e-69a8-4704-90d9-34acc867f6e7.jpg</t>
        </is>
      </c>
      <c r="B5909">
        <f>HYPERLINK("Объекты недвижимости, не соответствующие градостроительным нормам_00-022_Август/a70bdb6e-69a8-4704-90d9-34acc867f6e7.jpg","open")</f>
        <v/>
      </c>
      <c r="C5909" t="inlineStr">
        <is>
          <t>50e4626c-a80e-42ab-b999-b5092c2c063f</t>
        </is>
      </c>
      <c r="D5909" t="n">
        <v>56.00711</v>
      </c>
      <c r="E5909" t="n">
        <v>37.20686</v>
      </c>
      <c r="F5909" t="inlineStr"/>
      <c r="G5909" t="inlineStr"/>
      <c r="H5909" t="inlineStr"/>
    </row>
    <row r="5910">
      <c r="A5910" t="inlineStr">
        <is>
          <t>0cee0225-4dd9-4f09-97b1-61769118e080.jpg</t>
        </is>
      </c>
      <c r="B5910">
        <f>HYPERLINK("Объекты недвижимости, не соответствующие градостроительным нормам_00-022_Август/0cee0225-4dd9-4f09-97b1-61769118e080.jpg","open")</f>
        <v/>
      </c>
      <c r="C5910" t="inlineStr">
        <is>
          <t>50e4626c-a80e-42ab-b999-b5092c2c063f</t>
        </is>
      </c>
      <c r="D5910" t="n">
        <v>56.007</v>
      </c>
      <c r="E5910" t="n">
        <v>37.20673</v>
      </c>
      <c r="F5910" t="inlineStr"/>
      <c r="G5910" t="inlineStr"/>
      <c r="H5910" t="inlineStr"/>
    </row>
    <row r="5911">
      <c r="A5911" t="inlineStr">
        <is>
          <t>8b840d0c-12ac-49f7-93d9-075ce44c9317.jpg</t>
        </is>
      </c>
      <c r="B5911">
        <f>HYPERLINK("Объекты недвижимости, не соответствующие градостроительным нормам_00-022_Август/8b840d0c-12ac-49f7-93d9-075ce44c9317.jpg","open")</f>
        <v/>
      </c>
      <c r="C5911" t="inlineStr">
        <is>
          <t>50e4626c-a80e-42ab-b999-b5092c2c063f</t>
        </is>
      </c>
      <c r="D5911" t="n">
        <v>56.007</v>
      </c>
      <c r="E5911" t="n">
        <v>37.20673</v>
      </c>
      <c r="F5911" t="inlineStr"/>
      <c r="G5911" t="inlineStr"/>
      <c r="H5911" t="inlineStr"/>
    </row>
    <row r="5912">
      <c r="A5912" t="inlineStr">
        <is>
          <t>74d2a15e-424c-49e7-a253-710830a194a1.jpg</t>
        </is>
      </c>
      <c r="B5912">
        <f>HYPERLINK("Объекты недвижимости, не соответствующие градостроительным нормам_00-022_Август/74d2a15e-424c-49e7-a253-710830a194a1.jpg","open")</f>
        <v/>
      </c>
      <c r="C5912" t="inlineStr">
        <is>
          <t>18a5c468-d9e6-4814-8477-1caf4a2e1fe9</t>
        </is>
      </c>
      <c r="D5912" t="n">
        <v>45.052</v>
      </c>
      <c r="E5912" t="n">
        <v>33.98193</v>
      </c>
      <c r="F5912" t="inlineStr"/>
      <c r="G5912" t="inlineStr"/>
      <c r="H5912" t="inlineStr"/>
    </row>
    <row r="5913">
      <c r="A5913" t="inlineStr">
        <is>
          <t>23fd845f-501b-4328-8bfe-77e286583bbc.jpg</t>
        </is>
      </c>
      <c r="B5913">
        <f>HYPERLINK("Объекты недвижимости, не соответствующие градостроительным нормам_00-022_Август/23fd845f-501b-4328-8bfe-77e286583bbc.jpg","open")</f>
        <v/>
      </c>
      <c r="C5913" t="inlineStr">
        <is>
          <t>685d9054-b74f-49ab-857b-109fd2cec80d</t>
        </is>
      </c>
      <c r="D5913" t="n">
        <v>55.56342</v>
      </c>
      <c r="E5913" t="n">
        <v>37.57481</v>
      </c>
      <c r="F5913" t="inlineStr"/>
      <c r="G5913" t="inlineStr"/>
      <c r="H5913" t="inlineStr"/>
    </row>
    <row r="5914">
      <c r="A5914" t="inlineStr">
        <is>
          <t>db35c57e-d039-4dd8-87bf-c3122aae564f.jpg</t>
        </is>
      </c>
      <c r="B5914">
        <f>HYPERLINK("Объекты недвижимости, не соответствующие градостроительным нормам_00-022_Август/db35c57e-d039-4dd8-87bf-c3122aae564f.jpg","open")</f>
        <v/>
      </c>
      <c r="C5914" t="inlineStr">
        <is>
          <t>f6f80c84-5569-48fd-b627-6f41ce4c61c4</t>
        </is>
      </c>
      <c r="D5914" t="n">
        <v>55.71698</v>
      </c>
      <c r="E5914" t="n">
        <v>37.77485</v>
      </c>
      <c r="F5914" t="inlineStr"/>
      <c r="G5914" t="inlineStr"/>
      <c r="H5914" t="inlineStr"/>
    </row>
    <row r="5915">
      <c r="A5915" t="inlineStr">
        <is>
          <t>65e18f36-9927-4903-94aa-9ba6cfedf967.jpg</t>
        </is>
      </c>
      <c r="B5915">
        <f>HYPERLINK("Объекты недвижимости, не соответствующие градостроительным нормам_00-022_Август/65e18f36-9927-4903-94aa-9ba6cfedf967.jpg","open")</f>
        <v/>
      </c>
      <c r="C5915" t="inlineStr">
        <is>
          <t>18a5c468-d9e6-4814-8477-1caf4a2e1fe9</t>
        </is>
      </c>
      <c r="D5915" t="n">
        <v>45.052</v>
      </c>
      <c r="E5915" t="n">
        <v>33.98193</v>
      </c>
      <c r="F5915" t="inlineStr"/>
      <c r="G5915" t="inlineStr"/>
      <c r="H5915" t="inlineStr"/>
    </row>
    <row r="5916">
      <c r="A5916" t="inlineStr">
        <is>
          <t>459534c5-705a-452e-b832-2264477eba2f.jpg</t>
        </is>
      </c>
      <c r="B5916">
        <f>HYPERLINK("Объекты недвижимости, не соответствующие градостроительным нормам_00-022_Август/459534c5-705a-452e-b832-2264477eba2f.jpg","open")</f>
        <v/>
      </c>
      <c r="C5916" t="inlineStr">
        <is>
          <t>d2c4eccd-3e4b-406c-a903-0f5e43d0be35</t>
        </is>
      </c>
      <c r="D5916" t="n">
        <v>45.052</v>
      </c>
      <c r="E5916" t="n">
        <v>33.98193</v>
      </c>
      <c r="F5916" t="inlineStr"/>
      <c r="G5916" t="inlineStr"/>
      <c r="H5916" t="inlineStr"/>
    </row>
    <row r="5917">
      <c r="A5917" t="inlineStr">
        <is>
          <t>05365c3c-8963-47d1-ab5b-de91cfdeb252.jpg</t>
        </is>
      </c>
      <c r="B5917">
        <f>HYPERLINK("Объекты недвижимости, не соответствующие градостроительным нормам_00-022_Август/05365c3c-8963-47d1-ab5b-de91cfdeb252.jpg","open")</f>
        <v/>
      </c>
      <c r="C5917" t="inlineStr">
        <is>
          <t>caa4772d-6278-4484-a046-ee25514bf521</t>
        </is>
      </c>
      <c r="D5917" t="n">
        <v>55.71599</v>
      </c>
      <c r="E5917" t="n">
        <v>37.7709</v>
      </c>
      <c r="F5917" t="inlineStr"/>
      <c r="G5917" t="inlineStr"/>
      <c r="H5917" t="inlineStr"/>
    </row>
    <row r="5918">
      <c r="A5918" t="inlineStr">
        <is>
          <t>595d6c37-e8ab-40e5-bc2d-9b19ea7032ba.jpg</t>
        </is>
      </c>
      <c r="B5918">
        <f>HYPERLINK("Объекты недвижимости, не соответствующие градостроительным нормам_00-022_Август/595d6c37-e8ab-40e5-bc2d-9b19ea7032ba.jpg","open")</f>
        <v/>
      </c>
      <c r="C5918" t="inlineStr">
        <is>
          <t>18a5c468-d9e6-4814-8477-1caf4a2e1fe9</t>
        </is>
      </c>
      <c r="D5918" t="n">
        <v>45.052</v>
      </c>
      <c r="E5918" t="n">
        <v>33.98193</v>
      </c>
      <c r="F5918" t="inlineStr"/>
      <c r="G5918" t="inlineStr"/>
      <c r="H5918" t="inlineStr"/>
    </row>
    <row r="5919">
      <c r="A5919" t="inlineStr">
        <is>
          <t>8822916d-5103-424f-bf72-1b1feb60fb46.jpg</t>
        </is>
      </c>
      <c r="B5919">
        <f>HYPERLINK("Объекты недвижимости, не соответствующие градостроительным нормам_00-022_Август/8822916d-5103-424f-bf72-1b1feb60fb46.jpg","open")</f>
        <v/>
      </c>
      <c r="C5919" t="inlineStr">
        <is>
          <t>18a5c468-d9e6-4814-8477-1caf4a2e1fe9</t>
        </is>
      </c>
      <c r="D5919" t="n">
        <v>45.052</v>
      </c>
      <c r="E5919" t="n">
        <v>33.98193</v>
      </c>
      <c r="F5919" t="inlineStr"/>
      <c r="G5919" t="inlineStr"/>
      <c r="H5919" t="inlineStr"/>
    </row>
    <row r="5920">
      <c r="A5920" t="inlineStr">
        <is>
          <t>bfd2c25d-1750-4a85-bfe3-52438722c076.jpg</t>
        </is>
      </c>
      <c r="B5920">
        <f>HYPERLINK("Объекты недвижимости, не соответствующие градостроительным нормам_00-022_Август/bfd2c25d-1750-4a85-bfe3-52438722c076.jpg","open")</f>
        <v/>
      </c>
      <c r="C5920" t="inlineStr">
        <is>
          <t>18a5c468-d9e6-4814-8477-1caf4a2e1fe9</t>
        </is>
      </c>
      <c r="D5920" t="n">
        <v>45.052</v>
      </c>
      <c r="E5920" t="n">
        <v>33.98193</v>
      </c>
      <c r="F5920" t="inlineStr"/>
      <c r="G5920" t="inlineStr"/>
      <c r="H5920" t="inlineStr"/>
    </row>
    <row r="5921">
      <c r="A5921" t="inlineStr">
        <is>
          <t>07f2b7bc-97cf-40eb-a724-716d310ad569.jpg</t>
        </is>
      </c>
      <c r="B5921">
        <f>HYPERLINK("Объекты недвижимости, не соответствующие градостроительным нормам_00-022_Август/07f2b7bc-97cf-40eb-a724-716d310ad569.jpg","open")</f>
        <v/>
      </c>
      <c r="C5921" t="inlineStr">
        <is>
          <t>d2c4eccd-3e4b-406c-a903-0f5e43d0be35</t>
        </is>
      </c>
      <c r="D5921" t="n">
        <v>45.052</v>
      </c>
      <c r="E5921" t="n">
        <v>33.98193</v>
      </c>
      <c r="F5921" t="inlineStr"/>
      <c r="G5921" t="inlineStr"/>
      <c r="H5921" t="inlineStr"/>
    </row>
    <row r="5922">
      <c r="A5922" t="inlineStr">
        <is>
          <t>f8fd4b86-153a-4e1b-b168-f8d573f9e463.jpg</t>
        </is>
      </c>
      <c r="B5922">
        <f>HYPERLINK("Объекты недвижимости, не соответствующие градостроительным нормам_00-022_Август/f8fd4b86-153a-4e1b-b168-f8d573f9e463.jpg","open")</f>
        <v/>
      </c>
      <c r="C5922" t="inlineStr">
        <is>
          <t>b0b7ea82-53be-40d0-b992-e2fd18611d5c</t>
        </is>
      </c>
      <c r="D5922" t="n">
        <v>55.7172</v>
      </c>
      <c r="E5922" t="n">
        <v>37.66415</v>
      </c>
      <c r="F5922" t="inlineStr"/>
      <c r="G5922" t="inlineStr"/>
      <c r="H5922" t="inlineStr"/>
    </row>
    <row r="5923">
      <c r="A5923" t="inlineStr">
        <is>
          <t>1445f2ab-bebb-4115-b86b-b7d70e798022.jpg</t>
        </is>
      </c>
      <c r="B5923">
        <f>HYPERLINK("Объекты недвижимости, не соответствующие градостроительным нормам_00-022_Август/1445f2ab-bebb-4115-b86b-b7d70e798022.jpg","open")</f>
        <v/>
      </c>
      <c r="C5923" t="inlineStr">
        <is>
          <t>f20fbc2b-b369-4734-bb66-92af02fbb0d1</t>
        </is>
      </c>
      <c r="D5923" t="n">
        <v>55.72152</v>
      </c>
      <c r="E5923" t="n">
        <v>37.66534</v>
      </c>
      <c r="F5923" t="inlineStr"/>
      <c r="G5923" t="inlineStr"/>
      <c r="H5923" t="inlineStr"/>
    </row>
    <row r="5924">
      <c r="A5924" t="inlineStr">
        <is>
          <t>d605e889-ffeb-4de1-a4d4-26e9e57fbdea.jpg</t>
        </is>
      </c>
      <c r="B5924">
        <f>HYPERLINK("Объекты недвижимости, не соответствующие градостроительным нормам_00-022_Август/d605e889-ffeb-4de1-a4d4-26e9e57fbdea.jpg","open")</f>
        <v/>
      </c>
      <c r="C5924" t="inlineStr">
        <is>
          <t>6e2567a0-1fb9-40d5-a0e7-0adb480d2965</t>
        </is>
      </c>
      <c r="D5924" t="n">
        <v>55.77239</v>
      </c>
      <c r="E5924" t="n">
        <v>37.67524</v>
      </c>
      <c r="F5924" t="inlineStr"/>
      <c r="G5924" t="inlineStr"/>
      <c r="H5924" t="inlineStr"/>
    </row>
    <row r="5925">
      <c r="A5925" t="inlineStr">
        <is>
          <t>6d0ec41e-55bf-46e7-956a-bf4e8bd427be.jpg</t>
        </is>
      </c>
      <c r="B5925">
        <f>HYPERLINK("Объекты недвижимости, не соответствующие градостроительным нормам_00-022_Август/6d0ec41e-55bf-46e7-956a-bf4e8bd427be.jpg","open")</f>
        <v/>
      </c>
      <c r="C5925" t="inlineStr">
        <is>
          <t>caa4772d-6278-4484-a046-ee25514bf521</t>
        </is>
      </c>
      <c r="D5925" t="n">
        <v>55.71513</v>
      </c>
      <c r="E5925" t="n">
        <v>37.7465</v>
      </c>
      <c r="F5925" t="inlineStr"/>
      <c r="G5925" t="inlineStr"/>
      <c r="H5925" t="inlineStr"/>
    </row>
    <row r="5926">
      <c r="A5926" t="inlineStr">
        <is>
          <t>226ef3c3-920a-4f87-bbb6-24e9642c7de9.jpg</t>
        </is>
      </c>
      <c r="B5926">
        <f>HYPERLINK("Объекты недвижимости, не соответствующие градостроительным нормам_00-022_Август/226ef3c3-920a-4f87-bbb6-24e9642c7de9.jpg","open")</f>
        <v/>
      </c>
      <c r="C5926" t="inlineStr">
        <is>
          <t>6e2567a0-1fb9-40d5-a0e7-0adb480d2965</t>
        </is>
      </c>
      <c r="D5926" t="n">
        <v>55.77342</v>
      </c>
      <c r="E5926" t="n">
        <v>37.67942</v>
      </c>
      <c r="F5926" t="inlineStr"/>
      <c r="G5926" t="inlineStr"/>
      <c r="H5926" t="inlineStr"/>
    </row>
    <row r="5927">
      <c r="A5927" t="inlineStr">
        <is>
          <t>b5c97704-8025-4af8-b2e9-aeb2517904be.jpg</t>
        </is>
      </c>
      <c r="B5927">
        <f>HYPERLINK("Объекты недвижимости, не соответствующие градостроительным нормам_00-022_Август/b5c97704-8025-4af8-b2e9-aeb2517904be.jpg","open")</f>
        <v/>
      </c>
      <c r="C5927" t="inlineStr">
        <is>
          <t>18a5c468-d9e6-4814-8477-1caf4a2e1fe9</t>
        </is>
      </c>
      <c r="D5927" t="n">
        <v>45.052</v>
      </c>
      <c r="E5927" t="n">
        <v>33.98193</v>
      </c>
      <c r="F5927" t="inlineStr"/>
      <c r="G5927" t="inlineStr"/>
      <c r="H5927" t="inlineStr"/>
    </row>
    <row r="5928">
      <c r="A5928" t="inlineStr">
        <is>
          <t>1f5fd01f-bc0a-4d79-b4b0-2968fd83c9f7.jpg</t>
        </is>
      </c>
      <c r="B5928">
        <f>HYPERLINK("Объекты недвижимости, не соответствующие градостроительным нормам_00-022_Август/1f5fd01f-bc0a-4d79-b4b0-2968fd83c9f7.jpg","open")</f>
        <v/>
      </c>
      <c r="C5928" t="inlineStr">
        <is>
          <t>8cde1fd0-eca1-4510-86ab-3c743b65fdfc</t>
        </is>
      </c>
      <c r="D5928" t="n">
        <v>55.86956</v>
      </c>
      <c r="E5928" t="n">
        <v>37.51283</v>
      </c>
      <c r="F5928" t="inlineStr"/>
      <c r="G5928" t="inlineStr"/>
      <c r="H5928" t="inlineStr"/>
    </row>
    <row r="5929">
      <c r="A5929" t="inlineStr">
        <is>
          <t>9d3595de-9757-4646-a27f-4067a6f56e56.jpg</t>
        </is>
      </c>
      <c r="B5929">
        <f>HYPERLINK("Объекты недвижимости, не соответствующие градостроительным нормам_00-022_Август/9d3595de-9757-4646-a27f-4067a6f56e56.jpg","open")</f>
        <v/>
      </c>
      <c r="C5929" t="inlineStr">
        <is>
          <t>8cde1fd0-eca1-4510-86ab-3c743b65fdfc</t>
        </is>
      </c>
      <c r="D5929" t="n">
        <v>55.87045</v>
      </c>
      <c r="E5929" t="n">
        <v>37.51077</v>
      </c>
      <c r="F5929" t="inlineStr"/>
      <c r="G5929" t="inlineStr"/>
      <c r="H5929" t="inlineStr"/>
    </row>
    <row r="5930">
      <c r="A5930" t="inlineStr">
        <is>
          <t>b0eb5c80-7ab8-40a6-a4ba-4d12ef00217f.jpg</t>
        </is>
      </c>
      <c r="B5930">
        <f>HYPERLINK("Объекты недвижимости, не соответствующие градостроительным нормам_00-022_Август/b0eb5c80-7ab8-40a6-a4ba-4d12ef00217f.jpg","open")</f>
        <v/>
      </c>
      <c r="C5930" t="inlineStr">
        <is>
          <t>cb4060b2-34d3-44a4-9f60-115fb1e9278e</t>
        </is>
      </c>
      <c r="D5930" t="n">
        <v>55.7743</v>
      </c>
      <c r="E5930" t="n">
        <v>37.6842</v>
      </c>
      <c r="F5930" t="inlineStr"/>
      <c r="G5930" t="inlineStr"/>
      <c r="H5930" t="inlineStr"/>
    </row>
    <row r="5931">
      <c r="A5931" t="inlineStr">
        <is>
          <t>c161a893-5ae3-4637-90e0-cf7d220217fa.jpg</t>
        </is>
      </c>
      <c r="B5931">
        <f>HYPERLINK("Объекты недвижимости, не соответствующие градостроительным нормам_00-022_Август/c161a893-5ae3-4637-90e0-cf7d220217fa.jpg","open")</f>
        <v/>
      </c>
      <c r="C5931" t="inlineStr">
        <is>
          <t>6e2567a0-1fb9-40d5-a0e7-0adb480d2965</t>
        </is>
      </c>
      <c r="D5931" t="n">
        <v>55.77445</v>
      </c>
      <c r="E5931" t="n">
        <v>37.684</v>
      </c>
      <c r="F5931" t="inlineStr"/>
      <c r="G5931" t="inlineStr"/>
      <c r="H5931" t="inlineStr"/>
    </row>
    <row r="5932">
      <c r="A5932" t="inlineStr">
        <is>
          <t>d70e82ae-c652-4b17-90d2-34e6b03cfcc4.jpg</t>
        </is>
      </c>
      <c r="B5932">
        <f>HYPERLINK("Объекты недвижимости, не соответствующие градостроительным нормам_00-022_Август/d70e82ae-c652-4b17-90d2-34e6b03cfcc4.jpg","open")</f>
        <v/>
      </c>
      <c r="C5932" t="inlineStr">
        <is>
          <t>cb4060b2-34d3-44a4-9f60-115fb1e9278e</t>
        </is>
      </c>
      <c r="D5932" t="n">
        <v>55.77417</v>
      </c>
      <c r="E5932" t="n">
        <v>37.68436</v>
      </c>
      <c r="F5932" t="inlineStr"/>
      <c r="G5932" t="inlineStr"/>
      <c r="H5932" t="inlineStr"/>
    </row>
    <row r="5933">
      <c r="A5933" t="inlineStr">
        <is>
          <t>a1582d57-13b6-47db-8f57-95ae6ce861cf.jpg</t>
        </is>
      </c>
      <c r="B5933">
        <f>HYPERLINK("Объекты недвижимости, не соответствующие градостроительным нормам_00-022_Август/a1582d57-13b6-47db-8f57-95ae6ce861cf.jpg","open")</f>
        <v/>
      </c>
      <c r="C5933" t="inlineStr">
        <is>
          <t>6e2567a0-1fb9-40d5-a0e7-0adb480d2965</t>
        </is>
      </c>
      <c r="D5933" t="n">
        <v>55.7743</v>
      </c>
      <c r="E5933" t="n">
        <v>37.6842</v>
      </c>
      <c r="F5933" t="inlineStr"/>
      <c r="G5933" t="inlineStr"/>
      <c r="H5933" t="inlineStr"/>
    </row>
    <row r="5934">
      <c r="A5934" t="inlineStr">
        <is>
          <t>9c42d878-f5c2-4372-a31b-1390ae94a37e.jpg</t>
        </is>
      </c>
      <c r="B5934">
        <f>HYPERLINK("Объекты недвижимости, не соответствующие градостроительным нормам_00-022_Август/9c42d878-f5c2-4372-a31b-1390ae94a37e.jpg","open")</f>
        <v/>
      </c>
      <c r="C5934" t="inlineStr">
        <is>
          <t>fb9a37cc-57a6-447c-98bb-0b299f09c809</t>
        </is>
      </c>
      <c r="D5934" t="n">
        <v>55.74854</v>
      </c>
      <c r="E5934" t="n">
        <v>37.54803</v>
      </c>
      <c r="F5934" t="inlineStr"/>
      <c r="G5934" t="inlineStr"/>
      <c r="H5934" t="inlineStr"/>
    </row>
    <row r="5935">
      <c r="A5935" t="inlineStr">
        <is>
          <t>b7edcaf2-8a1c-4a3b-8f88-b396d5096d98.jpg</t>
        </is>
      </c>
      <c r="B5935">
        <f>HYPERLINK("Объекты недвижимости, не соответствующие градостроительным нормам_00-022_Август/b7edcaf2-8a1c-4a3b-8f88-b396d5096d98.jpg","open")</f>
        <v/>
      </c>
      <c r="C5935" t="inlineStr">
        <is>
          <t>cb4060b2-34d3-44a4-9f60-115fb1e9278e</t>
        </is>
      </c>
      <c r="D5935" t="n">
        <v>55.77402</v>
      </c>
      <c r="E5935" t="n">
        <v>37.68452</v>
      </c>
      <c r="F5935" t="inlineStr"/>
      <c r="G5935" t="inlineStr"/>
      <c r="H5935" t="inlineStr"/>
    </row>
    <row r="5936">
      <c r="A5936" t="inlineStr">
        <is>
          <t>b2189c2f-6c64-455f-8a17-20fcbcc9e671.jpg</t>
        </is>
      </c>
      <c r="B5936">
        <f>HYPERLINK("Объекты недвижимости, не соответствующие градостроительным нормам_00-022_Август/b2189c2f-6c64-455f-8a17-20fcbcc9e671.jpg","open")</f>
        <v/>
      </c>
      <c r="C5936" t="inlineStr">
        <is>
          <t>cb4060b2-34d3-44a4-9f60-115fb1e9278e</t>
        </is>
      </c>
      <c r="D5936" t="n">
        <v>55.77394</v>
      </c>
      <c r="E5936" t="n">
        <v>37.68455</v>
      </c>
      <c r="F5936" t="inlineStr"/>
      <c r="G5936" t="inlineStr"/>
      <c r="H5936" t="inlineStr"/>
    </row>
    <row r="5937">
      <c r="A5937" t="inlineStr">
        <is>
          <t>baa0be64-8c57-4a10-89fc-86f91e5fe820.jpg</t>
        </is>
      </c>
      <c r="B5937">
        <f>HYPERLINK("Объекты недвижимости, не соответствующие градостроительным нормам_00-022_Август/baa0be64-8c57-4a10-89fc-86f91e5fe820.jpg","open")</f>
        <v/>
      </c>
      <c r="C5937" t="inlineStr">
        <is>
          <t>ffd931da-542f-43e9-979f-5552b17fe3dc</t>
        </is>
      </c>
      <c r="D5937" t="n">
        <v>55.71934</v>
      </c>
      <c r="E5937" t="n">
        <v>37.90055</v>
      </c>
      <c r="F5937" t="inlineStr"/>
      <c r="G5937" t="inlineStr"/>
      <c r="H5937" t="inlineStr"/>
    </row>
    <row r="5938">
      <c r="A5938" t="inlineStr">
        <is>
          <t>9a6cc179-c089-424d-8a4f-86d295cf4077.jpg</t>
        </is>
      </c>
      <c r="B5938">
        <f>HYPERLINK("Объекты недвижимости, не соответствующие градостроительным нормам_00-022_Август/9a6cc179-c089-424d-8a4f-86d295cf4077.jpg","open")</f>
        <v/>
      </c>
      <c r="C5938" t="inlineStr">
        <is>
          <t>b0429a31-0c70-4b9f-8ea5-73929d82f89e</t>
        </is>
      </c>
      <c r="D5938" t="n">
        <v>55.65218</v>
      </c>
      <c r="E5938" t="n">
        <v>37.61526</v>
      </c>
      <c r="F5938" t="inlineStr"/>
      <c r="G5938" t="inlineStr"/>
      <c r="H5938" t="inlineStr"/>
    </row>
    <row r="5939">
      <c r="A5939" t="inlineStr">
        <is>
          <t>f197c96a-b098-4f18-8e2f-0340679a13fa.jpg</t>
        </is>
      </c>
      <c r="B5939">
        <f>HYPERLINK("Объекты недвижимости, не соответствующие градостроительным нормам_00-022_Август/f197c96a-b098-4f18-8e2f-0340679a13fa.jpg","open")</f>
        <v/>
      </c>
      <c r="C5939" t="inlineStr">
        <is>
          <t>ab4e767f-65c0-455b-af20-a5527124fd21</t>
        </is>
      </c>
      <c r="D5939" t="n">
        <v>55.74216</v>
      </c>
      <c r="E5939" t="n">
        <v>37.42719</v>
      </c>
      <c r="F5939" t="inlineStr"/>
      <c r="G5939" t="inlineStr"/>
      <c r="H5939" t="inlineStr"/>
    </row>
    <row r="5940">
      <c r="A5940" t="inlineStr">
        <is>
          <t>1fc0a4d3-d9fb-4525-9c89-bf0f87387906.jpg</t>
        </is>
      </c>
      <c r="B5940">
        <f>HYPERLINK("Объекты недвижимости, не соответствующие градостроительным нормам_00-022_Август/1fc0a4d3-d9fb-4525-9c89-bf0f87387906.jpg","open")</f>
        <v/>
      </c>
      <c r="C5940" t="inlineStr">
        <is>
          <t>18a5c468-d9e6-4814-8477-1caf4a2e1fe9</t>
        </is>
      </c>
      <c r="D5940" t="n">
        <v>45.052</v>
      </c>
      <c r="E5940" t="n">
        <v>33.98193</v>
      </c>
      <c r="F5940" t="inlineStr"/>
      <c r="G5940" t="inlineStr"/>
      <c r="H5940" t="inlineStr"/>
    </row>
    <row r="5941">
      <c r="A5941" t="inlineStr">
        <is>
          <t>13bdc781-46eb-480f-88fe-5170fe22ef53.jpg</t>
        </is>
      </c>
      <c r="B5941">
        <f>HYPERLINK("Объекты недвижимости, не соответствующие градостроительным нормам_00-022_Август/13bdc781-46eb-480f-88fe-5170fe22ef53.jpg","open")</f>
        <v/>
      </c>
      <c r="C5941" t="inlineStr">
        <is>
          <t>d2c4eccd-3e4b-406c-a903-0f5e43d0be35</t>
        </is>
      </c>
      <c r="D5941" t="n">
        <v>45.052</v>
      </c>
      <c r="E5941" t="n">
        <v>33.98193</v>
      </c>
      <c r="F5941" t="inlineStr"/>
      <c r="G5941" t="inlineStr"/>
      <c r="H5941" t="inlineStr"/>
    </row>
    <row r="5942">
      <c r="A5942" t="inlineStr">
        <is>
          <t>f84f634d-ca80-4e75-8063-ee8a6f56103d.jpg</t>
        </is>
      </c>
      <c r="B5942">
        <f>HYPERLINK("Объекты недвижимости, не соответствующие градостроительным нормам_00-022_Август/f84f634d-ca80-4e75-8063-ee8a6f56103d.jpg","open")</f>
        <v/>
      </c>
      <c r="C5942" t="inlineStr">
        <is>
          <t>fb9a37cc-57a6-447c-98bb-0b299f09c809</t>
        </is>
      </c>
      <c r="D5942" t="n">
        <v>55.74854</v>
      </c>
      <c r="E5942" t="n">
        <v>37.54803</v>
      </c>
      <c r="F5942" t="inlineStr"/>
      <c r="G5942" t="inlineStr"/>
      <c r="H5942" t="inlineStr"/>
    </row>
    <row r="5943">
      <c r="A5943" t="inlineStr">
        <is>
          <t>2519bf79-a86b-44ed-87f2-ff27c768cc1f.jpg</t>
        </is>
      </c>
      <c r="B5943">
        <f>HYPERLINK("Объекты недвижимости, не соответствующие градостроительным нормам_00-022_Август/2519bf79-a86b-44ed-87f2-ff27c768cc1f.jpg","open")</f>
        <v/>
      </c>
      <c r="C5943" t="inlineStr">
        <is>
          <t>50e4626c-a80e-42ab-b999-b5092c2c063f</t>
        </is>
      </c>
      <c r="D5943" t="n">
        <v>55.98673</v>
      </c>
      <c r="E5943" t="n">
        <v>37.27784</v>
      </c>
      <c r="F5943" t="inlineStr"/>
      <c r="G5943" t="inlineStr"/>
      <c r="H5943" t="inlineStr"/>
    </row>
    <row r="5944">
      <c r="A5944" t="inlineStr">
        <is>
          <t>b8951645-aaae-4eb5-bf93-01965f708506.jpg</t>
        </is>
      </c>
      <c r="B5944">
        <f>HYPERLINK("Объекты недвижимости, не соответствующие градостроительным нормам_00-022_Август/b8951645-aaae-4eb5-bf93-01965f708506.jpg","open")</f>
        <v/>
      </c>
      <c r="C5944" t="inlineStr">
        <is>
          <t>61936922-4d4b-458e-80ea-6d4c450aa1d5</t>
        </is>
      </c>
      <c r="D5944" t="n">
        <v>55.65099</v>
      </c>
      <c r="E5944" t="n">
        <v>37.39596</v>
      </c>
      <c r="F5944" t="inlineStr"/>
      <c r="G5944" t="inlineStr"/>
      <c r="H5944" t="inlineStr"/>
    </row>
    <row r="5945">
      <c r="A5945" t="inlineStr">
        <is>
          <t>dad0efc3-9bd1-4a05-808a-7e1f24cbfe46.jpg</t>
        </is>
      </c>
      <c r="B5945">
        <f>HYPERLINK("Объекты недвижимости, не соответствующие градостроительным нормам_00-022_Август/dad0efc3-9bd1-4a05-808a-7e1f24cbfe46.jpg","open")</f>
        <v/>
      </c>
      <c r="C5945" t="inlineStr">
        <is>
          <t>ed2bf0f1-3a66-4913-896e-4420a9796c0b</t>
        </is>
      </c>
      <c r="D5945" t="n">
        <v>55.43172</v>
      </c>
      <c r="E5945" t="n">
        <v>37.26943</v>
      </c>
      <c r="F5945" t="inlineStr"/>
      <c r="G5945" t="inlineStr"/>
      <c r="H5945" t="inlineStr"/>
    </row>
    <row r="5946">
      <c r="A5946" t="inlineStr">
        <is>
          <t>1b710ec3-d73f-4c70-a17f-a86e2c660583.jpg</t>
        </is>
      </c>
      <c r="B5946">
        <f>HYPERLINK("Объекты недвижимости, не соответствующие градостроительным нормам_00-022_Август/1b710ec3-d73f-4c70-a17f-a86e2c660583.jpg","open")</f>
        <v/>
      </c>
      <c r="C5946" t="inlineStr">
        <is>
          <t>57aae8a4-582b-4309-8045-c8127a9f86ae</t>
        </is>
      </c>
      <c r="D5946" t="n">
        <v>55.8175</v>
      </c>
      <c r="E5946" t="n">
        <v>37.80901</v>
      </c>
      <c r="F5946" t="inlineStr"/>
      <c r="G5946" t="inlineStr"/>
      <c r="H5946" t="inlineStr"/>
    </row>
    <row r="5947">
      <c r="A5947" t="inlineStr">
        <is>
          <t>f2fe2d06-9ee5-4ea5-911c-2f5030dcc856.jpg</t>
        </is>
      </c>
      <c r="B5947">
        <f>HYPERLINK("Объекты недвижимости, не соответствующие градостроительным нормам_00-022_Август/f2fe2d06-9ee5-4ea5-911c-2f5030dcc856.jpg","open")</f>
        <v/>
      </c>
      <c r="C5947" t="inlineStr">
        <is>
          <t>685d9054-b74f-49ab-857b-109fd2cec80d</t>
        </is>
      </c>
      <c r="D5947" t="n">
        <v>55.56568</v>
      </c>
      <c r="E5947" t="n">
        <v>37.5722</v>
      </c>
      <c r="F5947" t="inlineStr"/>
      <c r="G5947" t="inlineStr"/>
      <c r="H5947" t="inlineStr"/>
    </row>
    <row r="5948">
      <c r="A5948" t="inlineStr">
        <is>
          <t>48710d2d-ff0b-48b2-9b4f-271682e10b44.jpg</t>
        </is>
      </c>
      <c r="B5948">
        <f>HYPERLINK("Объекты недвижимости, не соответствующие градостроительным нормам_00-022_Август/48710d2d-ff0b-48b2-9b4f-271682e10b44.jpg","open")</f>
        <v/>
      </c>
      <c r="C5948" t="inlineStr">
        <is>
          <t>1231bbc5-e64c-4dc7-9acc-77710f47607a</t>
        </is>
      </c>
      <c r="D5948" t="n">
        <v>55.56656</v>
      </c>
      <c r="E5948" t="n">
        <v>37.57148</v>
      </c>
      <c r="F5948" t="inlineStr"/>
      <c r="G5948" t="inlineStr"/>
      <c r="H5948" t="inlineStr"/>
    </row>
    <row r="5949">
      <c r="A5949" t="inlineStr">
        <is>
          <t>375fdd99-2824-4aa3-a5a3-9d829258f994.jpg</t>
        </is>
      </c>
      <c r="B5949">
        <f>HYPERLINK("Объекты недвижимости, не соответствующие градостроительным нормам_00-022_Август/375fdd99-2824-4aa3-a5a3-9d829258f994.jpg","open")</f>
        <v/>
      </c>
      <c r="C5949" t="inlineStr">
        <is>
          <t>685d9054-b74f-49ab-857b-109fd2cec80d</t>
        </is>
      </c>
      <c r="D5949" t="n">
        <v>55.56652</v>
      </c>
      <c r="E5949" t="n">
        <v>37.5715</v>
      </c>
      <c r="F5949" t="inlineStr"/>
      <c r="G5949" t="inlineStr"/>
      <c r="H5949" t="inlineStr"/>
    </row>
    <row r="5950">
      <c r="A5950" t="inlineStr">
        <is>
          <t>5616f0b5-48d8-4b6c-aa8e-9c72f3ff2934.jpg</t>
        </is>
      </c>
      <c r="B5950">
        <f>HYPERLINK("Объекты недвижимости, не соответствующие градостроительным нормам_00-022_Август/5616f0b5-48d8-4b6c-aa8e-9c72f3ff2934.jpg","open")</f>
        <v/>
      </c>
      <c r="C5950" t="inlineStr">
        <is>
          <t>1231bbc5-e64c-4dc7-9acc-77710f47607a</t>
        </is>
      </c>
      <c r="D5950" t="n">
        <v>55.56691</v>
      </c>
      <c r="E5950" t="n">
        <v>37.57159</v>
      </c>
      <c r="F5950" t="inlineStr"/>
      <c r="G5950" t="inlineStr"/>
      <c r="H5950" t="inlineStr"/>
    </row>
    <row r="5951">
      <c r="A5951" t="inlineStr">
        <is>
          <t>632f9137-89c8-4008-8a18-bd4dbcc7bb14.jpg</t>
        </is>
      </c>
      <c r="B5951">
        <f>HYPERLINK("Объекты недвижимости, не соответствующие градостроительным нормам_00-022_Август/632f9137-89c8-4008-8a18-bd4dbcc7bb14.jpg","open")</f>
        <v/>
      </c>
      <c r="C5951" t="inlineStr">
        <is>
          <t>685d9054-b74f-49ab-857b-109fd2cec80d</t>
        </is>
      </c>
      <c r="D5951" t="n">
        <v>55.56691</v>
      </c>
      <c r="E5951" t="n">
        <v>37.57158</v>
      </c>
      <c r="F5951" t="inlineStr"/>
      <c r="G5951" t="inlineStr"/>
      <c r="H5951" t="inlineStr"/>
    </row>
    <row r="5952">
      <c r="A5952" t="inlineStr">
        <is>
          <t>710d98be-28c3-46d6-b216-4e23389e391b.jpg</t>
        </is>
      </c>
      <c r="B5952">
        <f>HYPERLINK("Объекты недвижимости, не соответствующие градостроительным нормам_00-022_Август/710d98be-28c3-46d6-b216-4e23389e391b.jpg","open")</f>
        <v/>
      </c>
      <c r="C5952" t="inlineStr">
        <is>
          <t>acedacc2-0d8b-4fc1-9622-25621a89d071</t>
        </is>
      </c>
      <c r="D5952" t="n">
        <v>55.81798</v>
      </c>
      <c r="E5952" t="n">
        <v>37.80402</v>
      </c>
      <c r="F5952" t="inlineStr"/>
      <c r="G5952" t="inlineStr"/>
      <c r="H5952" t="inlineStr"/>
    </row>
    <row r="5953">
      <c r="A5953" t="inlineStr">
        <is>
          <t>c8fda074-fd38-46d6-8a6b-e9d091570dc9.jpg</t>
        </is>
      </c>
      <c r="B5953">
        <f>HYPERLINK("Объекты недвижимости, не соответствующие градостроительным нормам_00-022_Август/c8fda074-fd38-46d6-8a6b-e9d091570dc9.jpg","open")</f>
        <v/>
      </c>
      <c r="C5953" t="inlineStr">
        <is>
          <t>29ad9edb-d533-4272-a986-be24eb004851</t>
        </is>
      </c>
      <c r="D5953" t="n">
        <v>55.74689</v>
      </c>
      <c r="E5953" t="n">
        <v>37.52506</v>
      </c>
      <c r="F5953" t="inlineStr"/>
      <c r="G5953" t="inlineStr"/>
      <c r="H5953" t="inlineStr"/>
    </row>
    <row r="5954">
      <c r="A5954" t="inlineStr">
        <is>
          <t>baa64eb3-ab77-4560-9ac6-18500ca3f7df.jpg</t>
        </is>
      </c>
      <c r="B5954">
        <f>HYPERLINK("Объекты недвижимости, не соответствующие градостроительным нормам_00-022_Август/baa64eb3-ab77-4560-9ac6-18500ca3f7df.jpg","open")</f>
        <v/>
      </c>
      <c r="C5954" t="inlineStr">
        <is>
          <t>e26f5fc2-1353-4f29-85f3-87c56419161c</t>
        </is>
      </c>
      <c r="D5954" t="n">
        <v>55.79246</v>
      </c>
      <c r="E5954" t="n">
        <v>37.61822</v>
      </c>
      <c r="F5954" t="inlineStr"/>
      <c r="G5954" t="inlineStr"/>
      <c r="H5954" t="inlineStr"/>
    </row>
    <row r="5955">
      <c r="A5955" t="inlineStr">
        <is>
          <t>4b699a44-2eb3-47b8-91c1-436c72d4e187.jpg</t>
        </is>
      </c>
      <c r="B5955">
        <f>HYPERLINK("Объекты недвижимости, не соответствующие градостроительным нормам_00-022_Август/4b699a44-2eb3-47b8-91c1-436c72d4e187.jpg","open")</f>
        <v/>
      </c>
      <c r="C5955" t="inlineStr">
        <is>
          <t>fb9a37cc-57a6-447c-98bb-0b299f09c809</t>
        </is>
      </c>
      <c r="D5955" t="n">
        <v>55.74854</v>
      </c>
      <c r="E5955" t="n">
        <v>37.54803</v>
      </c>
      <c r="F5955" t="inlineStr"/>
      <c r="G5955" t="inlineStr"/>
      <c r="H5955" t="inlineStr"/>
    </row>
    <row r="5956">
      <c r="A5956" t="inlineStr">
        <is>
          <t>8613a7f9-88b1-4821-81dc-c87e79ad0300.jpg</t>
        </is>
      </c>
      <c r="B5956">
        <f>HYPERLINK("Объекты недвижимости, не соответствующие градостроительным нормам_00-022_Август/8613a7f9-88b1-4821-81dc-c87e79ad0300.jpg","open")</f>
        <v/>
      </c>
      <c r="C5956" t="inlineStr">
        <is>
          <t>50e4626c-a80e-42ab-b999-b5092c2c063f</t>
        </is>
      </c>
      <c r="D5956" t="n">
        <v>55.92569</v>
      </c>
      <c r="E5956" t="n">
        <v>37.38562</v>
      </c>
      <c r="F5956" t="inlineStr"/>
      <c r="G5956" t="inlineStr"/>
      <c r="H5956" t="inlineStr"/>
    </row>
    <row r="5957">
      <c r="A5957" t="inlineStr">
        <is>
          <t>2f31adcc-9ad6-4dee-8766-04f25edd03d7.jpg</t>
        </is>
      </c>
      <c r="B5957">
        <f>HYPERLINK("Объекты недвижимости, не соответствующие градостроительным нормам_00-022_Август/2f31adcc-9ad6-4dee-8766-04f25edd03d7.jpg","open")</f>
        <v/>
      </c>
      <c r="C5957" t="inlineStr">
        <is>
          <t>8cde1fd0-eca1-4510-86ab-3c743b65fdfc</t>
        </is>
      </c>
      <c r="D5957" t="n">
        <v>55.87968</v>
      </c>
      <c r="E5957" t="n">
        <v>37.50763</v>
      </c>
      <c r="F5957" t="inlineStr"/>
      <c r="G5957" t="inlineStr"/>
      <c r="H5957" t="inlineStr"/>
    </row>
    <row r="5958">
      <c r="A5958" t="inlineStr">
        <is>
          <t>2bba57c6-85f7-413a-a4d3-0a7d2f245e62.jpg</t>
        </is>
      </c>
      <c r="B5958">
        <f>HYPERLINK("Объекты недвижимости, не соответствующие градостроительным нормам_00-022_Август/2bba57c6-85f7-413a-a4d3-0a7d2f245e62.jpg","open")</f>
        <v/>
      </c>
      <c r="C5958" t="inlineStr">
        <is>
          <t>61936922-4d4b-458e-80ea-6d4c450aa1d5</t>
        </is>
      </c>
      <c r="D5958" t="n">
        <v>55.65536</v>
      </c>
      <c r="E5958" t="n">
        <v>37.39906</v>
      </c>
      <c r="F5958" t="inlineStr"/>
      <c r="G5958" t="inlineStr"/>
      <c r="H5958" t="inlineStr"/>
    </row>
    <row r="5959">
      <c r="A5959" t="inlineStr">
        <is>
          <t>6d1c6f0e-6c4e-4476-99d2-993571c871de.jpg</t>
        </is>
      </c>
      <c r="B5959">
        <f>HYPERLINK("Объекты недвижимости, не соответствующие градостроительным нормам_00-022_Август/6d1c6f0e-6c4e-4476-99d2-993571c871de.jpg","open")</f>
        <v/>
      </c>
      <c r="C5959" t="inlineStr">
        <is>
          <t>9fb3d110-951f-48da-9d90-cfd7e1b5800d</t>
        </is>
      </c>
      <c r="D5959" t="n">
        <v>55.65536</v>
      </c>
      <c r="E5959" t="n">
        <v>37.39906</v>
      </c>
      <c r="F5959" t="inlineStr"/>
      <c r="G5959" t="inlineStr"/>
      <c r="H5959" t="inlineStr"/>
    </row>
    <row r="5960">
      <c r="A5960" t="inlineStr">
        <is>
          <t>dcf1816f-4294-429f-9f53-b0ef53ba70d6.jpg</t>
        </is>
      </c>
      <c r="B5960">
        <f>HYPERLINK("Объекты недвижимости, не соответствующие градостроительным нормам_00-022_Август/dcf1816f-4294-429f-9f53-b0ef53ba70d6.jpg","open")</f>
        <v/>
      </c>
      <c r="C5960" t="inlineStr">
        <is>
          <t>685d9054-b74f-49ab-857b-109fd2cec80d</t>
        </is>
      </c>
      <c r="D5960" t="n">
        <v>55.56638</v>
      </c>
      <c r="E5960" t="n">
        <v>37.56962</v>
      </c>
      <c r="F5960" t="inlineStr"/>
      <c r="G5960" t="inlineStr"/>
      <c r="H5960" t="inlineStr"/>
    </row>
    <row r="5961">
      <c r="A5961" t="inlineStr">
        <is>
          <t>5747e051-50b0-44ab-a0bb-fe4336da32e2.jpg</t>
        </is>
      </c>
      <c r="B5961">
        <f>HYPERLINK("Объекты недвижимости, не соответствующие градостроительным нормам_00-022_Август/5747e051-50b0-44ab-a0bb-fe4336da32e2.jpg","open")</f>
        <v/>
      </c>
      <c r="C5961" t="inlineStr">
        <is>
          <t>685d9054-b74f-49ab-857b-109fd2cec80d</t>
        </is>
      </c>
      <c r="D5961" t="n">
        <v>55.56637</v>
      </c>
      <c r="E5961" t="n">
        <v>37.56966</v>
      </c>
      <c r="F5961" t="inlineStr"/>
      <c r="G5961" t="inlineStr"/>
      <c r="H5961" t="inlineStr"/>
    </row>
    <row r="5962">
      <c r="A5962" t="inlineStr">
        <is>
          <t>2b9b4de3-c1c2-46c2-9ddc-557c8dfa0829.jpg</t>
        </is>
      </c>
      <c r="B5962">
        <f>HYPERLINK("Объекты недвижимости, не соответствующие градостроительным нормам_00-022_Август/2b9b4de3-c1c2-46c2-9ddc-557c8dfa0829.jpg","open")</f>
        <v/>
      </c>
      <c r="C5962" t="inlineStr">
        <is>
          <t>8cde1fd0-eca1-4510-86ab-3c743b65fdfc</t>
        </is>
      </c>
      <c r="D5962" t="n">
        <v>55.87729</v>
      </c>
      <c r="E5962" t="n">
        <v>37.51392</v>
      </c>
      <c r="F5962" t="inlineStr"/>
      <c r="G5962" t="inlineStr"/>
      <c r="H5962" t="inlineStr"/>
    </row>
    <row r="5963">
      <c r="A5963" t="inlineStr">
        <is>
          <t>5f4e142a-1ab0-4caf-be1b-5b7c5043ee03.jpg</t>
        </is>
      </c>
      <c r="B5963">
        <f>HYPERLINK("Объекты недвижимости, не соответствующие градостроительным нормам_00-022_Август/5f4e142a-1ab0-4caf-be1b-5b7c5043ee03.jpg","open")</f>
        <v/>
      </c>
      <c r="C5963" t="inlineStr">
        <is>
          <t>61936922-4d4b-458e-80ea-6d4c450aa1d5</t>
        </is>
      </c>
      <c r="D5963" t="n">
        <v>55.65604</v>
      </c>
      <c r="E5963" t="n">
        <v>37.40251</v>
      </c>
      <c r="F5963" t="inlineStr"/>
      <c r="G5963" t="inlineStr"/>
      <c r="H5963" t="inlineStr"/>
    </row>
    <row r="5964">
      <c r="A5964" t="inlineStr">
        <is>
          <t>72e58daf-8179-464d-b675-91e7eaa74931.jpg</t>
        </is>
      </c>
      <c r="B5964">
        <f>HYPERLINK("Объекты недвижимости, не соответствующие градостроительным нормам_00-022_Август/72e58daf-8179-464d-b675-91e7eaa74931.jpg","open")</f>
        <v/>
      </c>
      <c r="C5964" t="inlineStr">
        <is>
          <t>ed2bf0f1-3a66-4913-896e-4420a9796c0b</t>
        </is>
      </c>
      <c r="D5964" t="n">
        <v>55.42872</v>
      </c>
      <c r="E5964" t="n">
        <v>37.27383</v>
      </c>
      <c r="F5964" t="inlineStr"/>
      <c r="G5964" t="inlineStr"/>
      <c r="H5964" t="inlineStr"/>
    </row>
    <row r="5965">
      <c r="A5965" t="inlineStr">
        <is>
          <t>d83ea211-95c1-4d95-a684-b0ba19d8d104.jpg</t>
        </is>
      </c>
      <c r="B5965">
        <f>HYPERLINK("Объекты недвижимости, не соответствующие градостроительным нормам_00-022_Август/d83ea211-95c1-4d95-a684-b0ba19d8d104.jpg","open")</f>
        <v/>
      </c>
      <c r="C5965" t="inlineStr">
        <is>
          <t>685d9054-b74f-49ab-857b-109fd2cec80d</t>
        </is>
      </c>
      <c r="D5965" t="n">
        <v>55.56507</v>
      </c>
      <c r="E5965" t="n">
        <v>37.56768</v>
      </c>
      <c r="F5965" t="inlineStr"/>
      <c r="G5965" t="inlineStr"/>
      <c r="H5965" t="inlineStr"/>
    </row>
    <row r="5966">
      <c r="A5966" t="inlineStr">
        <is>
          <t>d6c3ff99-07bd-4a44-953a-deff44be5def.jpg</t>
        </is>
      </c>
      <c r="B5966">
        <f>HYPERLINK("Объекты недвижимости, не соответствующие градостроительным нормам_00-022_Август/d6c3ff99-07bd-4a44-953a-deff44be5def.jpg","open")</f>
        <v/>
      </c>
      <c r="C5966" t="inlineStr">
        <is>
          <t>8cde1fd0-eca1-4510-86ab-3c743b65fdfc</t>
        </is>
      </c>
      <c r="D5966" t="n">
        <v>55.87532</v>
      </c>
      <c r="E5966" t="n">
        <v>37.51146</v>
      </c>
      <c r="F5966" t="inlineStr"/>
      <c r="G5966" t="inlineStr"/>
      <c r="H5966" t="inlineStr"/>
    </row>
    <row r="5967">
      <c r="A5967" t="inlineStr">
        <is>
          <t>467f99cc-e6a4-4221-af81-2db6f75552f1.jpg</t>
        </is>
      </c>
      <c r="B5967">
        <f>HYPERLINK("Объекты недвижимости, не соответствующие градостроительным нормам_00-022_Август/467f99cc-e6a4-4221-af81-2db6f75552f1.jpg","open")</f>
        <v/>
      </c>
      <c r="C5967" t="inlineStr">
        <is>
          <t>1c951e11-4940-43c6-a447-394097e5609a</t>
        </is>
      </c>
      <c r="D5967" t="n">
        <v>55.87569</v>
      </c>
      <c r="E5967" t="n">
        <v>37.50947</v>
      </c>
      <c r="F5967" t="inlineStr"/>
      <c r="G5967" t="inlineStr"/>
      <c r="H5967" t="inlineStr"/>
    </row>
    <row r="5968">
      <c r="A5968" t="inlineStr">
        <is>
          <t>454e0853-1008-4ec2-adb5-cec83173da3e.jpg</t>
        </is>
      </c>
      <c r="B5968">
        <f>HYPERLINK("Объекты недвижимости, не соответствующие градостроительным нормам_00-022_Август/454e0853-1008-4ec2-adb5-cec83173da3e.jpg","open")</f>
        <v/>
      </c>
      <c r="C5968" t="inlineStr">
        <is>
          <t>8cde1fd0-eca1-4510-86ab-3c743b65fdfc</t>
        </is>
      </c>
      <c r="D5968" t="n">
        <v>55.8758</v>
      </c>
      <c r="E5968" t="n">
        <v>37.50926</v>
      </c>
      <c r="F5968" t="inlineStr"/>
      <c r="G5968" t="inlineStr"/>
      <c r="H5968" t="inlineStr"/>
    </row>
    <row r="5969">
      <c r="A5969" t="inlineStr">
        <is>
          <t>6c021e2a-41bc-411b-9562-71ef1c37f485.jpg</t>
        </is>
      </c>
      <c r="B5969">
        <f>HYPERLINK("Объекты недвижимости, не соответствующие градостроительным нормам_00-022_Август/6c021e2a-41bc-411b-9562-71ef1c37f485.jpg","open")</f>
        <v/>
      </c>
      <c r="C5969" t="inlineStr">
        <is>
          <t>e26f5fc2-1353-4f29-85f3-87c56419161c</t>
        </is>
      </c>
      <c r="D5969" t="n">
        <v>55.74126</v>
      </c>
      <c r="E5969" t="n">
        <v>37.53395</v>
      </c>
      <c r="F5969" t="inlineStr"/>
      <c r="G5969" t="inlineStr"/>
      <c r="H5969" t="inlineStr"/>
    </row>
    <row r="5970">
      <c r="A5970" t="inlineStr">
        <is>
          <t>c5ab7f4a-8b7f-48f0-82b9-76690f92a1a4.jpg</t>
        </is>
      </c>
      <c r="B5970">
        <f>HYPERLINK("Объекты недвижимости, не соответствующие градостроительным нормам_00-022_Август/c5ab7f4a-8b7f-48f0-82b9-76690f92a1a4.jpg","open")</f>
        <v/>
      </c>
      <c r="C5970" t="inlineStr">
        <is>
          <t>9fb3d110-951f-48da-9d90-cfd7e1b5800d</t>
        </is>
      </c>
      <c r="D5970" t="n">
        <v>55.65513</v>
      </c>
      <c r="E5970" t="n">
        <v>37.40395</v>
      </c>
      <c r="F5970" t="inlineStr"/>
      <c r="G5970" t="inlineStr"/>
      <c r="H5970" t="inlineStr"/>
    </row>
    <row r="5971">
      <c r="A5971" t="inlineStr">
        <is>
          <t>d90ad5c8-67b8-4823-a1d6-26c223083f88.jpg</t>
        </is>
      </c>
      <c r="B5971">
        <f>HYPERLINK("Объекты недвижимости, не соответствующие градостроительным нормам_00-022_Август/d90ad5c8-67b8-4823-a1d6-26c223083f88.jpg","open")</f>
        <v/>
      </c>
      <c r="C5971" t="inlineStr">
        <is>
          <t>61936922-4d4b-458e-80ea-6d4c450aa1d5</t>
        </is>
      </c>
      <c r="D5971" t="n">
        <v>55.65511</v>
      </c>
      <c r="E5971" t="n">
        <v>37.40396</v>
      </c>
      <c r="F5971" t="inlineStr"/>
      <c r="G5971" t="inlineStr"/>
      <c r="H5971" t="inlineStr"/>
    </row>
    <row r="5972">
      <c r="A5972" t="inlineStr">
        <is>
          <t>2417f530-a372-49b5-94f7-fe1744738fc2.jpg</t>
        </is>
      </c>
      <c r="B5972">
        <f>HYPERLINK("Объекты недвижимости, не соответствующие градостроительным нормам_00-022_Август/2417f530-a372-49b5-94f7-fe1744738fc2.jpg","open")</f>
        <v/>
      </c>
      <c r="C5972" t="inlineStr">
        <is>
          <t>1231bbc5-e64c-4dc7-9acc-77710f47607a</t>
        </is>
      </c>
      <c r="D5972" t="n">
        <v>55.56677</v>
      </c>
      <c r="E5972" t="n">
        <v>37.56703</v>
      </c>
      <c r="F5972" t="inlineStr"/>
      <c r="G5972" t="inlineStr"/>
      <c r="H5972" t="inlineStr"/>
    </row>
    <row r="5973">
      <c r="A5973" t="inlineStr">
        <is>
          <t>25ce277d-776b-4663-8d4a-e11e826599e4.jpg</t>
        </is>
      </c>
      <c r="B5973">
        <f>HYPERLINK("Объекты недвижимости, не соответствующие градостроительным нормам_00-022_Август/25ce277d-776b-4663-8d4a-e11e826599e4.jpg","open")</f>
        <v/>
      </c>
      <c r="C5973" t="inlineStr">
        <is>
          <t>cb4060b2-34d3-44a4-9f60-115fb1e9278e</t>
        </is>
      </c>
      <c r="D5973" t="n">
        <v>55.71985</v>
      </c>
      <c r="E5973" t="n">
        <v>37.42404</v>
      </c>
      <c r="F5973" t="inlineStr"/>
      <c r="G5973" t="inlineStr"/>
      <c r="H5973" t="inlineStr"/>
    </row>
    <row r="5974">
      <c r="A5974" t="inlineStr">
        <is>
          <t>508a584b-ae91-4dd7-88f6-9d60267e5dd9.jpg</t>
        </is>
      </c>
      <c r="B5974">
        <f>HYPERLINK("Объекты недвижимости, не соответствующие градостроительным нормам_00-022_Август/508a584b-ae91-4dd7-88f6-9d60267e5dd9.jpg","open")</f>
        <v/>
      </c>
      <c r="C5974" t="inlineStr">
        <is>
          <t>1231bbc5-e64c-4dc7-9acc-77710f47607a</t>
        </is>
      </c>
      <c r="D5974" t="n">
        <v>55.567</v>
      </c>
      <c r="E5974" t="n">
        <v>37.56499</v>
      </c>
      <c r="F5974" t="inlineStr"/>
      <c r="G5974" t="inlineStr"/>
      <c r="H5974" t="inlineStr"/>
    </row>
    <row r="5975">
      <c r="A5975" t="inlineStr">
        <is>
          <t>0bceae85-b0ca-4d1f-95d1-610714abc85d.jpg</t>
        </is>
      </c>
      <c r="B5975">
        <f>HYPERLINK("Объекты недвижимости, не соответствующие градостроительным нормам_00-022_Август/0bceae85-b0ca-4d1f-95d1-610714abc85d.jpg","open")</f>
        <v/>
      </c>
      <c r="C5975" t="inlineStr">
        <is>
          <t>18a5c468-d9e6-4814-8477-1caf4a2e1fe9</t>
        </is>
      </c>
      <c r="D5975" t="n">
        <v>45.052</v>
      </c>
      <c r="E5975" t="n">
        <v>33.98193</v>
      </c>
      <c r="F5975" t="inlineStr"/>
      <c r="G5975" t="inlineStr"/>
      <c r="H5975" t="inlineStr"/>
    </row>
    <row r="5976">
      <c r="A5976" t="inlineStr">
        <is>
          <t>d0c2f31a-f169-4de6-8625-f8b146b6f1f0.jpg</t>
        </is>
      </c>
      <c r="B5976">
        <f>HYPERLINK("Объекты недвижимости, не соответствующие градостроительным нормам_00-022_Август/d0c2f31a-f169-4de6-8625-f8b146b6f1f0.jpg","open")</f>
        <v/>
      </c>
      <c r="C5976" t="inlineStr">
        <is>
          <t>685d9054-b74f-49ab-857b-109fd2cec80d</t>
        </is>
      </c>
      <c r="D5976" t="n">
        <v>55.56699</v>
      </c>
      <c r="E5976" t="n">
        <v>37.56499</v>
      </c>
      <c r="F5976" t="inlineStr"/>
      <c r="G5976" t="inlineStr"/>
      <c r="H5976" t="inlineStr"/>
    </row>
    <row r="5977">
      <c r="A5977" t="inlineStr">
        <is>
          <t>c515cc91-28ac-46ba-b69c-fa664d104ca7.jpg</t>
        </is>
      </c>
      <c r="B5977">
        <f>HYPERLINK("Объекты недвижимости, не соответствующие градостроительным нормам_00-022_Август/c515cc91-28ac-46ba-b69c-fa664d104ca7.jpg","open")</f>
        <v/>
      </c>
      <c r="C5977" t="inlineStr">
        <is>
          <t>6e2567a0-1fb9-40d5-a0e7-0adb480d2965</t>
        </is>
      </c>
      <c r="D5977" t="n">
        <v>55.71972</v>
      </c>
      <c r="E5977" t="n">
        <v>37.42402</v>
      </c>
      <c r="F5977" t="inlineStr"/>
      <c r="G5977" t="inlineStr"/>
      <c r="H5977" t="inlineStr"/>
    </row>
    <row r="5978">
      <c r="A5978" t="inlineStr">
        <is>
          <t>7d4935d0-2c1b-4622-854e-b8d59915922c.jpg</t>
        </is>
      </c>
      <c r="B5978">
        <f>HYPERLINK("Объекты недвижимости, не соответствующие градостроительным нормам_00-022_Август/7d4935d0-2c1b-4622-854e-b8d59915922c.jpg","open")</f>
        <v/>
      </c>
      <c r="C5978" t="inlineStr">
        <is>
          <t>036c664f-5408-4fd0-b479-342c00468eeb</t>
        </is>
      </c>
      <c r="D5978" t="n">
        <v>55.64682</v>
      </c>
      <c r="E5978" t="n">
        <v>37.33925</v>
      </c>
      <c r="F5978" t="inlineStr"/>
      <c r="G5978" t="inlineStr"/>
      <c r="H5978" t="inlineStr"/>
    </row>
    <row r="5979">
      <c r="A5979" t="inlineStr">
        <is>
          <t>f105d523-6918-41db-a760-90e1999967c7.jpg</t>
        </is>
      </c>
      <c r="B5979">
        <f>HYPERLINK("Объекты недвижимости, не соответствующие градостроительным нормам_00-022_Август/f105d523-6918-41db-a760-90e1999967c7.jpg","open")</f>
        <v/>
      </c>
      <c r="C5979" t="inlineStr">
        <is>
          <t>8cde1fd0-eca1-4510-86ab-3c743b65fdfc</t>
        </is>
      </c>
      <c r="D5979" t="n">
        <v>55.88501</v>
      </c>
      <c r="E5979" t="n">
        <v>37.51297</v>
      </c>
      <c r="F5979" t="inlineStr"/>
      <c r="G5979" t="inlineStr"/>
      <c r="H5979" t="inlineStr"/>
    </row>
    <row r="5980">
      <c r="A5980" t="inlineStr">
        <is>
          <t>1f5ac6a4-bfe5-4c66-9180-603fa833985e.jpg</t>
        </is>
      </c>
      <c r="B5980">
        <f>HYPERLINK("Объекты недвижимости, не соответствующие градостроительным нормам_00-022_Август/1f5ac6a4-bfe5-4c66-9180-603fa833985e.jpg","open")</f>
        <v/>
      </c>
      <c r="C5980" t="inlineStr">
        <is>
          <t>1c951e11-4940-43c6-a447-394097e5609a</t>
        </is>
      </c>
      <c r="D5980" t="n">
        <v>55.88502</v>
      </c>
      <c r="E5980" t="n">
        <v>37.51301</v>
      </c>
      <c r="F5980" t="inlineStr"/>
      <c r="G5980" t="inlineStr"/>
      <c r="H5980" t="inlineStr"/>
    </row>
    <row r="5981">
      <c r="A5981" t="inlineStr">
        <is>
          <t>5214d6bd-eb23-430c-8a78-97e589114080.jpg</t>
        </is>
      </c>
      <c r="B5981">
        <f>HYPERLINK("Объекты недвижимости, не соответствующие градостроительным нормам_00-022_Август/5214d6bd-eb23-430c-8a78-97e589114080.jpg","open")</f>
        <v/>
      </c>
      <c r="C5981" t="inlineStr">
        <is>
          <t>8cde1fd0-eca1-4510-86ab-3c743b65fdfc</t>
        </is>
      </c>
      <c r="D5981" t="n">
        <v>55.88499</v>
      </c>
      <c r="E5981" t="n">
        <v>37.51281</v>
      </c>
      <c r="F5981" t="inlineStr"/>
      <c r="G5981" t="inlineStr"/>
      <c r="H5981" t="inlineStr"/>
    </row>
    <row r="5982">
      <c r="A5982" t="inlineStr">
        <is>
          <t>a23c5856-a2f5-480b-91c1-11206f250ca3.jpg</t>
        </is>
      </c>
      <c r="B5982">
        <f>HYPERLINK("Объекты недвижимости, не соответствующие градостроительным нормам_00-022_Август/a23c5856-a2f5-480b-91c1-11206f250ca3.jpg","open")</f>
        <v/>
      </c>
      <c r="C5982" t="inlineStr">
        <is>
          <t>1c951e11-4940-43c6-a447-394097e5609a</t>
        </is>
      </c>
      <c r="D5982" t="n">
        <v>55.88504</v>
      </c>
      <c r="E5982" t="n">
        <v>37.51323</v>
      </c>
      <c r="F5982" t="inlineStr"/>
      <c r="G5982" t="inlineStr"/>
      <c r="H5982" t="inlineStr"/>
    </row>
    <row r="5983">
      <c r="A5983" t="inlineStr">
        <is>
          <t>d57347b8-6ca1-4265-9dba-b36bb8b9f9fd.jpg</t>
        </is>
      </c>
      <c r="B5983">
        <f>HYPERLINK("Объекты недвижимости, не соответствующие градостроительным нормам_00-022_Август/d57347b8-6ca1-4265-9dba-b36bb8b9f9fd.jpg","open")</f>
        <v/>
      </c>
      <c r="C5983" t="inlineStr">
        <is>
          <t>f20fbc2b-b369-4734-bb66-92af02fbb0d1</t>
        </is>
      </c>
      <c r="D5983" t="n">
        <v>55.72474</v>
      </c>
      <c r="E5983" t="n">
        <v>37.66989</v>
      </c>
      <c r="F5983" t="inlineStr"/>
      <c r="G5983" t="inlineStr"/>
      <c r="H5983" t="inlineStr"/>
    </row>
    <row r="5984">
      <c r="A5984" t="inlineStr">
        <is>
          <t>0249c8d6-1edd-4f31-8f26-8e19e6069ae5.jpg</t>
        </is>
      </c>
      <c r="B5984">
        <f>HYPERLINK("Объекты недвижимости, не соответствующие градостроительным нормам_00-022_Август/0249c8d6-1edd-4f31-8f26-8e19e6069ae5.jpg","open")</f>
        <v/>
      </c>
      <c r="C5984" t="inlineStr">
        <is>
          <t>8cde1fd0-eca1-4510-86ab-3c743b65fdfc</t>
        </is>
      </c>
      <c r="D5984" t="n">
        <v>55.88361</v>
      </c>
      <c r="E5984" t="n">
        <v>37.51763</v>
      </c>
      <c r="F5984" t="inlineStr"/>
      <c r="G5984" t="inlineStr"/>
      <c r="H5984" t="inlineStr"/>
    </row>
    <row r="5985">
      <c r="A5985" t="inlineStr">
        <is>
          <t>a61f3627-d26c-4ca7-b6a8-009c6bd5a53c.jpg</t>
        </is>
      </c>
      <c r="B5985">
        <f>HYPERLINK("Объекты недвижимости, не соответствующие градостроительным нормам_00-022_Август/a61f3627-d26c-4ca7-b6a8-009c6bd5a53c.jpg","open")</f>
        <v/>
      </c>
      <c r="C5985" t="inlineStr">
        <is>
          <t>50e4626c-a80e-42ab-b999-b5092c2c063f</t>
        </is>
      </c>
      <c r="D5985" t="n">
        <v>55.84731</v>
      </c>
      <c r="E5985" t="n">
        <v>37.61138</v>
      </c>
      <c r="F5985" t="inlineStr"/>
      <c r="G5985" t="inlineStr"/>
      <c r="H5985" t="inlineStr"/>
    </row>
    <row r="5986">
      <c r="A5986" t="inlineStr">
        <is>
          <t>8513375e-24c0-44ea-a878-e896eac09186.jpg</t>
        </is>
      </c>
      <c r="B5986">
        <f>HYPERLINK("Объекты недвижимости, не соответствующие градостроительным нормам_00-022_Август/8513375e-24c0-44ea-a878-e896eac09186.jpg","open")</f>
        <v/>
      </c>
      <c r="C5986" t="inlineStr">
        <is>
          <t>50e4626c-a80e-42ab-b999-b5092c2c063f</t>
        </is>
      </c>
      <c r="D5986" t="n">
        <v>55.84637</v>
      </c>
      <c r="E5986" t="n">
        <v>37.6414</v>
      </c>
      <c r="F5986" t="inlineStr"/>
      <c r="G5986" t="inlineStr"/>
      <c r="H5986" t="inlineStr"/>
    </row>
    <row r="5987">
      <c r="A5987" t="inlineStr">
        <is>
          <t>9a7525cf-0685-4253-8ebe-97a6c13944b9.jpg</t>
        </is>
      </c>
      <c r="B5987">
        <f>HYPERLINK("Объекты недвижимости, не соответствующие градостроительным нормам_00-022_Август/9a7525cf-0685-4253-8ebe-97a6c13944b9.jpg","open")</f>
        <v/>
      </c>
      <c r="C5987" t="inlineStr">
        <is>
          <t>b0b7ea82-53be-40d0-b992-e2fd18611d5c</t>
        </is>
      </c>
      <c r="D5987" t="n">
        <v>55.72474</v>
      </c>
      <c r="E5987" t="n">
        <v>37.66989</v>
      </c>
      <c r="F5987" t="inlineStr"/>
      <c r="G5987" t="inlineStr"/>
      <c r="H5987" t="inlineStr"/>
    </row>
    <row r="5988">
      <c r="A5988" t="inlineStr">
        <is>
          <t>3a2509c8-d2e7-44aa-b042-717ff0573931.jpg</t>
        </is>
      </c>
      <c r="B5988">
        <f>HYPERLINK("Объекты недвижимости, не соответствующие градостроительным нормам_00-022_Август/3a2509c8-d2e7-44aa-b042-717ff0573931.jpg","open")</f>
        <v/>
      </c>
      <c r="C5988" t="inlineStr">
        <is>
          <t>f20fbc2b-b369-4734-bb66-92af02fbb0d1</t>
        </is>
      </c>
      <c r="D5988" t="n">
        <v>55.72474</v>
      </c>
      <c r="E5988" t="n">
        <v>37.66989</v>
      </c>
      <c r="F5988" t="inlineStr"/>
      <c r="G5988" t="inlineStr"/>
      <c r="H5988" t="inlineStr"/>
    </row>
    <row r="5989">
      <c r="A5989" t="inlineStr">
        <is>
          <t>4882a6e4-0862-407c-af76-69a929808d36.jpg</t>
        </is>
      </c>
      <c r="B5989">
        <f>HYPERLINK("Объекты недвижимости, не соответствующие градостроительным нормам_00-022_Август/4882a6e4-0862-407c-af76-69a929808d36.jpg","open")</f>
        <v/>
      </c>
      <c r="C5989" t="inlineStr">
        <is>
          <t>18a5c468-d9e6-4814-8477-1caf4a2e1fe9</t>
        </is>
      </c>
      <c r="D5989" t="n">
        <v>45.052</v>
      </c>
      <c r="E5989" t="n">
        <v>33.98193</v>
      </c>
      <c r="F5989" t="inlineStr"/>
      <c r="G5989" t="inlineStr"/>
      <c r="H5989" t="inlineStr"/>
    </row>
    <row r="5990">
      <c r="A5990" t="inlineStr">
        <is>
          <t>d664e186-74b3-4506-b09c-0d9a1ee1ceba.jpg</t>
        </is>
      </c>
      <c r="B5990">
        <f>HYPERLINK("Объекты недвижимости, не соответствующие градостроительным нормам_00-022_Август/d664e186-74b3-4506-b09c-0d9a1ee1ceba.jpg","open")</f>
        <v/>
      </c>
      <c r="C5990" t="inlineStr">
        <is>
          <t>18a5c468-d9e6-4814-8477-1caf4a2e1fe9</t>
        </is>
      </c>
      <c r="D5990" t="n">
        <v>45.052</v>
      </c>
      <c r="E5990" t="n">
        <v>33.98193</v>
      </c>
      <c r="F5990" t="inlineStr"/>
      <c r="G5990" t="inlineStr"/>
      <c r="H5990" t="inlineStr"/>
    </row>
    <row r="5991">
      <c r="A5991" t="inlineStr">
        <is>
          <t>ab9c95cd-41d3-4cc0-8704-89e34570062c.jpg</t>
        </is>
      </c>
      <c r="B5991">
        <f>HYPERLINK("Объекты недвижимости, не соответствующие градостроительным нормам_00-022_Август/ab9c95cd-41d3-4cc0-8704-89e34570062c.jpg","open")</f>
        <v/>
      </c>
      <c r="C5991" t="inlineStr">
        <is>
          <t>18a5c468-d9e6-4814-8477-1caf4a2e1fe9</t>
        </is>
      </c>
      <c r="D5991" t="n">
        <v>45.052</v>
      </c>
      <c r="E5991" t="n">
        <v>33.98193</v>
      </c>
      <c r="F5991" t="inlineStr"/>
      <c r="G5991" t="inlineStr"/>
      <c r="H5991" t="inlineStr"/>
    </row>
    <row r="5992">
      <c r="A5992" t="inlineStr">
        <is>
          <t>c8280002-d0f6-4655-a90e-0248dea1a540.jpg</t>
        </is>
      </c>
      <c r="B5992">
        <f>HYPERLINK("Объекты недвижимости, не соответствующие градостроительным нормам_00-022_Август/c8280002-d0f6-4655-a90e-0248dea1a540.jpg","open")</f>
        <v/>
      </c>
      <c r="C5992" t="inlineStr">
        <is>
          <t>18a5c468-d9e6-4814-8477-1caf4a2e1fe9</t>
        </is>
      </c>
      <c r="D5992" t="n">
        <v>45.052</v>
      </c>
      <c r="E5992" t="n">
        <v>33.98193</v>
      </c>
      <c r="F5992" t="inlineStr"/>
      <c r="G5992" t="inlineStr"/>
      <c r="H5992" t="inlineStr"/>
    </row>
    <row r="5993">
      <c r="A5993" t="inlineStr">
        <is>
          <t>e03701e6-8d46-440a-b3e1-7af8750de4f1.jpg</t>
        </is>
      </c>
      <c r="B5993">
        <f>HYPERLINK("Объекты недвижимости, не соответствующие градостроительным нормам_00-022_Август/e03701e6-8d46-440a-b3e1-7af8750de4f1.jpg","open")</f>
        <v/>
      </c>
      <c r="C5993" t="inlineStr">
        <is>
          <t>18a5c468-d9e6-4814-8477-1caf4a2e1fe9</t>
        </is>
      </c>
      <c r="D5993" t="n">
        <v>45.052</v>
      </c>
      <c r="E5993" t="n">
        <v>33.98193</v>
      </c>
      <c r="F5993" t="inlineStr"/>
      <c r="G5993" t="inlineStr"/>
      <c r="H5993" t="inlineStr"/>
    </row>
    <row r="5994">
      <c r="A5994" t="inlineStr">
        <is>
          <t>6d159b21-0b9b-47c0-85b8-0d92c9101a3a.jpg</t>
        </is>
      </c>
      <c r="B5994">
        <f>HYPERLINK("Объекты недвижимости, не соответствующие градостроительным нормам_00-022_Август/6d159b21-0b9b-47c0-85b8-0d92c9101a3a.jpg","open")</f>
        <v/>
      </c>
      <c r="C5994" t="inlineStr">
        <is>
          <t>18a5c468-d9e6-4814-8477-1caf4a2e1fe9</t>
        </is>
      </c>
      <c r="D5994" t="n">
        <v>45.052</v>
      </c>
      <c r="E5994" t="n">
        <v>33.98193</v>
      </c>
      <c r="F5994" t="inlineStr"/>
      <c r="G5994" t="inlineStr"/>
      <c r="H5994" t="inlineStr"/>
    </row>
    <row r="5995">
      <c r="A5995" t="inlineStr">
        <is>
          <t>6d3480bb-bc6d-4179-ad4a-e4be33c50c07.jpg</t>
        </is>
      </c>
      <c r="B5995">
        <f>HYPERLINK("Объекты недвижимости, не соответствующие градостроительным нормам_00-022_Август/6d3480bb-bc6d-4179-ad4a-e4be33c50c07.jpg","open")</f>
        <v/>
      </c>
      <c r="C5995" t="inlineStr">
        <is>
          <t>18a5c468-d9e6-4814-8477-1caf4a2e1fe9</t>
        </is>
      </c>
      <c r="D5995" t="n">
        <v>45.052</v>
      </c>
      <c r="E5995" t="n">
        <v>33.98193</v>
      </c>
      <c r="F5995" t="inlineStr"/>
      <c r="G5995" t="inlineStr"/>
      <c r="H5995" t="inlineStr"/>
    </row>
    <row r="5996">
      <c r="A5996" t="inlineStr">
        <is>
          <t>5f1b1bea-e011-4e77-adbb-a80bbaf40fcc.jpg</t>
        </is>
      </c>
      <c r="B5996">
        <f>HYPERLINK("Объекты недвижимости, не соответствующие градостроительным нормам_00-022_Август/5f1b1bea-e011-4e77-adbb-a80bbaf40fcc.jpg","open")</f>
        <v/>
      </c>
      <c r="C5996" t="inlineStr">
        <is>
          <t>18a5c468-d9e6-4814-8477-1caf4a2e1fe9</t>
        </is>
      </c>
      <c r="D5996" t="n">
        <v>45.052</v>
      </c>
      <c r="E5996" t="n">
        <v>33.98193</v>
      </c>
      <c r="F5996" t="inlineStr"/>
      <c r="G5996" t="inlineStr"/>
      <c r="H5996" t="inlineStr"/>
    </row>
    <row r="5997">
      <c r="A5997" t="inlineStr">
        <is>
          <t>0c678b19-6a80-4cbf-988f-a9bdeaf02fb9.jpg</t>
        </is>
      </c>
      <c r="B5997">
        <f>HYPERLINK("Объекты недвижимости, не соответствующие градостроительным нормам_00-022_Август/0c678b19-6a80-4cbf-988f-a9bdeaf02fb9.jpg","open")</f>
        <v/>
      </c>
      <c r="C5997" t="inlineStr">
        <is>
          <t>d2c4eccd-3e4b-406c-a903-0f5e43d0be35</t>
        </is>
      </c>
      <c r="D5997" t="n">
        <v>45.052</v>
      </c>
      <c r="E5997" t="n">
        <v>33.98193</v>
      </c>
      <c r="F5997" t="inlineStr"/>
      <c r="G5997" t="inlineStr"/>
      <c r="H5997" t="inlineStr"/>
    </row>
    <row r="5998">
      <c r="A5998" t="inlineStr">
        <is>
          <t>30d3edec-f0d1-49f3-a38c-6135e0c3803f.jpg</t>
        </is>
      </c>
      <c r="B5998">
        <f>HYPERLINK("Объекты недвижимости, не соответствующие градостроительным нормам_00-022_Август/30d3edec-f0d1-49f3-a38c-6135e0c3803f.jpg","open")</f>
        <v/>
      </c>
      <c r="C5998" t="inlineStr">
        <is>
          <t>18a5c468-d9e6-4814-8477-1caf4a2e1fe9</t>
        </is>
      </c>
      <c r="D5998" t="n">
        <v>45.052</v>
      </c>
      <c r="E5998" t="n">
        <v>33.98193</v>
      </c>
      <c r="F5998" t="inlineStr"/>
      <c r="G5998" t="inlineStr"/>
      <c r="H5998" t="inlineStr"/>
    </row>
    <row r="5999">
      <c r="A5999" t="inlineStr">
        <is>
          <t>665ef43a-fae4-4e51-bca4-e94787c9e0c8.jpg</t>
        </is>
      </c>
      <c r="B5999">
        <f>HYPERLINK("Объекты недвижимости, не соответствующие градостроительным нормам_00-022_Август/665ef43a-fae4-4e51-bca4-e94787c9e0c8.jpg","open")</f>
        <v/>
      </c>
      <c r="C5999" t="inlineStr">
        <is>
          <t>d2c4eccd-3e4b-406c-a903-0f5e43d0be35</t>
        </is>
      </c>
      <c r="D5999" t="n">
        <v>45.052</v>
      </c>
      <c r="E5999" t="n">
        <v>33.98193</v>
      </c>
      <c r="F5999" t="inlineStr"/>
      <c r="G5999" t="inlineStr"/>
      <c r="H5999" t="inlineStr"/>
    </row>
    <row r="6000">
      <c r="A6000" t="inlineStr">
        <is>
          <t>96507bdd-8315-4437-ad58-b48399e71fa9.jpg</t>
        </is>
      </c>
      <c r="B6000">
        <f>HYPERLINK("Объекты недвижимости, не соответствующие градостроительным нормам_00-022_Август/96507bdd-8315-4437-ad58-b48399e71fa9.jpg","open")</f>
        <v/>
      </c>
      <c r="C6000" t="inlineStr">
        <is>
          <t>61936922-4d4b-458e-80ea-6d4c450aa1d5</t>
        </is>
      </c>
      <c r="D6000" t="n">
        <v>55.65376</v>
      </c>
      <c r="E6000" t="n">
        <v>37.40583</v>
      </c>
      <c r="F6000" t="inlineStr"/>
      <c r="G6000" t="inlineStr"/>
      <c r="H6000" t="inlineStr"/>
    </row>
    <row r="6001">
      <c r="A6001" t="inlineStr">
        <is>
          <t>152c65fe-7f19-48a5-907e-04b8e639d913.jpg</t>
        </is>
      </c>
      <c r="B6001">
        <f>HYPERLINK("Объекты недвижимости, не соответствующие градостроительным нормам_00-022_Август/152c65fe-7f19-48a5-907e-04b8e639d913.jpg","open")</f>
        <v/>
      </c>
      <c r="C6001" t="inlineStr">
        <is>
          <t>1231bbc5-e64c-4dc7-9acc-77710f47607a</t>
        </is>
      </c>
      <c r="D6001" t="n">
        <v>55.5672</v>
      </c>
      <c r="E6001" t="n">
        <v>37.56287</v>
      </c>
      <c r="F6001" t="inlineStr"/>
      <c r="G6001" t="inlineStr"/>
      <c r="H6001" t="inlineStr"/>
    </row>
    <row r="6002">
      <c r="A6002" t="inlineStr">
        <is>
          <t>ce8cbbe7-c895-4d4c-a52a-78d2fb7bf573.jpg</t>
        </is>
      </c>
      <c r="B6002">
        <f>HYPERLINK("Объекты недвижимости, не соответствующие градостроительным нормам_00-022_Август/ce8cbbe7-c895-4d4c-a52a-78d2fb7bf573.jpg","open")</f>
        <v/>
      </c>
      <c r="C6002" t="inlineStr">
        <is>
          <t>b0b7ea82-53be-40d0-b992-e2fd18611d5c</t>
        </is>
      </c>
      <c r="D6002" t="n">
        <v>55.72474</v>
      </c>
      <c r="E6002" t="n">
        <v>37.66989</v>
      </c>
      <c r="F6002" t="inlineStr"/>
      <c r="G6002" t="inlineStr"/>
      <c r="H6002" t="inlineStr"/>
    </row>
    <row r="6003">
      <c r="A6003" t="inlineStr">
        <is>
          <t>26e917ef-9f64-4446-91ad-a71fff0d4e7a.jpg</t>
        </is>
      </c>
      <c r="B6003">
        <f>HYPERLINK("Объекты недвижимости, не соответствующие градостроительным нормам_00-022_Август/26e917ef-9f64-4446-91ad-a71fff0d4e7a.jpg","open")</f>
        <v/>
      </c>
      <c r="C6003" t="inlineStr">
        <is>
          <t>036c664f-5408-4fd0-b479-342c00468eeb</t>
        </is>
      </c>
      <c r="D6003" t="n">
        <v>55.65359</v>
      </c>
      <c r="E6003" t="n">
        <v>37.34578</v>
      </c>
      <c r="F6003" t="inlineStr"/>
      <c r="G6003" t="inlineStr"/>
      <c r="H6003" t="inlineStr"/>
    </row>
    <row r="6004">
      <c r="A6004" t="inlineStr">
        <is>
          <t>6d7b66af-129f-4070-b23c-8d3103781a95.jpg</t>
        </is>
      </c>
      <c r="B6004">
        <f>HYPERLINK("Объекты недвижимости, не соответствующие градостроительным нормам_00-022_Август/6d7b66af-129f-4070-b23c-8d3103781a95.jpg","open")</f>
        <v/>
      </c>
      <c r="C6004" t="inlineStr">
        <is>
          <t>d2c4eccd-3e4b-406c-a903-0f5e43d0be35</t>
        </is>
      </c>
      <c r="D6004" t="n">
        <v>45.052</v>
      </c>
      <c r="E6004" t="n">
        <v>33.98193</v>
      </c>
      <c r="F6004" t="inlineStr"/>
      <c r="G6004" t="inlineStr"/>
      <c r="H6004" t="inlineStr"/>
    </row>
    <row r="6005">
      <c r="A6005" t="inlineStr">
        <is>
          <t>21fa4c99-3223-48c2-b8f6-b688ce1bc138.jpg</t>
        </is>
      </c>
      <c r="B6005">
        <f>HYPERLINK("Объекты недвижимости, не соответствующие градостроительным нормам_00-022_Август/21fa4c99-3223-48c2-b8f6-b688ce1bc138.jpg","open")</f>
        <v/>
      </c>
      <c r="C6005" t="inlineStr">
        <is>
          <t>2acfb2da-e3f6-464c-bd17-4b713522c142</t>
        </is>
      </c>
      <c r="D6005" t="n">
        <v>55.86665</v>
      </c>
      <c r="E6005" t="n">
        <v>37.61583</v>
      </c>
      <c r="F6005" t="inlineStr"/>
      <c r="G6005" t="inlineStr"/>
      <c r="H6005" t="inlineStr"/>
    </row>
    <row r="6006">
      <c r="A6006" t="inlineStr">
        <is>
          <t>8270bcd6-9ada-4d74-b544-e03b3c926595.jpg</t>
        </is>
      </c>
      <c r="B6006">
        <f>HYPERLINK("Объекты недвижимости, не соответствующие градостроительным нормам_00-022_Август/8270bcd6-9ada-4d74-b544-e03b3c926595.jpg","open")</f>
        <v/>
      </c>
      <c r="C6006" t="inlineStr">
        <is>
          <t>61936922-4d4b-458e-80ea-6d4c450aa1d5</t>
        </is>
      </c>
      <c r="D6006" t="n">
        <v>55.65692</v>
      </c>
      <c r="E6006" t="n">
        <v>37.40809</v>
      </c>
      <c r="F6006" t="inlineStr"/>
      <c r="G6006" t="inlineStr"/>
      <c r="H6006" t="inlineStr"/>
    </row>
    <row r="6007">
      <c r="A6007" t="inlineStr">
        <is>
          <t>65e1c756-751a-48a7-a3b9-0ee43b5f7ddc.jpg</t>
        </is>
      </c>
      <c r="B6007">
        <f>HYPERLINK("Объекты недвижимости, не соответствующие градостроительным нормам_00-022_Август/65e1c756-751a-48a7-a3b9-0ee43b5f7ddc.jpg","open")</f>
        <v/>
      </c>
      <c r="C6007" t="inlineStr">
        <is>
          <t>685d9054-b74f-49ab-857b-109fd2cec80d</t>
        </is>
      </c>
      <c r="D6007" t="n">
        <v>55.56941</v>
      </c>
      <c r="E6007" t="n">
        <v>37.56476</v>
      </c>
      <c r="F6007" t="inlineStr"/>
      <c r="G6007" t="inlineStr"/>
      <c r="H6007" t="inlineStr"/>
    </row>
    <row r="6008">
      <c r="A6008" t="inlineStr">
        <is>
          <t>ea3ccc12-125d-46a3-b158-a4b29101f95c.jpg</t>
        </is>
      </c>
      <c r="B6008">
        <f>HYPERLINK("Объекты недвижимости, не соответствующие градостроительным нормам_00-022_Август/ea3ccc12-125d-46a3-b158-a4b29101f95c.jpg","open")</f>
        <v/>
      </c>
      <c r="C6008" t="inlineStr">
        <is>
          <t>50e4626c-a80e-42ab-b999-b5092c2c063f</t>
        </is>
      </c>
      <c r="D6008" t="n">
        <v>55.72788</v>
      </c>
      <c r="E6008" t="n">
        <v>37.68077</v>
      </c>
      <c r="F6008" t="inlineStr"/>
      <c r="G6008" t="inlineStr"/>
      <c r="H6008" t="inlineStr"/>
    </row>
    <row r="6009">
      <c r="A6009" t="inlineStr">
        <is>
          <t>3d640be6-7880-40eb-91ec-0149b6c496de.jpg</t>
        </is>
      </c>
      <c r="B6009">
        <f>HYPERLINK("Объекты недвижимости, не соответствующие градостроительным нормам_00-022_Август/3d640be6-7880-40eb-91ec-0149b6c496de.jpg","open")</f>
        <v/>
      </c>
      <c r="C6009" t="inlineStr">
        <is>
          <t>b0b7ea82-53be-40d0-b992-e2fd18611d5c</t>
        </is>
      </c>
      <c r="D6009" t="n">
        <v>55.72474</v>
      </c>
      <c r="E6009" t="n">
        <v>37.66989</v>
      </c>
      <c r="F6009" t="inlineStr"/>
      <c r="G6009" t="inlineStr"/>
      <c r="H6009" t="inlineStr"/>
    </row>
    <row r="6010">
      <c r="A6010" t="inlineStr">
        <is>
          <t>4b7c5029-82b3-4653-af06-8200d862483a.jpg</t>
        </is>
      </c>
      <c r="B6010">
        <f>HYPERLINK("Объекты недвижимости, не соответствующие градостроительным нормам_00-022_Август/4b7c5029-82b3-4653-af06-8200d862483a.jpg","open")</f>
        <v/>
      </c>
      <c r="C6010" t="inlineStr">
        <is>
          <t>50e4626c-a80e-42ab-b999-b5092c2c063f</t>
        </is>
      </c>
      <c r="D6010" t="n">
        <v>55.72788</v>
      </c>
      <c r="E6010" t="n">
        <v>37.68077</v>
      </c>
      <c r="F6010" t="inlineStr"/>
      <c r="G6010" t="inlineStr"/>
      <c r="H6010" t="inlineStr"/>
    </row>
    <row r="6011">
      <c r="A6011" t="inlineStr">
        <is>
          <t>7f1f2819-0b00-4959-a0b1-6bb390dc9521.jpg</t>
        </is>
      </c>
      <c r="B6011">
        <f>HYPERLINK("Объекты недвижимости, не соответствующие градостроительным нормам_00-022_Август/7f1f2819-0b00-4959-a0b1-6bb390dc9521.jpg","open")</f>
        <v/>
      </c>
      <c r="C6011" t="inlineStr">
        <is>
          <t>b0b7ea82-53be-40d0-b992-e2fd18611d5c</t>
        </is>
      </c>
      <c r="D6011" t="n">
        <v>55.72474</v>
      </c>
      <c r="E6011" t="n">
        <v>37.66989</v>
      </c>
      <c r="F6011" t="inlineStr"/>
      <c r="G6011" t="inlineStr"/>
      <c r="H6011" t="inlineStr"/>
    </row>
    <row r="6012">
      <c r="A6012" t="inlineStr">
        <is>
          <t>c7ea4b39-1f51-49a9-b7f8-66403693c4be.jpg</t>
        </is>
      </c>
      <c r="B6012">
        <f>HYPERLINK("Объекты недвижимости, не соответствующие градостроительным нормам_00-022_Август/c7ea4b39-1f51-49a9-b7f8-66403693c4be.jpg","open")</f>
        <v/>
      </c>
      <c r="C6012" t="inlineStr">
        <is>
          <t>8cde1fd0-eca1-4510-86ab-3c743b65fdfc</t>
        </is>
      </c>
      <c r="D6012" t="n">
        <v>55.88669</v>
      </c>
      <c r="E6012" t="n">
        <v>37.50546</v>
      </c>
      <c r="F6012" t="inlineStr"/>
      <c r="G6012" t="inlineStr"/>
      <c r="H6012" t="inlineStr"/>
    </row>
    <row r="6013">
      <c r="A6013" t="inlineStr">
        <is>
          <t>8802c82c-e4f1-4955-966b-869ce597f5dc.jpg</t>
        </is>
      </c>
      <c r="B6013">
        <f>HYPERLINK("Объекты недвижимости, не соответствующие градостроительным нормам_00-022_Август/8802c82c-e4f1-4955-966b-869ce597f5dc.jpg","open")</f>
        <v/>
      </c>
      <c r="C6013" t="inlineStr">
        <is>
          <t>8cde1fd0-eca1-4510-86ab-3c743b65fdfc</t>
        </is>
      </c>
      <c r="D6013" t="n">
        <v>55.88722</v>
      </c>
      <c r="E6013" t="n">
        <v>37.49654</v>
      </c>
      <c r="F6013" t="inlineStr"/>
      <c r="G6013" t="inlineStr"/>
      <c r="H6013" t="inlineStr"/>
    </row>
    <row r="6014">
      <c r="A6014" t="inlineStr">
        <is>
          <t>ca58a7d3-f070-447e-9241-95147489703d.jpg</t>
        </is>
      </c>
      <c r="B6014">
        <f>HYPERLINK("Объекты недвижимости, не соответствующие градостроительным нормам_00-022_Август/ca58a7d3-f070-447e-9241-95147489703d.jpg","open")</f>
        <v/>
      </c>
      <c r="C6014" t="inlineStr">
        <is>
          <t>b0429a31-0c70-4b9f-8ea5-73929d82f89e</t>
        </is>
      </c>
      <c r="D6014" t="n">
        <v>55.64959</v>
      </c>
      <c r="E6014" t="n">
        <v>37.61697</v>
      </c>
      <c r="F6014" t="inlineStr"/>
      <c r="G6014" t="inlineStr"/>
      <c r="H6014" t="inlineStr"/>
    </row>
    <row r="6015">
      <c r="A6015" t="inlineStr">
        <is>
          <t>991c49ba-2b41-4234-aa77-c91c9c025143.jpg</t>
        </is>
      </c>
      <c r="B6015">
        <f>HYPERLINK("Объекты недвижимости, не соответствующие градостроительным нормам_00-022_Август/991c49ba-2b41-4234-aa77-c91c9c025143.jpg","open")</f>
        <v/>
      </c>
      <c r="C6015" t="inlineStr">
        <is>
          <t>8cde1fd0-eca1-4510-86ab-3c743b65fdfc</t>
        </is>
      </c>
      <c r="D6015" t="n">
        <v>55.88647</v>
      </c>
      <c r="E6015" t="n">
        <v>37.49538</v>
      </c>
      <c r="F6015" t="inlineStr"/>
      <c r="G6015" t="inlineStr"/>
      <c r="H6015" t="inlineStr"/>
    </row>
    <row r="6016">
      <c r="A6016" t="inlineStr">
        <is>
          <t>07de4cc7-cca7-4e56-a6d5-1b28fab53119.jpg</t>
        </is>
      </c>
      <c r="B6016">
        <f>HYPERLINK("Объекты недвижимости, не соответствующие градостроительным нормам_00-022_Август/07de4cc7-cca7-4e56-a6d5-1b28fab53119.jpg","open")</f>
        <v/>
      </c>
      <c r="C6016" t="inlineStr">
        <is>
          <t>1c951e11-4940-43c6-a447-394097e5609a</t>
        </is>
      </c>
      <c r="D6016" t="n">
        <v>55.88644</v>
      </c>
      <c r="E6016" t="n">
        <v>37.49533</v>
      </c>
      <c r="F6016" t="inlineStr"/>
      <c r="G6016" t="inlineStr"/>
      <c r="H6016" t="inlineStr"/>
    </row>
    <row r="6017">
      <c r="A6017" t="inlineStr">
        <is>
          <t>bf85c082-d942-4f2d-9629-4c1c3c2a478f.jpg</t>
        </is>
      </c>
      <c r="B6017">
        <f>HYPERLINK("Объекты недвижимости, не соответствующие градостроительным нормам_00-022_Август/bf85c082-d942-4f2d-9629-4c1c3c2a478f.jpg","open")</f>
        <v/>
      </c>
      <c r="C6017" t="inlineStr">
        <is>
          <t>8cde1fd0-eca1-4510-86ab-3c743b65fdfc</t>
        </is>
      </c>
      <c r="D6017" t="n">
        <v>55.88643</v>
      </c>
      <c r="E6017" t="n">
        <v>37.49528</v>
      </c>
      <c r="F6017" t="inlineStr"/>
      <c r="G6017" t="inlineStr"/>
      <c r="H6017" t="inlineStr"/>
    </row>
    <row r="6018">
      <c r="A6018" t="inlineStr">
        <is>
          <t>f80ddabe-1080-499f-b4fb-189da6098326.jpg</t>
        </is>
      </c>
      <c r="B6018">
        <f>HYPERLINK("Объекты недвижимости, не соответствующие градостроительным нормам_00-022_Август/f80ddabe-1080-499f-b4fb-189da6098326.jpg","open")</f>
        <v/>
      </c>
      <c r="C6018" t="inlineStr">
        <is>
          <t>1c951e11-4940-43c6-a447-394097e5609a</t>
        </is>
      </c>
      <c r="D6018" t="n">
        <v>55.88641</v>
      </c>
      <c r="E6018" t="n">
        <v>37.49524</v>
      </c>
      <c r="F6018" t="inlineStr"/>
      <c r="G6018" t="inlineStr"/>
      <c r="H6018" t="inlineStr"/>
    </row>
    <row r="6019">
      <c r="A6019" t="inlineStr">
        <is>
          <t>898c5325-7eaa-4257-996b-e5f4a5c37599.jpg</t>
        </is>
      </c>
      <c r="B6019">
        <f>HYPERLINK("Объекты недвижимости, не соответствующие градостроительным нормам_00-022_Август/898c5325-7eaa-4257-996b-e5f4a5c37599.jpg","open")</f>
        <v/>
      </c>
      <c r="C6019" t="inlineStr">
        <is>
          <t>8cde1fd0-eca1-4510-86ab-3c743b65fdfc</t>
        </is>
      </c>
      <c r="D6019" t="n">
        <v>55.88671</v>
      </c>
      <c r="E6019" t="n">
        <v>37.49576</v>
      </c>
      <c r="F6019" t="inlineStr"/>
      <c r="G6019" t="inlineStr"/>
      <c r="H6019" t="inlineStr"/>
    </row>
    <row r="6020">
      <c r="A6020" t="inlineStr">
        <is>
          <t>f63c2b8e-343f-47a8-b787-abf61eb65b1b.jpg</t>
        </is>
      </c>
      <c r="B6020">
        <f>HYPERLINK("Объекты недвижимости, не соответствующие градостроительным нормам_00-022_Август/f63c2b8e-343f-47a8-b787-abf61eb65b1b.jpg","open")</f>
        <v/>
      </c>
      <c r="C6020" t="inlineStr">
        <is>
          <t>1c951e11-4940-43c6-a447-394097e5609a</t>
        </is>
      </c>
      <c r="D6020" t="n">
        <v>55.88906</v>
      </c>
      <c r="E6020" t="n">
        <v>37.4992</v>
      </c>
      <c r="F6020" t="inlineStr"/>
      <c r="G6020" t="inlineStr"/>
      <c r="H6020" t="inlineStr"/>
    </row>
    <row r="6021">
      <c r="A6021" t="inlineStr">
        <is>
          <t>3c375158-ee0d-480f-9aae-47e6e0ac0c02.jpg</t>
        </is>
      </c>
      <c r="B6021">
        <f>HYPERLINK("Объекты недвижимости, не соответствующие градостроительным нормам_00-022_Август/3c375158-ee0d-480f-9aae-47e6e0ac0c02.jpg","open")</f>
        <v/>
      </c>
      <c r="C6021" t="inlineStr">
        <is>
          <t>ffd931da-542f-43e9-979f-5552b17fe3dc</t>
        </is>
      </c>
      <c r="D6021" t="n">
        <v>55.72199</v>
      </c>
      <c r="E6021" t="n">
        <v>37.89312</v>
      </c>
      <c r="F6021" t="inlineStr"/>
      <c r="G6021" t="inlineStr"/>
      <c r="H6021" t="inlineStr"/>
    </row>
    <row r="6022">
      <c r="A6022" t="inlineStr">
        <is>
          <t>ab5e288f-43c4-4795-99d5-351cdcb8c1cc.jpg</t>
        </is>
      </c>
      <c r="B6022">
        <f>HYPERLINK("Объекты недвижимости, не соответствующие градостроительным нормам_00-022_Август/ab5e288f-43c4-4795-99d5-351cdcb8c1cc.jpg","open")</f>
        <v/>
      </c>
      <c r="C6022" t="inlineStr">
        <is>
          <t>b0429a31-0c70-4b9f-8ea5-73929d82f89e</t>
        </is>
      </c>
      <c r="D6022" t="n">
        <v>55.64927</v>
      </c>
      <c r="E6022" t="n">
        <v>37.61597</v>
      </c>
      <c r="F6022" t="inlineStr"/>
      <c r="G6022" t="inlineStr"/>
      <c r="H6022" t="inlineStr"/>
    </row>
    <row r="6023">
      <c r="A6023" t="inlineStr">
        <is>
          <t>1c85100a-866c-4d61-a0e8-7f9a6bdf373d.jpg</t>
        </is>
      </c>
      <c r="B6023">
        <f>HYPERLINK("Объекты недвижимости, не соответствующие градостроительным нормам_00-022_Август/1c85100a-866c-4d61-a0e8-7f9a6bdf373d.jpg","open")</f>
        <v/>
      </c>
      <c r="C6023" t="inlineStr">
        <is>
          <t>8cde1fd0-eca1-4510-86ab-3c743b65fdfc</t>
        </is>
      </c>
      <c r="D6023" t="n">
        <v>55.88745</v>
      </c>
      <c r="E6023" t="n">
        <v>37.50153</v>
      </c>
      <c r="F6023" t="inlineStr"/>
      <c r="G6023" t="inlineStr"/>
      <c r="H6023" t="inlineStr"/>
    </row>
    <row r="6024">
      <c r="A6024" t="inlineStr">
        <is>
          <t>eaafc28f-208b-4807-b422-22f081bee8fe.jpg</t>
        </is>
      </c>
      <c r="B6024">
        <f>HYPERLINK("Объекты недвижимости, не соответствующие градостроительным нормам_00-022_Август/eaafc28f-208b-4807-b422-22f081bee8fe.jpg","open")</f>
        <v/>
      </c>
      <c r="C6024" t="inlineStr">
        <is>
          <t>685d9054-b74f-49ab-857b-109fd2cec80d</t>
        </is>
      </c>
      <c r="D6024" t="n">
        <v>55.56894</v>
      </c>
      <c r="E6024" t="n">
        <v>37.5668</v>
      </c>
      <c r="F6024" t="inlineStr"/>
      <c r="G6024" t="inlineStr"/>
      <c r="H6024" t="inlineStr"/>
    </row>
    <row r="6025">
      <c r="A6025" t="inlineStr">
        <is>
          <t>29abdee1-aae8-4abf-ade8-ec6087254019.jpg</t>
        </is>
      </c>
      <c r="B6025">
        <f>HYPERLINK("Объекты недвижимости, не соответствующие градостроительным нормам_00-022_Август/29abdee1-aae8-4abf-ade8-ec6087254019.jpg","open")</f>
        <v/>
      </c>
      <c r="C6025" t="inlineStr">
        <is>
          <t>8cde1fd0-eca1-4510-86ab-3c743b65fdfc</t>
        </is>
      </c>
      <c r="D6025" t="n">
        <v>55.88602</v>
      </c>
      <c r="E6025" t="n">
        <v>37.50585</v>
      </c>
      <c r="F6025" t="inlineStr"/>
      <c r="G6025" t="inlineStr"/>
      <c r="H6025" t="inlineStr"/>
    </row>
    <row r="6026">
      <c r="A6026" t="inlineStr">
        <is>
          <t>8a311450-dbd1-48a7-aed5-9b6b388484da.jpg</t>
        </is>
      </c>
      <c r="B6026">
        <f>HYPERLINK("Объекты недвижимости, не соответствующие градостроительным нормам_00-022_Август/8a311450-dbd1-48a7-aed5-9b6b388484da.jpg","open")</f>
        <v/>
      </c>
      <c r="C6026" t="inlineStr">
        <is>
          <t>685d9054-b74f-49ab-857b-109fd2cec80d</t>
        </is>
      </c>
      <c r="D6026" t="n">
        <v>55.56917</v>
      </c>
      <c r="E6026" t="n">
        <v>37.56678</v>
      </c>
      <c r="F6026" t="inlineStr"/>
      <c r="G6026" t="inlineStr"/>
      <c r="H6026" t="inlineStr"/>
    </row>
    <row r="6027">
      <c r="A6027" t="inlineStr">
        <is>
          <t>218bab73-a43e-4027-9b62-86527dd8efc4.jpg</t>
        </is>
      </c>
      <c r="B6027">
        <f>HYPERLINK("Объекты недвижимости, не соответствующие градостроительным нормам_00-022_Август/218bab73-a43e-4027-9b62-86527dd8efc4.jpg","open")</f>
        <v/>
      </c>
      <c r="C6027" t="inlineStr">
        <is>
          <t>789f6c51-64ee-4078-b7bd-443af8b8b68a</t>
        </is>
      </c>
      <c r="D6027" t="n">
        <v>55.87061</v>
      </c>
      <c r="E6027" t="n">
        <v>37.61876</v>
      </c>
      <c r="F6027" t="inlineStr"/>
      <c r="G6027" t="inlineStr"/>
      <c r="H6027" t="inlineStr"/>
    </row>
    <row r="6028">
      <c r="A6028" t="inlineStr">
        <is>
          <t>bbba201b-dc65-4eb0-83b9-71cc29b0e157.jpg</t>
        </is>
      </c>
      <c r="B6028">
        <f>HYPERLINK("Объекты недвижимости, не соответствующие градостроительным нормам_00-022_Август/bbba201b-dc65-4eb0-83b9-71cc29b0e157.jpg","open")</f>
        <v/>
      </c>
      <c r="C6028" t="inlineStr">
        <is>
          <t>2acfb2da-e3f6-464c-bd17-4b713522c142</t>
        </is>
      </c>
      <c r="D6028" t="n">
        <v>55.87064</v>
      </c>
      <c r="E6028" t="n">
        <v>37.61876</v>
      </c>
      <c r="F6028" t="inlineStr"/>
      <c r="G6028" t="inlineStr"/>
      <c r="H6028" t="inlineStr"/>
    </row>
    <row r="6029">
      <c r="A6029" t="inlineStr">
        <is>
          <t>ceaa15be-757c-4e65-ab98-8431abf266b2.jpg</t>
        </is>
      </c>
      <c r="B6029">
        <f>HYPERLINK("Объекты недвижимости, не соответствующие градостроительным нормам_00-022_Август/ceaa15be-757c-4e65-ab98-8431abf266b2.jpg","open")</f>
        <v/>
      </c>
      <c r="C6029" t="inlineStr">
        <is>
          <t>f60286ac-55e7-4099-85bd-cc599a7a0c65</t>
        </is>
      </c>
      <c r="D6029" t="n">
        <v>55.72128</v>
      </c>
      <c r="E6029" t="n">
        <v>37.89661</v>
      </c>
      <c r="F6029" t="inlineStr"/>
      <c r="G6029" t="inlineStr"/>
      <c r="H6029" t="inlineStr"/>
    </row>
    <row r="6030">
      <c r="A6030" t="inlineStr">
        <is>
          <t>fca4f2b7-5048-416c-b3dd-d994b1c72e0b.jpg</t>
        </is>
      </c>
      <c r="B6030">
        <f>HYPERLINK("Объекты недвижимости, не соответствующие градостроительным нормам_00-022_Август/fca4f2b7-5048-416c-b3dd-d994b1c72e0b.jpg","open")</f>
        <v/>
      </c>
      <c r="C6030" t="inlineStr">
        <is>
          <t>31a713a9-b910-424b-b847-e0eaa2f70c70</t>
        </is>
      </c>
      <c r="D6030" t="n">
        <v>55.77848</v>
      </c>
      <c r="E6030" t="n">
        <v>37.67725</v>
      </c>
      <c r="F6030" t="inlineStr"/>
      <c r="G6030" t="inlineStr"/>
      <c r="H6030" t="inlineStr"/>
    </row>
    <row r="6031">
      <c r="A6031" t="inlineStr">
        <is>
          <t>538e239f-307d-4d72-a6fa-4406f98756b9.jpg</t>
        </is>
      </c>
      <c r="B6031">
        <f>HYPERLINK("Объекты недвижимости, не соответствующие градостроительным нормам_00-022_Август/538e239f-307d-4d72-a6fa-4406f98756b9.jpg","open")</f>
        <v/>
      </c>
      <c r="C6031" t="inlineStr">
        <is>
          <t>b0429a31-0c70-4b9f-8ea5-73929d82f89e</t>
        </is>
      </c>
      <c r="D6031" t="n">
        <v>55.64886</v>
      </c>
      <c r="E6031" t="n">
        <v>37.61586</v>
      </c>
      <c r="F6031" t="inlineStr"/>
      <c r="G6031" t="inlineStr"/>
      <c r="H6031" t="inlineStr"/>
    </row>
    <row r="6032">
      <c r="A6032" t="inlineStr">
        <is>
          <t>0d592e3e-54fc-43e8-9364-955d3a0b5fa7.jpg</t>
        </is>
      </c>
      <c r="B6032">
        <f>HYPERLINK("Объекты недвижимости, не соответствующие градостроительным нормам_00-022_Август/0d592e3e-54fc-43e8-9364-955d3a0b5fa7.jpg","open")</f>
        <v/>
      </c>
      <c r="C6032" t="inlineStr">
        <is>
          <t>fb40ed24-21ef-458a-a239-038ab19932cc</t>
        </is>
      </c>
      <c r="D6032" t="n">
        <v>55.81709</v>
      </c>
      <c r="E6032" t="n">
        <v>37.77816</v>
      </c>
      <c r="F6032" t="inlineStr"/>
      <c r="G6032" t="inlineStr"/>
      <c r="H6032" t="inlineStr"/>
    </row>
    <row r="6033">
      <c r="A6033" t="inlineStr">
        <is>
          <t>0031f221-e231-461e-9d32-99a5390b1f21.jpg</t>
        </is>
      </c>
      <c r="B6033">
        <f>HYPERLINK("Объекты недвижимости, не соответствующие градостроительным нормам_00-022_Август/0031f221-e231-461e-9d32-99a5390b1f21.jpg","open")</f>
        <v/>
      </c>
      <c r="C6033" t="inlineStr">
        <is>
          <t>d2c4eccd-3e4b-406c-a903-0f5e43d0be35</t>
        </is>
      </c>
      <c r="D6033" t="n">
        <v>45.052</v>
      </c>
      <c r="E6033" t="n">
        <v>33.98193</v>
      </c>
      <c r="F6033" t="inlineStr"/>
      <c r="G6033" t="inlineStr"/>
      <c r="H6033" t="inlineStr"/>
    </row>
    <row r="6034">
      <c r="A6034" t="inlineStr">
        <is>
          <t>8472d534-6a14-43dd-975d-81e8bbc164ed.jpg</t>
        </is>
      </c>
      <c r="B6034">
        <f>HYPERLINK("Объекты недвижимости, не соответствующие градостроительным нормам_00-022_Август/8472d534-6a14-43dd-975d-81e8bbc164ed.jpg","open")</f>
        <v/>
      </c>
      <c r="C6034" t="inlineStr">
        <is>
          <t>685d9054-b74f-49ab-857b-109fd2cec80d</t>
        </is>
      </c>
      <c r="D6034" t="n">
        <v>55.56987</v>
      </c>
      <c r="E6034" t="n">
        <v>37.57507</v>
      </c>
      <c r="F6034" t="inlineStr"/>
      <c r="G6034" t="inlineStr"/>
      <c r="H6034" t="inlineStr"/>
    </row>
    <row r="6035">
      <c r="A6035" t="inlineStr">
        <is>
          <t>f02799da-b3e5-4897-afea-2518ddbf1859.jpg</t>
        </is>
      </c>
      <c r="B6035">
        <f>HYPERLINK("Объекты недвижимости, не соответствующие градостроительным нормам_00-022_Август/f02799da-b3e5-4897-afea-2518ddbf1859.jpg","open")</f>
        <v/>
      </c>
      <c r="C6035" t="inlineStr">
        <is>
          <t>ed2bf0f1-3a66-4913-896e-4420a9796c0b</t>
        </is>
      </c>
      <c r="D6035" t="n">
        <v>55.42874</v>
      </c>
      <c r="E6035" t="n">
        <v>37.27386</v>
      </c>
      <c r="F6035" t="inlineStr"/>
      <c r="G6035" t="inlineStr"/>
      <c r="H6035" t="inlineStr"/>
    </row>
    <row r="6036">
      <c r="A6036" t="inlineStr">
        <is>
          <t>82870260-2b6c-4ec8-9591-2a02befb60c4.jpg</t>
        </is>
      </c>
      <c r="B6036">
        <f>HYPERLINK("Объекты недвижимости, не соответствующие градостроительным нормам_00-022_Август/82870260-2b6c-4ec8-9591-2a02befb60c4.jpg","open")</f>
        <v/>
      </c>
      <c r="C6036" t="inlineStr">
        <is>
          <t>1231bbc5-e64c-4dc7-9acc-77710f47607a</t>
        </is>
      </c>
      <c r="D6036" t="n">
        <v>55.57232</v>
      </c>
      <c r="E6036" t="n">
        <v>37.57352</v>
      </c>
      <c r="F6036" t="inlineStr"/>
      <c r="G6036" t="inlineStr"/>
      <c r="H6036" t="inlineStr"/>
    </row>
    <row r="6037">
      <c r="A6037" t="inlineStr">
        <is>
          <t>b54d69af-ed42-4c54-8c88-af79f186989a.jpg</t>
        </is>
      </c>
      <c r="B6037">
        <f>HYPERLINK("Объекты недвижимости, не соответствующие градостроительным нормам_00-022_Август/b54d69af-ed42-4c54-8c88-af79f186989a.jpg","open")</f>
        <v/>
      </c>
      <c r="C6037" t="inlineStr">
        <is>
          <t>685d9054-b74f-49ab-857b-109fd2cec80d</t>
        </is>
      </c>
      <c r="D6037" t="n">
        <v>55.5723</v>
      </c>
      <c r="E6037" t="n">
        <v>37.57347</v>
      </c>
      <c r="F6037" t="inlineStr"/>
      <c r="G6037" t="inlineStr"/>
      <c r="H6037" t="inlineStr"/>
    </row>
    <row r="6038">
      <c r="A6038" t="inlineStr">
        <is>
          <t>2d842ce8-ee52-463e-8f53-b321c597e4ef.jpg</t>
        </is>
      </c>
      <c r="B6038">
        <f>HYPERLINK("Объекты недвижимости, не соответствующие градостроительным нормам_00-022_Август/2d842ce8-ee52-463e-8f53-b321c597e4ef.jpg","open")</f>
        <v/>
      </c>
      <c r="C6038" t="inlineStr">
        <is>
          <t>1c951e11-4940-43c6-a447-394097e5609a</t>
        </is>
      </c>
      <c r="D6038" t="n">
        <v>55.8822</v>
      </c>
      <c r="E6038" t="n">
        <v>37.49657</v>
      </c>
      <c r="F6038" t="inlineStr"/>
      <c r="G6038" t="inlineStr"/>
      <c r="H6038" t="inlineStr"/>
    </row>
    <row r="6039">
      <c r="A6039" t="inlineStr">
        <is>
          <t>86be39c8-c551-40ca-a9e0-265832542708.jpg</t>
        </is>
      </c>
      <c r="B6039">
        <f>HYPERLINK("Объекты недвижимости, не соответствующие градостроительным нормам_00-022_Август/86be39c8-c551-40ca-a9e0-265832542708.jpg","open")</f>
        <v/>
      </c>
      <c r="C6039" t="inlineStr">
        <is>
          <t>8cde1fd0-eca1-4510-86ab-3c743b65fdfc</t>
        </is>
      </c>
      <c r="D6039" t="n">
        <v>55.88229</v>
      </c>
      <c r="E6039" t="n">
        <v>37.49676</v>
      </c>
      <c r="F6039" t="inlineStr"/>
      <c r="G6039" t="inlineStr"/>
      <c r="H6039" t="inlineStr"/>
    </row>
    <row r="6040">
      <c r="A6040" t="inlineStr">
        <is>
          <t>f5b3e524-92c1-4c4f-98a4-736a2a4f8c2a.jpg</t>
        </is>
      </c>
      <c r="B6040">
        <f>HYPERLINK("Объекты недвижимости, не соответствующие градостроительным нормам_00-022_Август/f5b3e524-92c1-4c4f-98a4-736a2a4f8c2a.jpg","open")</f>
        <v/>
      </c>
      <c r="C6040" t="inlineStr">
        <is>
          <t>8cde1fd0-eca1-4510-86ab-3c743b65fdfc</t>
        </is>
      </c>
      <c r="D6040" t="n">
        <v>55.88239</v>
      </c>
      <c r="E6040" t="n">
        <v>37.49593</v>
      </c>
      <c r="F6040" t="inlineStr"/>
      <c r="G6040" t="inlineStr"/>
      <c r="H6040" t="inlineStr"/>
    </row>
    <row r="6041">
      <c r="A6041" t="inlineStr">
        <is>
          <t>836cfc92-20cf-4441-94f5-d75aa2773863.jpg</t>
        </is>
      </c>
      <c r="B6041">
        <f>HYPERLINK("Объекты недвижимости, не соответствующие градостроительным нормам_00-022_Август/836cfc92-20cf-4441-94f5-d75aa2773863.jpg","open")</f>
        <v/>
      </c>
      <c r="C6041" t="inlineStr">
        <is>
          <t>1c951e11-4940-43c6-a447-394097e5609a</t>
        </is>
      </c>
      <c r="D6041" t="n">
        <v>55.88224</v>
      </c>
      <c r="E6041" t="n">
        <v>37.49669</v>
      </c>
      <c r="F6041" t="inlineStr"/>
      <c r="G6041" t="inlineStr"/>
      <c r="H6041" t="inlineStr"/>
    </row>
    <row r="6042">
      <c r="A6042" t="inlineStr">
        <is>
          <t>ec5ded7e-31f4-4d1a-81fc-921a9d35ce83.jpg</t>
        </is>
      </c>
      <c r="B6042">
        <f>HYPERLINK("Объекты недвижимости, не соответствующие градостроительным нормам_00-022_Август/ec5ded7e-31f4-4d1a-81fc-921a9d35ce83.jpg","open")</f>
        <v/>
      </c>
      <c r="C6042" t="inlineStr">
        <is>
          <t>8cde1fd0-eca1-4510-86ab-3c743b65fdfc</t>
        </is>
      </c>
      <c r="D6042" t="n">
        <v>55.88224</v>
      </c>
      <c r="E6042" t="n">
        <v>37.49669</v>
      </c>
      <c r="F6042" t="inlineStr"/>
      <c r="G6042" t="inlineStr"/>
      <c r="H6042" t="inlineStr"/>
    </row>
    <row r="6043">
      <c r="A6043" t="inlineStr">
        <is>
          <t>aa54ba8d-b69a-47af-8951-71ed83324146.jpg</t>
        </is>
      </c>
      <c r="B6043">
        <f>HYPERLINK("Объекты недвижимости, не соответствующие градостроительным нормам_00-022_Август/aa54ba8d-b69a-47af-8951-71ed83324146.jpg","open")</f>
        <v/>
      </c>
      <c r="C6043" t="inlineStr">
        <is>
          <t>93848fc8-17e7-4748-9ebc-c7e379e11d2f</t>
        </is>
      </c>
      <c r="D6043" t="n">
        <v>55.61977</v>
      </c>
      <c r="E6043" t="n">
        <v>37.50351</v>
      </c>
      <c r="F6043" t="inlineStr"/>
      <c r="G6043" t="inlineStr"/>
      <c r="H6043" t="inlineStr"/>
    </row>
    <row r="6044">
      <c r="A6044" t="inlineStr">
        <is>
          <t>fcde8b93-0ce9-4b75-a9ed-eef3b9fd6368.jpg</t>
        </is>
      </c>
      <c r="B6044">
        <f>HYPERLINK("Объекты недвижимости, не соответствующие градостроительным нормам_00-022_Август/fcde8b93-0ce9-4b75-a9ed-eef3b9fd6368.jpg","open")</f>
        <v/>
      </c>
      <c r="C6044" t="inlineStr">
        <is>
          <t>8cde1fd0-eca1-4510-86ab-3c743b65fdfc</t>
        </is>
      </c>
      <c r="D6044" t="n">
        <v>55.88241</v>
      </c>
      <c r="E6044" t="n">
        <v>37.49589</v>
      </c>
      <c r="F6044" t="inlineStr"/>
      <c r="G6044" t="inlineStr"/>
      <c r="H6044" t="inlineStr"/>
    </row>
    <row r="6045">
      <c r="A6045" t="inlineStr">
        <is>
          <t>5f4fd18f-a435-48cc-85d7-ff93c8b95e65.jpg</t>
        </is>
      </c>
      <c r="B6045">
        <f>HYPERLINK("Объекты недвижимости, не соответствующие градостроительным нормам_00-022_Август/5f4fd18f-a435-48cc-85d7-ff93c8b95e65.jpg","open")</f>
        <v/>
      </c>
      <c r="C6045" t="inlineStr">
        <is>
          <t>8cde1fd0-eca1-4510-86ab-3c743b65fdfc</t>
        </is>
      </c>
      <c r="D6045" t="n">
        <v>55.88719</v>
      </c>
      <c r="E6045" t="n">
        <v>37.49382</v>
      </c>
      <c r="F6045" t="inlineStr"/>
      <c r="G6045" t="inlineStr"/>
      <c r="H6045" t="inlineStr"/>
    </row>
    <row r="6046">
      <c r="A6046" t="inlineStr">
        <is>
          <t>5583d155-7fe3-4848-aaf7-58978c2546ef.jpg</t>
        </is>
      </c>
      <c r="B6046">
        <f>HYPERLINK("Объекты недвижимости, не соответствующие градостроительным нормам_00-022_Август/5583d155-7fe3-4848-aaf7-58978c2546ef.jpg","open")</f>
        <v/>
      </c>
      <c r="C6046" t="inlineStr">
        <is>
          <t>8cde1fd0-eca1-4510-86ab-3c743b65fdfc</t>
        </is>
      </c>
      <c r="D6046" t="n">
        <v>55.88764</v>
      </c>
      <c r="E6046" t="n">
        <v>37.49455</v>
      </c>
      <c r="F6046" t="inlineStr"/>
      <c r="G6046" t="inlineStr"/>
      <c r="H6046" t="inlineStr"/>
    </row>
    <row r="6047">
      <c r="A6047" t="inlineStr">
        <is>
          <t>40f42d48-7100-4468-b8c1-a142f58b3326.jpg</t>
        </is>
      </c>
      <c r="B6047">
        <f>HYPERLINK("Объекты недвижимости, не соответствующие градостроительным нормам_00-022_Август/40f42d48-7100-4468-b8c1-a142f58b3326.jpg","open")</f>
        <v/>
      </c>
      <c r="C6047" t="inlineStr">
        <is>
          <t>8cde1fd0-eca1-4510-86ab-3c743b65fdfc</t>
        </is>
      </c>
      <c r="D6047" t="n">
        <v>55.8877</v>
      </c>
      <c r="E6047" t="n">
        <v>37.49474</v>
      </c>
      <c r="F6047" t="inlineStr"/>
      <c r="G6047" t="inlineStr"/>
      <c r="H6047" t="inlineStr"/>
    </row>
    <row r="6048">
      <c r="A6048" t="inlineStr">
        <is>
          <t>7cbfdf12-ff82-4734-a07b-0c65e40dd83e.jpg</t>
        </is>
      </c>
      <c r="B6048">
        <f>HYPERLINK("Объекты недвижимости, не соответствующие градостроительным нормам_00-022_Август/7cbfdf12-ff82-4734-a07b-0c65e40dd83e.jpg","open")</f>
        <v/>
      </c>
      <c r="C6048" t="inlineStr">
        <is>
          <t>8cde1fd0-eca1-4510-86ab-3c743b65fdfc</t>
        </is>
      </c>
      <c r="D6048" t="n">
        <v>55.88773</v>
      </c>
      <c r="E6048" t="n">
        <v>37.49491</v>
      </c>
      <c r="F6048" t="inlineStr"/>
      <c r="G6048" t="inlineStr"/>
      <c r="H6048" t="inlineStr"/>
    </row>
    <row r="6049">
      <c r="A6049" t="inlineStr">
        <is>
          <t>6306ee33-0ebb-4aef-b709-3a5ef098a749.jpg</t>
        </is>
      </c>
      <c r="B6049">
        <f>HYPERLINK("Объекты недвижимости, не соответствующие градостроительным нормам_00-022_Август/6306ee33-0ebb-4aef-b709-3a5ef098a749.jpg","open")</f>
        <v/>
      </c>
      <c r="C6049" t="inlineStr">
        <is>
          <t>1c951e11-4940-43c6-a447-394097e5609a</t>
        </is>
      </c>
      <c r="D6049" t="n">
        <v>55.88776</v>
      </c>
      <c r="E6049" t="n">
        <v>37.49505</v>
      </c>
      <c r="F6049" t="inlineStr"/>
      <c r="G6049" t="inlineStr"/>
      <c r="H6049" t="inlineStr"/>
    </row>
    <row r="6050">
      <c r="A6050" t="inlineStr">
        <is>
          <t>4ea2f205-90e1-4d19-8e52-19a1f09cc327.jpg</t>
        </is>
      </c>
      <c r="B6050">
        <f>HYPERLINK("Объекты недвижимости, не соответствующие градостроительным нормам_00-022_Август/4ea2f205-90e1-4d19-8e52-19a1f09cc327.jpg","open")</f>
        <v/>
      </c>
      <c r="C6050" t="inlineStr">
        <is>
          <t>2acfb2da-e3f6-464c-bd17-4b713522c142</t>
        </is>
      </c>
      <c r="D6050" t="n">
        <v>55.86804</v>
      </c>
      <c r="E6050" t="n">
        <v>37.60821</v>
      </c>
      <c r="F6050" t="inlineStr"/>
      <c r="G6050" t="inlineStr"/>
      <c r="H6050" t="inlineStr"/>
    </row>
    <row r="6051">
      <c r="A6051" t="inlineStr">
        <is>
          <t>0c673a2c-f1d0-4805-9a66-166c5137ba0f.jpg</t>
        </is>
      </c>
      <c r="B6051">
        <f>HYPERLINK("Объекты недвижимости, не соответствующие градостроительным нормам_00-022_Август/0c673a2c-f1d0-4805-9a66-166c5137ba0f.jpg","open")</f>
        <v/>
      </c>
      <c r="C6051" t="inlineStr">
        <is>
          <t>685d9054-b74f-49ab-857b-109fd2cec80d</t>
        </is>
      </c>
      <c r="D6051" t="n">
        <v>55.57246</v>
      </c>
      <c r="E6051" t="n">
        <v>37.57288</v>
      </c>
      <c r="F6051" t="inlineStr"/>
      <c r="G6051" t="inlineStr"/>
      <c r="H6051" t="inlineStr"/>
    </row>
    <row r="6052">
      <c r="A6052" t="inlineStr">
        <is>
          <t>e97d3952-c01e-42ca-9548-c52bf17af1a6.jpg</t>
        </is>
      </c>
      <c r="B6052">
        <f>HYPERLINK("Объекты недвижимости, не соответствующие градостроительным нормам_00-022_Август/e97d3952-c01e-42ca-9548-c52bf17af1a6.jpg","open")</f>
        <v/>
      </c>
      <c r="C6052" t="inlineStr">
        <is>
          <t>030e8755-17c1-44eb-9530-707d0d3121cb</t>
        </is>
      </c>
      <c r="D6052" t="n">
        <v>55.67866</v>
      </c>
      <c r="E6052" t="n">
        <v>37.6775</v>
      </c>
      <c r="F6052" t="inlineStr"/>
      <c r="G6052" t="inlineStr"/>
      <c r="H6052" t="inlineStr"/>
    </row>
    <row r="6053">
      <c r="A6053" t="inlineStr">
        <is>
          <t>68926ee6-5579-41ee-bd3f-ef862ca919a8.jpg</t>
        </is>
      </c>
      <c r="B6053">
        <f>HYPERLINK("Объекты недвижимости, не соответствующие градостроительным нормам_00-022_Август/68926ee6-5579-41ee-bd3f-ef862ca919a8.jpg","open")</f>
        <v/>
      </c>
      <c r="C6053" t="inlineStr">
        <is>
          <t>936502dd-24a4-4256-9fdf-0d8fb72af3ed</t>
        </is>
      </c>
      <c r="D6053" t="n">
        <v>55.67822</v>
      </c>
      <c r="E6053" t="n">
        <v>37.67769</v>
      </c>
      <c r="F6053" t="inlineStr"/>
      <c r="G6053" t="inlineStr"/>
      <c r="H6053" t="inlineStr"/>
    </row>
    <row r="6054">
      <c r="A6054" t="inlineStr">
        <is>
          <t>ea84f673-861b-4543-a356-fcf14196c06b.jpg</t>
        </is>
      </c>
      <c r="B6054">
        <f>HYPERLINK("Объекты недвижимости, не соответствующие градостроительным нормам_00-022_Август/ea84f673-861b-4543-a356-fcf14196c06b.jpg","open")</f>
        <v/>
      </c>
      <c r="C6054" t="inlineStr">
        <is>
          <t>936502dd-24a4-4256-9fdf-0d8fb72af3ed</t>
        </is>
      </c>
      <c r="D6054" t="n">
        <v>55.67836</v>
      </c>
      <c r="E6054" t="n">
        <v>37.67774</v>
      </c>
      <c r="F6054" t="inlineStr"/>
      <c r="G6054" t="inlineStr"/>
      <c r="H6054" t="inlineStr"/>
    </row>
    <row r="6055">
      <c r="A6055" t="inlineStr">
        <is>
          <t>16c50d23-d698-48b0-813d-e73a75cb03da.jpg</t>
        </is>
      </c>
      <c r="B6055">
        <f>HYPERLINK("Объекты недвижимости, не соответствующие градостроительным нормам_00-022_Август/16c50d23-d698-48b0-813d-e73a75cb03da.jpg","open")</f>
        <v/>
      </c>
      <c r="C6055" t="inlineStr">
        <is>
          <t>93848fc8-17e7-4748-9ebc-c7e379e11d2f</t>
        </is>
      </c>
      <c r="D6055" t="n">
        <v>55.62003</v>
      </c>
      <c r="E6055" t="n">
        <v>37.48526</v>
      </c>
      <c r="F6055" t="inlineStr"/>
      <c r="G6055" t="inlineStr"/>
      <c r="H6055" t="inlineStr"/>
    </row>
    <row r="6056">
      <c r="A6056" t="inlineStr">
        <is>
          <t>8d236aec-8892-4c04-b04d-16cffcaddb1b.jpg</t>
        </is>
      </c>
      <c r="B6056">
        <f>HYPERLINK("Объекты недвижимости, не соответствующие градостроительным нормам_00-022_Август/8d236aec-8892-4c04-b04d-16cffcaddb1b.jpg","open")</f>
        <v/>
      </c>
      <c r="C6056" t="inlineStr">
        <is>
          <t>9f88688f-4c81-42a8-b76a-3c3e7edf869e</t>
        </is>
      </c>
      <c r="D6056" t="n">
        <v>45.05013</v>
      </c>
      <c r="E6056" t="n">
        <v>33.97311</v>
      </c>
      <c r="F6056" t="inlineStr"/>
      <c r="G6056" t="inlineStr"/>
      <c r="H6056" t="inlineStr"/>
    </row>
    <row r="6057">
      <c r="A6057" t="inlineStr">
        <is>
          <t>528a7934-a732-4b69-a50c-245a83f2f6c3.jpg</t>
        </is>
      </c>
      <c r="B6057">
        <f>HYPERLINK("Объекты недвижимости, не соответствующие градостроительным нормам_00-022_Август/528a7934-a732-4b69-a50c-245a83f2f6c3.jpg","open")</f>
        <v/>
      </c>
      <c r="C6057" t="inlineStr">
        <is>
          <t>57aae8a4-582b-4309-8045-c8127a9f86ae</t>
        </is>
      </c>
      <c r="D6057" t="n">
        <v>55.81606</v>
      </c>
      <c r="E6057" t="n">
        <v>37.79386</v>
      </c>
      <c r="F6057" t="inlineStr"/>
      <c r="G6057" t="inlineStr"/>
      <c r="H6057" t="inlineStr"/>
    </row>
    <row r="6058">
      <c r="A6058" t="inlineStr">
        <is>
          <t>d23c2ced-aba2-44da-8bd2-52542cc490d4.jpg</t>
        </is>
      </c>
      <c r="B6058">
        <f>HYPERLINK("Объекты недвижимости, не соответствующие градостроительным нормам_00-022_Август/d23c2ced-aba2-44da-8bd2-52542cc490d4.jpg","open")</f>
        <v/>
      </c>
      <c r="C6058" t="inlineStr">
        <is>
          <t>cbf95b01-f708-45a3-9ec0-3603469b538e</t>
        </is>
      </c>
      <c r="D6058" t="n">
        <v>45.04786</v>
      </c>
      <c r="E6058" t="n">
        <v>33.9761</v>
      </c>
      <c r="F6058" t="inlineStr"/>
      <c r="G6058" t="inlineStr"/>
      <c r="H6058" t="inlineStr"/>
    </row>
    <row r="6059">
      <c r="A6059" t="inlineStr">
        <is>
          <t>d3f5d8e8-91a7-4c1e-a53b-4e2d4b25d1c8.jpg</t>
        </is>
      </c>
      <c r="B6059">
        <f>HYPERLINK("Объекты недвижимости, не соответствующие градостроительным нормам_00-022_Август/d3f5d8e8-91a7-4c1e-a53b-4e2d4b25d1c8.jpg","open")</f>
        <v/>
      </c>
      <c r="C6059" t="inlineStr">
        <is>
          <t>cbf95b01-f708-45a3-9ec0-3603469b538e</t>
        </is>
      </c>
      <c r="D6059" t="n">
        <v>45.04786</v>
      </c>
      <c r="E6059" t="n">
        <v>33.9761</v>
      </c>
      <c r="F6059" t="inlineStr"/>
      <c r="G6059" t="inlineStr"/>
      <c r="H6059" t="inlineStr"/>
    </row>
    <row r="6060">
      <c r="A6060" t="inlineStr">
        <is>
          <t>332d0a26-9460-467b-84d5-ad29423b8866.jpg</t>
        </is>
      </c>
      <c r="B6060">
        <f>HYPERLINK("Объекты недвижимости, не соответствующие градостроительным нормам_00-022_Август/332d0a26-9460-467b-84d5-ad29423b8866.jpg","open")</f>
        <v/>
      </c>
      <c r="C6060" t="inlineStr">
        <is>
          <t>a1a9db89-3f74-42ef-8fad-ad69705102cd</t>
        </is>
      </c>
      <c r="D6060" t="n">
        <v>45.04786</v>
      </c>
      <c r="E6060" t="n">
        <v>33.9761</v>
      </c>
      <c r="F6060" t="inlineStr"/>
      <c r="G6060" t="inlineStr"/>
      <c r="H6060" t="inlineStr"/>
    </row>
    <row r="6061">
      <c r="A6061" t="inlineStr">
        <is>
          <t>d882f466-a09f-4be4-957c-a9322e3d3978.jpg</t>
        </is>
      </c>
      <c r="B6061">
        <f>HYPERLINK("Объекты недвижимости, не соответствующие градостроительным нормам_00-022_Август/d882f466-a09f-4be4-957c-a9322e3d3978.jpg","open")</f>
        <v/>
      </c>
      <c r="C6061" t="inlineStr">
        <is>
          <t>0dd30d74-4dbc-46a8-b638-91e1431bb398</t>
        </is>
      </c>
      <c r="D6061" t="n">
        <v>55.62018</v>
      </c>
      <c r="E6061" t="n">
        <v>37.4851</v>
      </c>
      <c r="F6061" t="inlineStr"/>
      <c r="G6061" t="inlineStr"/>
      <c r="H6061" t="inlineStr"/>
    </row>
    <row r="6062">
      <c r="A6062" t="inlineStr">
        <is>
          <t>225f1b71-eb41-49a6-b62f-7502c64e9299.jpg</t>
        </is>
      </c>
      <c r="B6062">
        <f>HYPERLINK("Объекты недвижимости, не соответствующие градостроительным нормам_00-022_Август/225f1b71-eb41-49a6-b62f-7502c64e9299.jpg","open")</f>
        <v/>
      </c>
      <c r="C6062" t="inlineStr">
        <is>
          <t>685d9054-b74f-49ab-857b-109fd2cec80d</t>
        </is>
      </c>
      <c r="D6062" t="n">
        <v>55.57217</v>
      </c>
      <c r="E6062" t="n">
        <v>37.56989</v>
      </c>
      <c r="F6062" t="inlineStr"/>
      <c r="G6062" t="inlineStr"/>
      <c r="H6062" t="inlineStr"/>
    </row>
    <row r="6063">
      <c r="A6063" t="inlineStr">
        <is>
          <t>f791fc89-849d-47af-a185-38282db42ecb.jpg</t>
        </is>
      </c>
      <c r="B6063">
        <f>HYPERLINK("Объекты недвижимости, не соответствующие градостроительным нормам_00-022_Август/f791fc89-849d-47af-a185-38282db42ecb.jpg","open")</f>
        <v/>
      </c>
      <c r="C6063" t="inlineStr">
        <is>
          <t>036c664f-5408-4fd0-b479-342c00468eeb</t>
        </is>
      </c>
      <c r="D6063" t="n">
        <v>55.73461</v>
      </c>
      <c r="E6063" t="n">
        <v>37.53498</v>
      </c>
      <c r="F6063" t="inlineStr"/>
      <c r="G6063" t="inlineStr"/>
      <c r="H6063" t="inlineStr"/>
    </row>
    <row r="6064">
      <c r="A6064" t="inlineStr">
        <is>
          <t>168cf663-fe35-47a8-8226-5eb98d99fdae.jpg</t>
        </is>
      </c>
      <c r="B6064">
        <f>HYPERLINK("Объекты недвижимости, не соответствующие градостроительным нормам_00-022_Август/168cf663-fe35-47a8-8226-5eb98d99fdae.jpg","open")</f>
        <v/>
      </c>
      <c r="C6064" t="inlineStr">
        <is>
          <t>cbf95b01-f708-45a3-9ec0-3603469b538e</t>
        </is>
      </c>
      <c r="D6064" t="n">
        <v>45.04786</v>
      </c>
      <c r="E6064" t="n">
        <v>33.9761</v>
      </c>
      <c r="F6064" t="inlineStr"/>
      <c r="G6064" t="inlineStr"/>
      <c r="H6064" t="inlineStr"/>
    </row>
    <row r="6065">
      <c r="A6065" t="inlineStr">
        <is>
          <t>89e7a32f-774a-477c-a21d-8497e749f5bc.jpg</t>
        </is>
      </c>
      <c r="B6065">
        <f>HYPERLINK("Объекты недвижимости, не соответствующие градостроительным нормам_00-022_Август/89e7a32f-774a-477c-a21d-8497e749f5bc.jpg","open")</f>
        <v/>
      </c>
      <c r="C6065" t="inlineStr">
        <is>
          <t>cbf95b01-f708-45a3-9ec0-3603469b538e</t>
        </is>
      </c>
      <c r="D6065" t="n">
        <v>45.04786</v>
      </c>
      <c r="E6065" t="n">
        <v>33.9761</v>
      </c>
      <c r="F6065" t="inlineStr"/>
      <c r="G6065" t="inlineStr"/>
      <c r="H6065" t="inlineStr"/>
    </row>
    <row r="6066">
      <c r="A6066" t="inlineStr">
        <is>
          <t>d7a249e7-7b72-4422-b27c-b89b144abc9f.jpg</t>
        </is>
      </c>
      <c r="B6066">
        <f>HYPERLINK("Объекты недвижимости, не соответствующие градостроительным нормам_00-022_Август/d7a249e7-7b72-4422-b27c-b89b144abc9f.jpg","open")</f>
        <v/>
      </c>
      <c r="C6066" t="inlineStr">
        <is>
          <t>cbf95b01-f708-45a3-9ec0-3603469b538e</t>
        </is>
      </c>
      <c r="D6066" t="n">
        <v>45.04786</v>
      </c>
      <c r="E6066" t="n">
        <v>33.9761</v>
      </c>
      <c r="F6066" t="inlineStr"/>
      <c r="G6066" t="inlineStr"/>
      <c r="H6066" t="inlineStr"/>
    </row>
    <row r="6067">
      <c r="A6067" t="inlineStr">
        <is>
          <t>0e3f3e95-584d-46ea-b278-72943e66ac7e.jpg</t>
        </is>
      </c>
      <c r="B6067">
        <f>HYPERLINK("Объекты недвижимости, не соответствующие градостроительным нормам_00-022_Август/0e3f3e95-584d-46ea-b278-72943e66ac7e.jpg","open")</f>
        <v/>
      </c>
      <c r="C6067" t="inlineStr">
        <is>
          <t>cbf95b01-f708-45a3-9ec0-3603469b538e</t>
        </is>
      </c>
      <c r="D6067" t="n">
        <v>45.04786</v>
      </c>
      <c r="E6067" t="n">
        <v>33.9761</v>
      </c>
      <c r="F6067" t="inlineStr"/>
      <c r="G6067" t="inlineStr"/>
      <c r="H6067" t="inlineStr"/>
    </row>
    <row r="6068">
      <c r="A6068" t="inlineStr">
        <is>
          <t>d1a508ee-cee8-4158-9644-4d845c2b4759.jpg</t>
        </is>
      </c>
      <c r="B6068">
        <f>HYPERLINK("Объекты недвижимости, не соответствующие градостроительным нормам_00-022_Август/d1a508ee-cee8-4158-9644-4d845c2b4759.jpg","open")</f>
        <v/>
      </c>
      <c r="C6068" t="inlineStr">
        <is>
          <t>cbf95b01-f708-45a3-9ec0-3603469b538e</t>
        </is>
      </c>
      <c r="D6068" t="n">
        <v>45.04786</v>
      </c>
      <c r="E6068" t="n">
        <v>33.9761</v>
      </c>
      <c r="F6068" t="inlineStr"/>
      <c r="G6068" t="inlineStr"/>
      <c r="H6068" t="inlineStr"/>
    </row>
    <row r="6069">
      <c r="A6069" t="inlineStr">
        <is>
          <t>b41e8085-ec3a-49ed-a4ff-b4f2af676376.jpg</t>
        </is>
      </c>
      <c r="B6069">
        <f>HYPERLINK("Объекты недвижимости, не соответствующие градостроительным нормам_00-022_Август/b41e8085-ec3a-49ed-a4ff-b4f2af676376.jpg","open")</f>
        <v/>
      </c>
      <c r="C6069" t="inlineStr">
        <is>
          <t>cbf95b01-f708-45a3-9ec0-3603469b538e</t>
        </is>
      </c>
      <c r="D6069" t="n">
        <v>45.04786</v>
      </c>
      <c r="E6069" t="n">
        <v>33.9761</v>
      </c>
      <c r="F6069" t="inlineStr"/>
      <c r="G6069" t="inlineStr"/>
      <c r="H6069" t="inlineStr"/>
    </row>
    <row r="6070">
      <c r="A6070" t="inlineStr">
        <is>
          <t>f70be3a8-292f-4c50-b824-feeba2e64af6.jpg</t>
        </is>
      </c>
      <c r="B6070">
        <f>HYPERLINK("Объекты недвижимости, не соответствующие градостроительным нормам_00-022_Август/f70be3a8-292f-4c50-b824-feeba2e64af6.jpg","open")</f>
        <v/>
      </c>
      <c r="C6070" t="inlineStr">
        <is>
          <t>cbf95b01-f708-45a3-9ec0-3603469b538e</t>
        </is>
      </c>
      <c r="D6070" t="n">
        <v>45.04786</v>
      </c>
      <c r="E6070" t="n">
        <v>33.9761</v>
      </c>
      <c r="F6070" t="inlineStr"/>
      <c r="G6070" t="inlineStr"/>
      <c r="H6070" t="inlineStr"/>
    </row>
    <row r="6071">
      <c r="A6071" t="inlineStr">
        <is>
          <t>d023406e-6c34-40ce-bf28-a310d7e81bca.jpg</t>
        </is>
      </c>
      <c r="B6071">
        <f>HYPERLINK("Объекты недвижимости, не соответствующие градостроительным нормам_00-022_Август/d023406e-6c34-40ce-bf28-a310d7e81bca.jpg","open")</f>
        <v/>
      </c>
      <c r="C6071" t="inlineStr">
        <is>
          <t>cbf95b01-f708-45a3-9ec0-3603469b538e</t>
        </is>
      </c>
      <c r="D6071" t="n">
        <v>45.04786</v>
      </c>
      <c r="E6071" t="n">
        <v>33.9761</v>
      </c>
      <c r="F6071" t="inlineStr"/>
      <c r="G6071" t="inlineStr"/>
      <c r="H6071" t="inlineStr"/>
    </row>
    <row r="6072">
      <c r="A6072" t="inlineStr">
        <is>
          <t>18cec350-788b-4380-9dca-c8fe46ce553a.jpg</t>
        </is>
      </c>
      <c r="B6072">
        <f>HYPERLINK("Объекты недвижимости, не соответствующие градостроительным нормам_00-022_Август/18cec350-788b-4380-9dca-c8fe46ce553a.jpg","open")</f>
        <v/>
      </c>
      <c r="C6072" t="inlineStr">
        <is>
          <t>cbf95b01-f708-45a3-9ec0-3603469b538e</t>
        </is>
      </c>
      <c r="D6072" t="n">
        <v>45.04786</v>
      </c>
      <c r="E6072" t="n">
        <v>33.9761</v>
      </c>
      <c r="F6072" t="inlineStr"/>
      <c r="G6072" t="inlineStr"/>
      <c r="H6072" t="inlineStr"/>
    </row>
    <row r="6073">
      <c r="A6073" t="inlineStr">
        <is>
          <t>2567672b-ecce-4405-abea-8974a44d4cf5.jpg</t>
        </is>
      </c>
      <c r="B6073">
        <f>HYPERLINK("Объекты недвижимости, не соответствующие градостроительным нормам_00-022_Август/2567672b-ecce-4405-abea-8974a44d4cf5.jpg","open")</f>
        <v/>
      </c>
      <c r="C6073" t="inlineStr">
        <is>
          <t>a1a9db89-3f74-42ef-8fad-ad69705102cd</t>
        </is>
      </c>
      <c r="D6073" t="n">
        <v>45.04786</v>
      </c>
      <c r="E6073" t="n">
        <v>33.9761</v>
      </c>
      <c r="F6073" t="inlineStr"/>
      <c r="G6073" t="inlineStr"/>
      <c r="H6073" t="inlineStr"/>
    </row>
    <row r="6074">
      <c r="A6074" t="inlineStr">
        <is>
          <t>178ae30f-51b5-4da2-a246-ffa422983fdd.jpg</t>
        </is>
      </c>
      <c r="B6074">
        <f>HYPERLINK("Объекты недвижимости, не соответствующие градостроительным нормам_00-022_Август/178ae30f-51b5-4da2-a246-ffa422983fdd.jpg","open")</f>
        <v/>
      </c>
      <c r="C6074" t="inlineStr">
        <is>
          <t>685d9054-b74f-49ab-857b-109fd2cec80d</t>
        </is>
      </c>
      <c r="D6074" t="n">
        <v>55.57251</v>
      </c>
      <c r="E6074" t="n">
        <v>37.56889</v>
      </c>
      <c r="F6074" t="inlineStr"/>
      <c r="G6074" t="inlineStr"/>
      <c r="H6074" t="inlineStr"/>
    </row>
    <row r="6075">
      <c r="A6075" t="inlineStr">
        <is>
          <t>36722685-8906-47f0-a8a8-7600230f536e.jpg</t>
        </is>
      </c>
      <c r="B6075">
        <f>HYPERLINK("Объекты недвижимости, не соответствующие градостроительным нормам_00-022_Август/36722685-8906-47f0-a8a8-7600230f536e.jpg","open")</f>
        <v/>
      </c>
      <c r="C6075" t="inlineStr">
        <is>
          <t>1231bbc5-e64c-4dc7-9acc-77710f47607a</t>
        </is>
      </c>
      <c r="D6075" t="n">
        <v>55.57274</v>
      </c>
      <c r="E6075" t="n">
        <v>37.56897</v>
      </c>
      <c r="F6075" t="inlineStr"/>
      <c r="G6075" t="inlineStr"/>
      <c r="H6075" t="inlineStr"/>
    </row>
    <row r="6076">
      <c r="A6076" t="inlineStr">
        <is>
          <t>6074db83-90cb-4a97-bb66-a36098b47931.jpg</t>
        </is>
      </c>
      <c r="B6076">
        <f>HYPERLINK("Объекты недвижимости, не соответствующие градостроительным нормам_00-022_Август/6074db83-90cb-4a97-bb66-a36098b47931.jpg","open")</f>
        <v/>
      </c>
      <c r="C6076" t="inlineStr">
        <is>
          <t>8cde1fd0-eca1-4510-86ab-3c743b65fdfc</t>
        </is>
      </c>
      <c r="D6076" t="n">
        <v>55.88012</v>
      </c>
      <c r="E6076" t="n">
        <v>37.49103</v>
      </c>
      <c r="F6076" t="inlineStr"/>
      <c r="G6076" t="inlineStr"/>
      <c r="H6076" t="inlineStr"/>
    </row>
    <row r="6077">
      <c r="A6077" t="inlineStr">
        <is>
          <t>0038c5b2-d212-499d-b19c-3784ed1c74ed.jpg</t>
        </is>
      </c>
      <c r="B6077">
        <f>HYPERLINK("Объекты недвижимости, не соответствующие градостроительным нормам_00-022_Август/0038c5b2-d212-499d-b19c-3784ed1c74ed.jpg","open")</f>
        <v/>
      </c>
      <c r="C6077" t="inlineStr">
        <is>
          <t>b0429a31-0c70-4b9f-8ea5-73929d82f89e</t>
        </is>
      </c>
      <c r="D6077" t="n">
        <v>55.64591</v>
      </c>
      <c r="E6077" t="n">
        <v>37.60806</v>
      </c>
      <c r="F6077" t="inlineStr"/>
      <c r="G6077" t="inlineStr"/>
      <c r="H6077" t="inlineStr"/>
    </row>
    <row r="6078">
      <c r="A6078" t="inlineStr">
        <is>
          <t>3fa95904-594a-4007-aa01-37584906fef9.jpg</t>
        </is>
      </c>
      <c r="B6078">
        <f>HYPERLINK("Объекты недвижимости, не соответствующие градостроительным нормам_00-022_Август/3fa95904-594a-4007-aa01-37584906fef9.jpg","open")</f>
        <v/>
      </c>
      <c r="C6078" t="inlineStr">
        <is>
          <t>936502dd-24a4-4256-9fdf-0d8fb72af3ed</t>
        </is>
      </c>
      <c r="D6078" t="n">
        <v>55.6781</v>
      </c>
      <c r="E6078" t="n">
        <v>37.67018</v>
      </c>
      <c r="F6078" t="inlineStr"/>
      <c r="G6078" t="inlineStr"/>
      <c r="H6078" t="inlineStr"/>
    </row>
    <row r="6079">
      <c r="A6079" t="inlineStr">
        <is>
          <t>b7c6ed03-7f5d-4d54-8c9d-d84f53028d6e.jpg</t>
        </is>
      </c>
      <c r="B6079">
        <f>HYPERLINK("Объекты недвижимости, не соответствующие градостроительным нормам_00-022_Август/b7c6ed03-7f5d-4d54-8c9d-d84f53028d6e.jpg","open")</f>
        <v/>
      </c>
      <c r="C6079" t="inlineStr">
        <is>
          <t>936502dd-24a4-4256-9fdf-0d8fb72af3ed</t>
        </is>
      </c>
      <c r="D6079" t="n">
        <v>55.67809</v>
      </c>
      <c r="E6079" t="n">
        <v>37.67019</v>
      </c>
      <c r="F6079" t="inlineStr"/>
      <c r="G6079" t="inlineStr"/>
      <c r="H6079" t="inlineStr"/>
    </row>
    <row r="6080">
      <c r="A6080" t="inlineStr">
        <is>
          <t>5e397501-e0b5-46b8-856c-737157c0da02.jpg</t>
        </is>
      </c>
      <c r="B6080">
        <f>HYPERLINK("Объекты недвижимости, не соответствующие градостроительным нормам_00-022_Август/5e397501-e0b5-46b8-856c-737157c0da02.jpg","open")</f>
        <v/>
      </c>
      <c r="C6080" t="inlineStr">
        <is>
          <t>caa4772d-6278-4484-a046-ee25514bf521</t>
        </is>
      </c>
      <c r="D6080" t="n">
        <v>55.71862</v>
      </c>
      <c r="E6080" t="n">
        <v>37.78206</v>
      </c>
      <c r="F6080" t="inlineStr"/>
      <c r="G6080" t="inlineStr"/>
      <c r="H6080" t="inlineStr"/>
    </row>
    <row r="6081">
      <c r="A6081" t="inlineStr">
        <is>
          <t>3c721ac8-d72c-49d8-af22-55ca9e46134f.jpg</t>
        </is>
      </c>
      <c r="B6081">
        <f>HYPERLINK("Объекты недвижимости, не соответствующие градостроительным нормам_00-022_Август/3c721ac8-d72c-49d8-af22-55ca9e46134f.jpg","open")</f>
        <v/>
      </c>
      <c r="C6081" t="inlineStr">
        <is>
          <t>fb40ed24-21ef-458a-a239-038ab19932cc</t>
        </is>
      </c>
      <c r="D6081" t="n">
        <v>55.80316</v>
      </c>
      <c r="E6081" t="n">
        <v>37.82594</v>
      </c>
      <c r="F6081" t="inlineStr"/>
      <c r="G6081" t="inlineStr"/>
      <c r="H6081" t="inlineStr"/>
    </row>
    <row r="6082">
      <c r="A6082" t="inlineStr">
        <is>
          <t>0063b953-9744-45d9-b7f2-cc90fb981d83.jpg</t>
        </is>
      </c>
      <c r="B6082">
        <f>HYPERLINK("Объекты недвижимости, не соответствующие градостроительным нормам_00-022_Август/0063b953-9744-45d9-b7f2-cc90fb981d83.jpg","open")</f>
        <v/>
      </c>
      <c r="C6082" t="inlineStr">
        <is>
          <t>ed2bf0f1-3a66-4913-896e-4420a9796c0b</t>
        </is>
      </c>
      <c r="D6082" t="n">
        <v>55.58714</v>
      </c>
      <c r="E6082" t="n">
        <v>37.54662</v>
      </c>
      <c r="F6082" t="inlineStr"/>
      <c r="G6082" t="inlineStr"/>
      <c r="H6082" t="inlineStr"/>
    </row>
    <row r="6083">
      <c r="A6083" t="inlineStr">
        <is>
          <t>6f7a3ec2-fa55-42e1-b409-827e6c0b40c3.jpg</t>
        </is>
      </c>
      <c r="B6083">
        <f>HYPERLINK("Объекты недвижимости, не соответствующие градостроительным нормам_00-022_Август/6f7a3ec2-fa55-42e1-b409-827e6c0b40c3.jpg","open")</f>
        <v/>
      </c>
      <c r="C6083" t="inlineStr">
        <is>
          <t>685d9054-b74f-49ab-857b-109fd2cec80d</t>
        </is>
      </c>
      <c r="D6083" t="n">
        <v>55.57318</v>
      </c>
      <c r="E6083" t="n">
        <v>37.56607</v>
      </c>
      <c r="F6083" t="inlineStr"/>
      <c r="G6083" t="inlineStr"/>
      <c r="H6083" t="inlineStr"/>
    </row>
    <row r="6084">
      <c r="A6084" t="inlineStr">
        <is>
          <t>1f1f3f25-d8e6-468d-bef2-eb0166656775.jpg</t>
        </is>
      </c>
      <c r="B6084">
        <f>HYPERLINK("Объекты недвижимости, не соответствующие градостроительным нормам_00-022_Август/1f1f3f25-d8e6-468d-bef2-eb0166656775.jpg","open")</f>
        <v/>
      </c>
      <c r="C6084" t="inlineStr">
        <is>
          <t>685d9054-b74f-49ab-857b-109fd2cec80d</t>
        </is>
      </c>
      <c r="D6084" t="n">
        <v>55.57399</v>
      </c>
      <c r="E6084" t="n">
        <v>37.56669</v>
      </c>
      <c r="F6084" t="inlineStr"/>
      <c r="G6084" t="inlineStr"/>
      <c r="H6084" t="inlineStr"/>
    </row>
    <row r="6085">
      <c r="A6085" t="inlineStr">
        <is>
          <t>00c5f494-aec7-40e4-b90c-296f7216cf23.jpg</t>
        </is>
      </c>
      <c r="B6085">
        <f>HYPERLINK("Объекты недвижимости, не соответствующие градостроительным нормам_00-022_Август/00c5f494-aec7-40e4-b90c-296f7216cf23.jpg","open")</f>
        <v/>
      </c>
      <c r="C6085" t="inlineStr">
        <is>
          <t>cbf95b01-f708-45a3-9ec0-3603469b538e</t>
        </is>
      </c>
      <c r="D6085" t="n">
        <v>45.04786</v>
      </c>
      <c r="E6085" t="n">
        <v>33.9761</v>
      </c>
      <c r="F6085" t="inlineStr"/>
      <c r="G6085" t="inlineStr"/>
      <c r="H6085" t="inlineStr"/>
    </row>
    <row r="6086">
      <c r="A6086" t="inlineStr">
        <is>
          <t>4f5381d0-09f2-4aea-9661-e16d1111cc64.jpg</t>
        </is>
      </c>
      <c r="B6086">
        <f>HYPERLINK("Объекты недвижимости, не соответствующие градостроительным нормам_00-022_Август/4f5381d0-09f2-4aea-9661-e16d1111cc64.jpg","open")</f>
        <v/>
      </c>
      <c r="C6086" t="inlineStr">
        <is>
          <t>1231bbc5-e64c-4dc7-9acc-77710f47607a</t>
        </is>
      </c>
      <c r="D6086" t="n">
        <v>55.57384</v>
      </c>
      <c r="E6086" t="n">
        <v>37.56717</v>
      </c>
      <c r="F6086" t="inlineStr"/>
      <c r="G6086" t="inlineStr"/>
      <c r="H6086" t="inlineStr"/>
    </row>
    <row r="6087">
      <c r="A6087" t="inlineStr">
        <is>
          <t>3c94ad53-d833-4a27-a644-d602fc7d5689.jpg</t>
        </is>
      </c>
      <c r="B6087">
        <f>HYPERLINK("Объекты недвижимости, не соответствующие градостроительным нормам_00-022_Август/3c94ad53-d833-4a27-a644-d602fc7d5689.jpg","open")</f>
        <v/>
      </c>
      <c r="C6087" t="inlineStr">
        <is>
          <t>685d9054-b74f-49ab-857b-109fd2cec80d</t>
        </is>
      </c>
      <c r="D6087" t="n">
        <v>55.57384</v>
      </c>
      <c r="E6087" t="n">
        <v>37.56722</v>
      </c>
      <c r="F6087" t="inlineStr"/>
      <c r="G6087" t="inlineStr"/>
      <c r="H6087" t="inlineStr"/>
    </row>
    <row r="6088">
      <c r="A6088" t="inlineStr">
        <is>
          <t>3947671c-d03c-4d1e-b066-d53f9a833f1e.jpg</t>
        </is>
      </c>
      <c r="B6088">
        <f>HYPERLINK("Объекты недвижимости, не соответствующие градостроительным нормам_00-022_Август/3947671c-d03c-4d1e-b066-d53f9a833f1e.jpg","open")</f>
        <v/>
      </c>
      <c r="C6088" t="inlineStr">
        <is>
          <t>cbf95b01-f708-45a3-9ec0-3603469b538e</t>
        </is>
      </c>
      <c r="D6088" t="n">
        <v>55.68532</v>
      </c>
      <c r="E6088" t="n">
        <v>37.42265</v>
      </c>
      <c r="F6088" t="inlineStr"/>
      <c r="G6088" t="inlineStr"/>
      <c r="H6088" t="inlineStr"/>
    </row>
    <row r="6089">
      <c r="A6089" t="inlineStr">
        <is>
          <t>f78574d4-f330-4e96-9ae3-c2bc6b12059e.jpg</t>
        </is>
      </c>
      <c r="B6089">
        <f>HYPERLINK("Объекты недвижимости, не соответствующие градостроительным нормам_00-022_Август/f78574d4-f330-4e96-9ae3-c2bc6b12059e.jpg","open")</f>
        <v/>
      </c>
      <c r="C6089" t="inlineStr">
        <is>
          <t>93848fc8-17e7-4748-9ebc-c7e379e11d2f</t>
        </is>
      </c>
      <c r="D6089" t="n">
        <v>55.66695</v>
      </c>
      <c r="E6089" t="n">
        <v>37.55126</v>
      </c>
      <c r="F6089" t="inlineStr"/>
      <c r="G6089" t="inlineStr"/>
      <c r="H6089" t="inlineStr"/>
    </row>
    <row r="6090">
      <c r="A6090" t="inlineStr">
        <is>
          <t>3a747d7b-b8dc-41ea-a249-33b058f43b43.jpg</t>
        </is>
      </c>
      <c r="B6090">
        <f>HYPERLINK("Объекты недвижимости, не соответствующие градостроительным нормам_00-022_Август/3a747d7b-b8dc-41ea-a249-33b058f43b43.jpg","open")</f>
        <v/>
      </c>
      <c r="C6090" t="inlineStr">
        <is>
          <t>a28f597e-d1cd-4d3b-b572-c86d033412e9</t>
        </is>
      </c>
      <c r="D6090" t="n">
        <v>54.97554</v>
      </c>
      <c r="E6090" t="n">
        <v>41.4266</v>
      </c>
      <c r="F6090" t="inlineStr"/>
      <c r="G6090" t="inlineStr"/>
      <c r="H6090" t="inlineStr"/>
    </row>
    <row r="6091">
      <c r="A6091" t="inlineStr">
        <is>
          <t>8650b568-4236-4b07-8843-a14679034b44.jpg</t>
        </is>
      </c>
      <c r="B6091">
        <f>HYPERLINK("Объекты недвижимости, не соответствующие градостроительным нормам_00-022_Август/8650b568-4236-4b07-8843-a14679034b44.jpg","open")</f>
        <v/>
      </c>
      <c r="C6091" t="inlineStr">
        <is>
          <t>b0429a31-0c70-4b9f-8ea5-73929d82f89e</t>
        </is>
      </c>
      <c r="D6091" t="n">
        <v>55.64848</v>
      </c>
      <c r="E6091" t="n">
        <v>37.60543</v>
      </c>
      <c r="F6091" t="inlineStr"/>
      <c r="G6091" t="inlineStr"/>
      <c r="H6091" t="inlineStr"/>
    </row>
    <row r="6092">
      <c r="A6092" t="inlineStr">
        <is>
          <t>10be0f49-485a-4d84-a868-f62b1f8e670e.jpg</t>
        </is>
      </c>
      <c r="B6092">
        <f>HYPERLINK("Объекты недвижимости, не соответствующие градостроительным нормам_00-022_Август/10be0f49-485a-4d84-a868-f62b1f8e670e.jpg","open")</f>
        <v/>
      </c>
      <c r="C6092" t="inlineStr">
        <is>
          <t>ed2bf0f1-3a66-4913-896e-4420a9796c0b</t>
        </is>
      </c>
      <c r="D6092" t="n">
        <v>55.69047</v>
      </c>
      <c r="E6092" t="n">
        <v>37.62201</v>
      </c>
      <c r="F6092" t="inlineStr"/>
      <c r="G6092" t="inlineStr"/>
      <c r="H6092" t="inlineStr"/>
    </row>
    <row r="6093">
      <c r="A6093" t="inlineStr">
        <is>
          <t>2c1e41ba-18ee-4515-8dab-000ca4a7a205.jpg</t>
        </is>
      </c>
      <c r="B6093">
        <f>HYPERLINK("Объекты недвижимости, не соответствующие градостроительным нормам_00-022_Август/2c1e41ba-18ee-4515-8dab-000ca4a7a205.jpg","open")</f>
        <v/>
      </c>
      <c r="C6093" t="inlineStr">
        <is>
          <t>b0b7ea82-53be-40d0-b992-e2fd18611d5c</t>
        </is>
      </c>
      <c r="D6093" t="n">
        <v>55.73325</v>
      </c>
      <c r="E6093" t="n">
        <v>37.71259</v>
      </c>
      <c r="F6093" t="inlineStr"/>
      <c r="G6093" t="inlineStr"/>
      <c r="H6093" t="inlineStr"/>
    </row>
    <row r="6094">
      <c r="A6094" t="inlineStr">
        <is>
          <t>208d6560-bcc7-4bcf-a39c-aa158ee7555a.jpg</t>
        </is>
      </c>
      <c r="B6094">
        <f>HYPERLINK("Объекты недвижимости, не соответствующие градостроительным нормам_00-022_Август/208d6560-bcc7-4bcf-a39c-aa158ee7555a.jpg","open")</f>
        <v/>
      </c>
      <c r="C6094" t="inlineStr">
        <is>
          <t>b0b7ea82-53be-40d0-b992-e2fd18611d5c</t>
        </is>
      </c>
      <c r="D6094" t="n">
        <v>55.73734</v>
      </c>
      <c r="E6094" t="n">
        <v>37.70501</v>
      </c>
      <c r="F6094" t="inlineStr"/>
      <c r="G6094" t="inlineStr"/>
      <c r="H6094" t="inlineStr"/>
    </row>
    <row r="6095">
      <c r="A6095" t="inlineStr">
        <is>
          <t>68ce0882-f5ee-47bd-9c76-cd41b1210f00.jpg</t>
        </is>
      </c>
      <c r="B6095">
        <f>HYPERLINK("Объекты недвижимости, не соответствующие градостроительным нормам_00-022_Август/68ce0882-f5ee-47bd-9c76-cd41b1210f00.jpg","open")</f>
        <v/>
      </c>
      <c r="C6095" t="inlineStr">
        <is>
          <t>ffd931da-542f-43e9-979f-5552b17fe3dc</t>
        </is>
      </c>
      <c r="D6095" t="n">
        <v>55.7134</v>
      </c>
      <c r="E6095" t="n">
        <v>37.86134</v>
      </c>
      <c r="F6095" t="inlineStr"/>
      <c r="G6095" t="inlineStr"/>
      <c r="H6095" t="inlineStr"/>
    </row>
    <row r="6096">
      <c r="A6096" t="inlineStr">
        <is>
          <t>3cbaf72f-1a06-4ddf-a16c-ced69ea6601c.jpg</t>
        </is>
      </c>
      <c r="B6096">
        <f>HYPERLINK("Объекты недвижимости, не соответствующие градостроительным нормам_00-022_Август/3cbaf72f-1a06-4ddf-a16c-ced69ea6601c.jpg","open")</f>
        <v/>
      </c>
      <c r="C6096" t="inlineStr">
        <is>
          <t>789f6c51-64ee-4078-b7bd-443af8b8b68a</t>
        </is>
      </c>
      <c r="D6096" t="n">
        <v>55.8679</v>
      </c>
      <c r="E6096" t="n">
        <v>37.6051</v>
      </c>
      <c r="F6096" t="inlineStr"/>
      <c r="G6096" t="inlineStr"/>
      <c r="H6096" t="inlineStr"/>
    </row>
    <row r="6097">
      <c r="A6097" t="inlineStr">
        <is>
          <t>0d3ac3c0-0702-4e5c-851e-ce68c76c12ad.jpg</t>
        </is>
      </c>
      <c r="B6097">
        <f>HYPERLINK("Объекты недвижимости, не соответствующие градостроительным нормам_00-022_Август/0d3ac3c0-0702-4e5c-851e-ce68c76c12ad.jpg","open")</f>
        <v/>
      </c>
      <c r="C6097" t="inlineStr">
        <is>
          <t>ed2bf0f1-3a66-4913-896e-4420a9796c0b</t>
        </is>
      </c>
      <c r="D6097" t="n">
        <v>55.71654</v>
      </c>
      <c r="E6097" t="n">
        <v>37.68786</v>
      </c>
      <c r="F6097" t="inlineStr"/>
      <c r="G6097" t="inlineStr"/>
      <c r="H6097" t="inlineStr"/>
    </row>
    <row r="6098">
      <c r="A6098" t="inlineStr">
        <is>
          <t>a5f259f5-d973-4747-b3ab-f4b53b971e1d.jpg</t>
        </is>
      </c>
      <c r="B6098">
        <f>HYPERLINK("Объекты недвижимости, не соответствующие градостроительным нормам_00-022_Август/a5f259f5-d973-4747-b3ab-f4b53b971e1d.jpg","open")</f>
        <v/>
      </c>
      <c r="C6098" t="inlineStr">
        <is>
          <t>ed2bf0f1-3a66-4913-896e-4420a9796c0b</t>
        </is>
      </c>
      <c r="D6098" t="n">
        <v>55.72122</v>
      </c>
      <c r="E6098" t="n">
        <v>37.70625</v>
      </c>
      <c r="F6098" t="inlineStr"/>
      <c r="G6098" t="inlineStr"/>
      <c r="H6098" t="inlineStr"/>
    </row>
    <row r="6099">
      <c r="A6099" t="inlineStr">
        <is>
          <t>93bdc9ce-009f-4ada-906d-067b588f4013.jpg</t>
        </is>
      </c>
      <c r="B6099">
        <f>HYPERLINK("Объекты недвижимости, не соответствующие градостроительным нормам_00-022_Август/93bdc9ce-009f-4ada-906d-067b588f4013.jpg","open")</f>
        <v/>
      </c>
      <c r="C6099" t="inlineStr">
        <is>
          <t>b0429a31-0c70-4b9f-8ea5-73929d82f89e</t>
        </is>
      </c>
      <c r="D6099" t="n">
        <v>55.64268</v>
      </c>
      <c r="E6099" t="n">
        <v>37.60902</v>
      </c>
      <c r="F6099" t="inlineStr"/>
      <c r="G6099" t="inlineStr"/>
      <c r="H6099" t="inlineStr"/>
    </row>
    <row r="6100">
      <c r="A6100" t="inlineStr">
        <is>
          <t>a445230f-4bf6-4d8c-b103-b6d3a7e25bb1.jpg</t>
        </is>
      </c>
      <c r="B6100">
        <f>HYPERLINK("Объекты недвижимости, не соответствующие градостроительным нормам_00-022_Август/a445230f-4bf6-4d8c-b103-b6d3a7e25bb1.jpg","open")</f>
        <v/>
      </c>
      <c r="C6100" t="inlineStr">
        <is>
          <t>1231bbc5-e64c-4dc7-9acc-77710f47607a</t>
        </is>
      </c>
      <c r="D6100" t="n">
        <v>55.55986</v>
      </c>
      <c r="E6100" t="n">
        <v>37.58643</v>
      </c>
      <c r="F6100" t="inlineStr"/>
      <c r="G6100" t="inlineStr"/>
      <c r="H6100" t="inlineStr"/>
    </row>
    <row r="6101">
      <c r="A6101" t="inlineStr">
        <is>
          <t>36ef4b8b-bee0-463f-bb53-e6f52a8b1e30.jpg</t>
        </is>
      </c>
      <c r="B6101">
        <f>HYPERLINK("Объекты недвижимости, не соответствующие градостроительным нормам_00-022_Август/36ef4b8b-bee0-463f-bb53-e6f52a8b1e30.jpg","open")</f>
        <v/>
      </c>
      <c r="C6101" t="inlineStr">
        <is>
          <t>1a55986c-2c3f-40c0-b3d1-014dce77832e</t>
        </is>
      </c>
      <c r="D6101" t="n">
        <v>55.74161</v>
      </c>
      <c r="E6101" t="n">
        <v>37.69765</v>
      </c>
      <c r="F6101" t="inlineStr"/>
      <c r="G6101" t="inlineStr"/>
      <c r="H6101" t="inlineStr"/>
    </row>
    <row r="6102">
      <c r="A6102" t="inlineStr">
        <is>
          <t>16155204-975f-4690-8642-6b41554aa746.jpg</t>
        </is>
      </c>
      <c r="B6102">
        <f>HYPERLINK("Объекты недвижимости, не соответствующие градостроительным нормам_00-022_Август/16155204-975f-4690-8642-6b41554aa746.jpg","open")</f>
        <v/>
      </c>
      <c r="C6102" t="inlineStr">
        <is>
          <t>ed2bf0f1-3a66-4913-896e-4420a9796c0b</t>
        </is>
      </c>
      <c r="D6102" t="n">
        <v>55.74318</v>
      </c>
      <c r="E6102" t="n">
        <v>37.69836</v>
      </c>
      <c r="F6102" t="inlineStr"/>
      <c r="G6102" t="inlineStr"/>
      <c r="H6102" t="inlineStr"/>
    </row>
    <row r="6103">
      <c r="A6103" t="inlineStr">
        <is>
          <t>48e87aff-02ce-48a8-9390-7139333c6b02.jpg</t>
        </is>
      </c>
      <c r="B6103">
        <f>HYPERLINK("Объекты недвижимости, не соответствующие градостроительным нормам_00-022_Август/48e87aff-02ce-48a8-9390-7139333c6b02.jpg","open")</f>
        <v/>
      </c>
      <c r="C6103" t="inlineStr">
        <is>
          <t>b0429a31-0c70-4b9f-8ea5-73929d82f89e</t>
        </is>
      </c>
      <c r="D6103" t="n">
        <v>55.6425</v>
      </c>
      <c r="E6103" t="n">
        <v>37.60821</v>
      </c>
      <c r="F6103" t="inlineStr"/>
      <c r="G6103" t="inlineStr"/>
      <c r="H6103" t="inlineStr"/>
    </row>
    <row r="6104">
      <c r="A6104" t="inlineStr">
        <is>
          <t>d6584b8c-9859-473b-b8c5-bbcc87854efb.jpg</t>
        </is>
      </c>
      <c r="B6104">
        <f>HYPERLINK("Объекты недвижимости, не соответствующие градостроительным нормам_00-022_Август/d6584b8c-9859-473b-b8c5-bbcc87854efb.jpg","open")</f>
        <v/>
      </c>
      <c r="C6104" t="inlineStr">
        <is>
          <t>99f3abba-c55b-49f0-9de5-9f88e9597cc0</t>
        </is>
      </c>
      <c r="D6104" t="n">
        <v>55.64348</v>
      </c>
      <c r="E6104" t="n">
        <v>37.60676</v>
      </c>
      <c r="F6104" t="inlineStr"/>
      <c r="G6104" t="inlineStr"/>
      <c r="H6104" t="inlineStr"/>
    </row>
    <row r="6105">
      <c r="A6105" t="inlineStr">
        <is>
          <t>a705cf55-ef93-4f2b-9a4a-19fea1db044c.jpg</t>
        </is>
      </c>
      <c r="B6105">
        <f>HYPERLINK("Объекты недвижимости, не соответствующие градостроительным нормам_00-022_Август/a705cf55-ef93-4f2b-9a4a-19fea1db044c.jpg","open")</f>
        <v/>
      </c>
      <c r="C6105" t="inlineStr">
        <is>
          <t>685d9054-b74f-49ab-857b-109fd2cec80d</t>
        </is>
      </c>
      <c r="D6105" t="n">
        <v>55.57001</v>
      </c>
      <c r="E6105" t="n">
        <v>37.613</v>
      </c>
      <c r="F6105" t="inlineStr"/>
      <c r="G6105" t="inlineStr"/>
      <c r="H6105" t="inlineStr"/>
    </row>
    <row r="6106">
      <c r="A6106" t="inlineStr">
        <is>
          <t>19641bc9-f64f-4ac9-a11a-15b487bec635.jpg</t>
        </is>
      </c>
      <c r="B6106">
        <f>HYPERLINK("Объекты недвижимости, не соответствующие градостроительным нормам_00-022_Август/19641bc9-f64f-4ac9-a11a-15b487bec635.jpg","open")</f>
        <v/>
      </c>
      <c r="C6106" t="inlineStr">
        <is>
          <t>ffd931da-542f-43e9-979f-5552b17fe3dc</t>
        </is>
      </c>
      <c r="D6106" t="n">
        <v>55.71272</v>
      </c>
      <c r="E6106" t="n">
        <v>37.85604</v>
      </c>
      <c r="F6106" t="inlineStr"/>
      <c r="G6106" t="inlineStr"/>
      <c r="H6106" t="inlineStr"/>
    </row>
    <row r="6107">
      <c r="A6107" t="inlineStr">
        <is>
          <t>0d0be8b2-0b6c-421e-8f48-31d7e9806a72.jpg</t>
        </is>
      </c>
      <c r="B6107">
        <f>HYPERLINK("Объекты недвижимости, не соответствующие градостроительным нормам_00-022_Август/0d0be8b2-0b6c-421e-8f48-31d7e9806a72.jpg","open")</f>
        <v/>
      </c>
      <c r="C6107" t="inlineStr">
        <is>
          <t>93848fc8-17e7-4748-9ebc-c7e379e11d2f</t>
        </is>
      </c>
      <c r="D6107" t="n">
        <v>55.70601</v>
      </c>
      <c r="E6107" t="n">
        <v>37.5864</v>
      </c>
      <c r="F6107" t="inlineStr"/>
      <c r="G6107" t="inlineStr"/>
      <c r="H6107" t="inlineStr"/>
    </row>
    <row r="6108">
      <c r="A6108" t="inlineStr">
        <is>
          <t>6a816aaf-dec5-4182-a735-a20c0337f542.jpg</t>
        </is>
      </c>
      <c r="B6108">
        <f>HYPERLINK("Объекты недвижимости, не соответствующие градостроительным нормам_00-022_Август/6a816aaf-dec5-4182-a735-a20c0337f542.jpg","open")</f>
        <v/>
      </c>
      <c r="C6108" t="inlineStr">
        <is>
          <t>685d9054-b74f-49ab-857b-109fd2cec80d</t>
        </is>
      </c>
      <c r="D6108" t="n">
        <v>55.63736</v>
      </c>
      <c r="E6108" t="n">
        <v>37.6701</v>
      </c>
      <c r="F6108" t="inlineStr"/>
      <c r="G6108" t="inlineStr"/>
      <c r="H6108" t="inlineStr"/>
    </row>
    <row r="6109">
      <c r="A6109" t="inlineStr">
        <is>
          <t>15bfa5e0-44dc-47a2-980d-c8faeb93ec36.jpg</t>
        </is>
      </c>
      <c r="B6109">
        <f>HYPERLINK("Объекты недвижимости, не соответствующие градостроительным нормам_00-022_Август/15bfa5e0-44dc-47a2-980d-c8faeb93ec36.jpg","open")</f>
        <v/>
      </c>
      <c r="C6109" t="inlineStr">
        <is>
          <t>685d9054-b74f-49ab-857b-109fd2cec80d</t>
        </is>
      </c>
      <c r="D6109" t="n">
        <v>55.63683</v>
      </c>
      <c r="E6109" t="n">
        <v>37.67763</v>
      </c>
      <c r="F6109" t="inlineStr"/>
      <c r="G6109" t="inlineStr"/>
      <c r="H6109" t="inlineStr"/>
    </row>
    <row r="6110">
      <c r="A6110" t="inlineStr">
        <is>
          <t>e4f3a5b8-3de3-4535-847e-76cf17b0cd45.jpg</t>
        </is>
      </c>
      <c r="B6110">
        <f>HYPERLINK("Объекты недвижимости, не соответствующие градостроительным нормам_00-022_Август/e4f3a5b8-3de3-4535-847e-76cf17b0cd45.jpg","open")</f>
        <v/>
      </c>
      <c r="C6110" t="inlineStr">
        <is>
          <t>685d9054-b74f-49ab-857b-109fd2cec80d</t>
        </is>
      </c>
      <c r="D6110" t="n">
        <v>55.66626</v>
      </c>
      <c r="E6110" t="n">
        <v>37.72203</v>
      </c>
      <c r="F6110" t="inlineStr"/>
      <c r="G6110" t="inlineStr"/>
      <c r="H6110" t="inlineStr"/>
    </row>
    <row r="6111">
      <c r="A6111" t="inlineStr">
        <is>
          <t>f7a85fbe-34ef-451d-b1bc-4e8ddd12661e.jpg</t>
        </is>
      </c>
      <c r="B6111">
        <f>HYPERLINK("Объекты недвижимости, не соответствующие градостроительным нормам_00-022_Август/f7a85fbe-34ef-451d-b1bc-4e8ddd12661e.jpg","open")</f>
        <v/>
      </c>
      <c r="C6111" t="inlineStr">
        <is>
          <t>acedacc2-0d8b-4fc1-9622-25621a89d071</t>
        </is>
      </c>
      <c r="D6111" t="n">
        <v>55.81345</v>
      </c>
      <c r="E6111" t="n">
        <v>37.8138</v>
      </c>
      <c r="F6111" t="inlineStr"/>
      <c r="G6111" t="inlineStr"/>
      <c r="H6111" t="inlineStr"/>
    </row>
    <row r="6112">
      <c r="A6112" t="inlineStr">
        <is>
          <t>3912ec83-1b84-410e-b4c0-34533a32d6f6.jpg</t>
        </is>
      </c>
      <c r="B6112">
        <f>HYPERLINK("Объекты недвижимости, не соответствующие градостроительным нормам_00-022_Август/3912ec83-1b84-410e-b4c0-34533a32d6f6.jpg","open")</f>
        <v/>
      </c>
      <c r="C6112" t="inlineStr">
        <is>
          <t>685d9054-b74f-49ab-857b-109fd2cec80d</t>
        </is>
      </c>
      <c r="D6112" t="n">
        <v>55.73509</v>
      </c>
      <c r="E6112" t="n">
        <v>37.70576</v>
      </c>
      <c r="F6112" t="inlineStr"/>
      <c r="G6112" t="inlineStr"/>
      <c r="H6112" t="inlineStr"/>
    </row>
    <row r="6113">
      <c r="A6113" t="inlineStr">
        <is>
          <t>4c574fdb-e161-4004-acee-8fbd81708aa6.jpg</t>
        </is>
      </c>
      <c r="B6113">
        <f>HYPERLINK("Объекты недвижимости, не соответствующие градостроительным нормам_00-022_Август/4c574fdb-e161-4004-acee-8fbd81708aa6.jpg","open")</f>
        <v/>
      </c>
      <c r="C6113" t="inlineStr">
        <is>
          <t>b0b7ea82-53be-40d0-b992-e2fd18611d5c</t>
        </is>
      </c>
      <c r="D6113" t="n">
        <v>55.74747</v>
      </c>
      <c r="E6113" t="n">
        <v>37.70499</v>
      </c>
      <c r="F6113" t="inlineStr"/>
      <c r="G6113" t="inlineStr"/>
      <c r="H6113" t="inlineStr"/>
    </row>
    <row r="6114">
      <c r="A6114" t="inlineStr">
        <is>
          <t>d9ef73e7-0131-4878-9439-c67fdfa45d13.jpg</t>
        </is>
      </c>
      <c r="B6114">
        <f>HYPERLINK("Объекты недвижимости, не соответствующие градостроительным нормам_00-022_Август/d9ef73e7-0131-4878-9439-c67fdfa45d13.jpg","open")</f>
        <v/>
      </c>
      <c r="C6114" t="inlineStr">
        <is>
          <t>57812597-37e6-414c-8b11-8c661dbfeb70</t>
        </is>
      </c>
      <c r="D6114" t="n">
        <v>45.04416</v>
      </c>
      <c r="E6114" t="n">
        <v>33.99384</v>
      </c>
      <c r="F6114" t="inlineStr"/>
      <c r="G6114" t="inlineStr"/>
      <c r="H6114" t="inlineStr"/>
    </row>
    <row r="6115">
      <c r="A6115" t="inlineStr">
        <is>
          <t>351f0583-f163-4c39-a3d5-d2f5040d1edf.jpg</t>
        </is>
      </c>
      <c r="B6115">
        <f>HYPERLINK("Объекты недвижимости, не соответствующие градостроительным нормам_00-022_Август/351f0583-f163-4c39-a3d5-d2f5040d1edf.jpg","open")</f>
        <v/>
      </c>
      <c r="C6115" t="inlineStr">
        <is>
          <t>57812597-37e6-414c-8b11-8c661dbfeb70</t>
        </is>
      </c>
      <c r="D6115" t="n">
        <v>45.04416</v>
      </c>
      <c r="E6115" t="n">
        <v>33.99384</v>
      </c>
      <c r="F6115" t="inlineStr"/>
      <c r="G6115" t="inlineStr"/>
      <c r="H6115" t="inlineStr"/>
    </row>
    <row r="6116">
      <c r="A6116" t="inlineStr">
        <is>
          <t>379401b5-01a0-453f-8f94-33f34c026a88.jpg</t>
        </is>
      </c>
      <c r="B6116">
        <f>HYPERLINK("Объекты недвижимости, не соответствующие градостроительным нормам_00-022_Август/379401b5-01a0-453f-8f94-33f34c026a88.jpg","open")</f>
        <v/>
      </c>
      <c r="C6116" t="inlineStr">
        <is>
          <t>b0b7ea82-53be-40d0-b992-e2fd18611d5c</t>
        </is>
      </c>
      <c r="D6116" t="n">
        <v>55.75631</v>
      </c>
      <c r="E6116" t="n">
        <v>37.6907</v>
      </c>
      <c r="F6116" t="inlineStr"/>
      <c r="G6116" t="inlineStr"/>
      <c r="H6116" t="inlineStr"/>
    </row>
    <row r="6117">
      <c r="A6117" t="inlineStr">
        <is>
          <t>354e4a72-5757-4dc9-8605-69dd6aee8818.jpg</t>
        </is>
      </c>
      <c r="B6117">
        <f>HYPERLINK("Объекты недвижимости, не соответствующие градостроительным нормам_00-022_Август/354e4a72-5757-4dc9-8605-69dd6aee8818.jpg","open")</f>
        <v/>
      </c>
      <c r="C6117" t="inlineStr">
        <is>
          <t>1231bbc5-e64c-4dc7-9acc-77710f47607a</t>
        </is>
      </c>
      <c r="D6117" t="n">
        <v>55.74757</v>
      </c>
      <c r="E6117" t="n">
        <v>37.70025</v>
      </c>
      <c r="F6117" t="inlineStr"/>
      <c r="G6117" t="inlineStr"/>
      <c r="H6117" t="inlineStr"/>
    </row>
    <row r="6118">
      <c r="A6118" t="inlineStr">
        <is>
          <t>886c2a38-11a0-4cc7-b463-5f9ec5b49ff2.jpg</t>
        </is>
      </c>
      <c r="B6118">
        <f>HYPERLINK("Объекты недвижимости, не соответствующие градостроительным нормам_00-022_Август/886c2a38-11a0-4cc7-b463-5f9ec5b49ff2.jpg","open")</f>
        <v/>
      </c>
      <c r="C6118" t="inlineStr">
        <is>
          <t>685d9054-b74f-49ab-857b-109fd2cec80d</t>
        </is>
      </c>
      <c r="D6118" t="n">
        <v>55.74757</v>
      </c>
      <c r="E6118" t="n">
        <v>37.70025</v>
      </c>
      <c r="F6118" t="inlineStr"/>
      <c r="G6118" t="inlineStr"/>
      <c r="H6118" t="inlineStr"/>
    </row>
    <row r="6119">
      <c r="A6119" t="inlineStr">
        <is>
          <t>b3ccc26b-b755-4fd7-bd3a-66c34963a58f.jpg</t>
        </is>
      </c>
      <c r="B6119">
        <f>HYPERLINK("Объекты недвижимости, не соответствующие градостроительным нормам_00-022_Август/b3ccc26b-b755-4fd7-bd3a-66c34963a58f.jpg","open")</f>
        <v/>
      </c>
      <c r="C6119" t="inlineStr">
        <is>
          <t>0dd30d74-4dbc-46a8-b638-91e1431bb398</t>
        </is>
      </c>
      <c r="D6119" t="n">
        <v>55.75505</v>
      </c>
      <c r="E6119" t="n">
        <v>37.68957</v>
      </c>
      <c r="F6119" t="inlineStr"/>
      <c r="G6119" t="inlineStr"/>
      <c r="H6119" t="inlineStr"/>
    </row>
    <row r="6120">
      <c r="A6120" t="inlineStr">
        <is>
          <t>6474619f-c01b-49c8-a2e9-c2898be1b504.jpg</t>
        </is>
      </c>
      <c r="B6120">
        <f>HYPERLINK("Объекты недвижимости, не соответствующие градостроительным нормам_00-022_Август/6474619f-c01b-49c8-a2e9-c2898be1b504.jpg","open")</f>
        <v/>
      </c>
      <c r="C6120" t="inlineStr">
        <is>
          <t>8cde1fd0-eca1-4510-86ab-3c743b65fdfc</t>
        </is>
      </c>
      <c r="D6120" t="n">
        <v>55.84719</v>
      </c>
      <c r="E6120" t="n">
        <v>37.61224</v>
      </c>
      <c r="F6120" t="inlineStr"/>
      <c r="G6120" t="inlineStr"/>
      <c r="H6120" t="inlineStr"/>
    </row>
    <row r="6121">
      <c r="A6121" t="inlineStr">
        <is>
          <t>f979e099-9538-4e40-b624-db326a8e44f9.jpg</t>
        </is>
      </c>
      <c r="B6121">
        <f>HYPERLINK("Объекты недвижимости, не соответствующие градостроительным нормам_00-022_Август/f979e099-9538-4e40-b624-db326a8e44f9.jpg","open")</f>
        <v/>
      </c>
      <c r="C6121" t="inlineStr">
        <is>
          <t>8cde1fd0-eca1-4510-86ab-3c743b65fdfc</t>
        </is>
      </c>
      <c r="D6121" t="n">
        <v>55.824</v>
      </c>
      <c r="E6121" t="n">
        <v>37.71906</v>
      </c>
      <c r="F6121" t="inlineStr"/>
      <c r="G6121" t="inlineStr"/>
      <c r="H6121" t="inlineStr"/>
    </row>
    <row r="6122">
      <c r="A6122" t="inlineStr">
        <is>
          <t>2948d60a-a776-4300-a34d-450cff2e0b1d.jpg</t>
        </is>
      </c>
      <c r="B6122">
        <f>HYPERLINK("Объекты недвижимости, не соответствующие градостроительным нормам_00-022_Август/2948d60a-a776-4300-a34d-450cff2e0b1d.jpg","open")</f>
        <v/>
      </c>
      <c r="C6122" t="inlineStr">
        <is>
          <t>9f88688f-4c81-42a8-b76a-3c3e7edf869e</t>
        </is>
      </c>
      <c r="D6122" t="n">
        <v>45.05013</v>
      </c>
      <c r="E6122" t="n">
        <v>33.97311</v>
      </c>
      <c r="F6122" t="inlineStr"/>
      <c r="G6122" t="inlineStr"/>
      <c r="H6122" t="inlineStr"/>
    </row>
    <row r="6123">
      <c r="A6123" t="inlineStr">
        <is>
          <t>761bb865-70e4-4415-98bd-d986bc8646c9.jpg</t>
        </is>
      </c>
      <c r="B6123">
        <f>HYPERLINK("Объекты недвижимости, не соответствующие градостроительным нормам_00-022_Август/761bb865-70e4-4415-98bd-d986bc8646c9.jpg","open")</f>
        <v/>
      </c>
      <c r="C6123" t="inlineStr">
        <is>
          <t>8cde1fd0-eca1-4510-86ab-3c743b65fdfc</t>
        </is>
      </c>
      <c r="D6123" t="n">
        <v>55.824</v>
      </c>
      <c r="E6123" t="n">
        <v>37.71906</v>
      </c>
      <c r="F6123" t="inlineStr"/>
      <c r="G6123" t="inlineStr"/>
      <c r="H6123" t="inlineStr"/>
    </row>
    <row r="6124">
      <c r="A6124" t="inlineStr">
        <is>
          <t>c70d8408-c562-4d37-a584-ea2224669ba5.jpg</t>
        </is>
      </c>
      <c r="B6124">
        <f>HYPERLINK("Объекты недвижимости, не соответствующие градостроительным нормам_00-022_Август/c70d8408-c562-4d37-a584-ea2224669ba5.jpg","open")</f>
        <v/>
      </c>
      <c r="C6124" t="inlineStr">
        <is>
          <t>936502dd-24a4-4256-9fdf-0d8fb72af3ed</t>
        </is>
      </c>
      <c r="D6124" t="n">
        <v>55.70929</v>
      </c>
      <c r="E6124" t="n">
        <v>37.66912</v>
      </c>
      <c r="F6124" t="inlineStr"/>
      <c r="G6124" t="inlineStr"/>
      <c r="H6124" t="inlineStr"/>
    </row>
    <row r="6125">
      <c r="A6125" t="inlineStr">
        <is>
          <t>f7ff48fb-f902-4778-a6b9-04ccd5a75f58.jpg</t>
        </is>
      </c>
      <c r="B6125">
        <f>HYPERLINK("Объекты недвижимости, не соответствующие градостроительным нормам_00-022_Август/f7ff48fb-f902-4778-a6b9-04ccd5a75f58.jpg","open")</f>
        <v/>
      </c>
      <c r="C6125" t="inlineStr">
        <is>
          <t>8cde1fd0-eca1-4510-86ab-3c743b65fdfc</t>
        </is>
      </c>
      <c r="D6125" t="n">
        <v>55.77111</v>
      </c>
      <c r="E6125" t="n">
        <v>37.74637</v>
      </c>
      <c r="F6125" t="inlineStr"/>
      <c r="G6125" t="inlineStr"/>
      <c r="H6125" t="inlineStr"/>
    </row>
    <row r="6126">
      <c r="A6126" t="inlineStr">
        <is>
          <t>a8cfe327-1f11-43ff-9d2f-3d89cbe6df06.jpg</t>
        </is>
      </c>
      <c r="B6126">
        <f>HYPERLINK("Объекты недвижимости, не соответствующие градостроительным нормам_00-022_Август/a8cfe327-1f11-43ff-9d2f-3d89cbe6df06.jpg","open")</f>
        <v/>
      </c>
      <c r="C6126" t="inlineStr">
        <is>
          <t>ffd931da-542f-43e9-979f-5552b17fe3dc</t>
        </is>
      </c>
      <c r="D6126" t="n">
        <v>55.75999</v>
      </c>
      <c r="E6126" t="n">
        <v>37.73775</v>
      </c>
      <c r="F6126" t="inlineStr"/>
      <c r="G6126" t="inlineStr"/>
      <c r="H6126" t="inlineStr"/>
    </row>
    <row r="6127">
      <c r="A6127" t="inlineStr">
        <is>
          <t>016ec774-f837-450c-bf42-56430d74d96a.jpg</t>
        </is>
      </c>
      <c r="B6127">
        <f>HYPERLINK("Объекты недвижимости, не соответствующие градостроительным нормам_00-022_Август/016ec774-f837-450c-bf42-56430d74d96a.jpg","open")</f>
        <v/>
      </c>
      <c r="C6127" t="inlineStr">
        <is>
          <t>ffd931da-542f-43e9-979f-5552b17fe3dc</t>
        </is>
      </c>
      <c r="D6127" t="n">
        <v>55.75913</v>
      </c>
      <c r="E6127" t="n">
        <v>37.73834</v>
      </c>
      <c r="F6127" t="inlineStr"/>
      <c r="G6127" t="inlineStr"/>
      <c r="H6127" t="inlineStr"/>
    </row>
    <row r="6128">
      <c r="A6128" t="inlineStr">
        <is>
          <t>5ab6460b-1ebb-4d90-a105-9f927689244a.jpg</t>
        </is>
      </c>
      <c r="B6128">
        <f>HYPERLINK("Объекты недвижимости, не соответствующие градостроительным нормам_00-022_Август/5ab6460b-1ebb-4d90-a105-9f927689244a.jpg","open")</f>
        <v/>
      </c>
      <c r="C6128" t="inlineStr">
        <is>
          <t>f6f80c84-5569-48fd-b627-6f41ce4c61c4</t>
        </is>
      </c>
      <c r="D6128" t="n">
        <v>55.74569</v>
      </c>
      <c r="E6128" t="n">
        <v>37.70173</v>
      </c>
      <c r="F6128" t="inlineStr"/>
      <c r="G6128" t="inlineStr"/>
      <c r="H6128" t="inlineStr"/>
    </row>
    <row r="6129">
      <c r="A6129" t="inlineStr">
        <is>
          <t>b2bce793-45fc-4972-8e9a-18691ce4b22d.jpg</t>
        </is>
      </c>
      <c r="B6129">
        <f>HYPERLINK("Объекты недвижимости, не соответствующие градостроительным нормам_00-022_Август/b2bce793-45fc-4972-8e9a-18691ce4b22d.jpg","open")</f>
        <v/>
      </c>
      <c r="C6129" t="inlineStr">
        <is>
          <t>caa4772d-6278-4484-a046-ee25514bf521</t>
        </is>
      </c>
      <c r="D6129" t="n">
        <v>55.74569</v>
      </c>
      <c r="E6129" t="n">
        <v>37.70173</v>
      </c>
      <c r="F6129" t="inlineStr"/>
      <c r="G6129" t="inlineStr"/>
      <c r="H6129" t="inlineStr"/>
    </row>
    <row r="6130">
      <c r="A6130" t="inlineStr">
        <is>
          <t>c6061001-1991-45e8-a824-dda51bef86b7.jpg</t>
        </is>
      </c>
      <c r="B6130">
        <f>HYPERLINK("Объекты недвижимости, не соответствующие градостроительным нормам_00-022_Август/c6061001-1991-45e8-a824-dda51bef86b7.jpg","open")</f>
        <v/>
      </c>
      <c r="C6130" t="inlineStr">
        <is>
          <t>1c951e11-4940-43c6-a447-394097e5609a</t>
        </is>
      </c>
      <c r="D6130" t="n">
        <v>55.7505</v>
      </c>
      <c r="E6130" t="n">
        <v>37.71017</v>
      </c>
      <c r="F6130" t="inlineStr"/>
      <c r="G6130" t="inlineStr"/>
      <c r="H6130" t="inlineStr"/>
    </row>
    <row r="6131">
      <c r="A6131" t="inlineStr">
        <is>
          <t>d95d9ec9-7bc4-46c3-8a85-6d1d6c88cbb8.jpg</t>
        </is>
      </c>
      <c r="B6131">
        <f>HYPERLINK("Объекты недвижимости, не соответствующие градостроительным нормам_00-022_Август/d95d9ec9-7bc4-46c3-8a85-6d1d6c88cbb8.jpg","open")</f>
        <v/>
      </c>
      <c r="C6131" t="inlineStr">
        <is>
          <t>8cde1fd0-eca1-4510-86ab-3c743b65fdfc</t>
        </is>
      </c>
      <c r="D6131" t="n">
        <v>55.7505</v>
      </c>
      <c r="E6131" t="n">
        <v>37.71017</v>
      </c>
      <c r="F6131" t="inlineStr"/>
      <c r="G6131" t="inlineStr"/>
      <c r="H6131" t="inlineStr"/>
    </row>
    <row r="6132">
      <c r="A6132" t="inlineStr">
        <is>
          <t>419b9c17-770e-4471-9659-f2b507ad84a5.jpg</t>
        </is>
      </c>
      <c r="B6132">
        <f>HYPERLINK("Объекты недвижимости, не соответствующие градостроительным нормам_00-022_Август/419b9c17-770e-4471-9659-f2b507ad84a5.jpg","open")</f>
        <v/>
      </c>
      <c r="C6132" t="inlineStr">
        <is>
          <t>caa4772d-6278-4484-a046-ee25514bf521</t>
        </is>
      </c>
      <c r="D6132" t="n">
        <v>55.74569</v>
      </c>
      <c r="E6132" t="n">
        <v>37.70173</v>
      </c>
      <c r="F6132" t="inlineStr"/>
      <c r="G6132" t="inlineStr"/>
      <c r="H6132" t="inlineStr"/>
    </row>
    <row r="6133">
      <c r="A6133" t="inlineStr">
        <is>
          <t>344bd7f0-3c68-4b02-a876-7cda90da0d0f.jpg</t>
        </is>
      </c>
      <c r="B6133">
        <f>HYPERLINK("Объекты недвижимости, не соответствующие градостроительным нормам_00-022_Август/344bd7f0-3c68-4b02-a876-7cda90da0d0f.jpg","open")</f>
        <v/>
      </c>
      <c r="C6133" t="inlineStr">
        <is>
          <t>caa4772d-6278-4484-a046-ee25514bf521</t>
        </is>
      </c>
      <c r="D6133" t="n">
        <v>55.74569</v>
      </c>
      <c r="E6133" t="n">
        <v>37.70173</v>
      </c>
      <c r="F6133" t="inlineStr"/>
      <c r="G6133" t="inlineStr"/>
      <c r="H6133" t="inlineStr"/>
    </row>
    <row r="6134">
      <c r="A6134" t="inlineStr">
        <is>
          <t>d2f3bf58-5d26-4793-a1cb-cf9af15dc9d7.jpg</t>
        </is>
      </c>
      <c r="B6134">
        <f>HYPERLINK("Объекты недвижимости, не соответствующие градостроительным нормам_00-022_Август/d2f3bf58-5d26-4793-a1cb-cf9af15dc9d7.jpg","open")</f>
        <v/>
      </c>
      <c r="C6134" t="inlineStr">
        <is>
          <t>030e8755-17c1-44eb-9530-707d0d3121cb</t>
        </is>
      </c>
      <c r="D6134" t="n">
        <v>55.74817</v>
      </c>
      <c r="E6134" t="n">
        <v>37.70101</v>
      </c>
      <c r="F6134" t="inlineStr"/>
      <c r="G6134" t="inlineStr"/>
      <c r="H6134" t="inlineStr"/>
    </row>
    <row r="6135">
      <c r="A6135" t="inlineStr">
        <is>
          <t>7c538bfb-ca77-432a-88b9-1659e28376d8.jpg</t>
        </is>
      </c>
      <c r="B6135">
        <f>HYPERLINK("Объекты недвижимости, не соответствующие градостроительным нормам_00-022_Август/7c538bfb-ca77-432a-88b9-1659e28376d8.jpg","open")</f>
        <v/>
      </c>
      <c r="C6135" t="inlineStr">
        <is>
          <t>936502dd-24a4-4256-9fdf-0d8fb72af3ed</t>
        </is>
      </c>
      <c r="D6135" t="n">
        <v>55.74817</v>
      </c>
      <c r="E6135" t="n">
        <v>37.70101</v>
      </c>
      <c r="F6135" t="inlineStr"/>
      <c r="G6135" t="inlineStr"/>
      <c r="H6135" t="inlineStr"/>
    </row>
    <row r="6136">
      <c r="A6136" t="inlineStr">
        <is>
          <t>3f8b2a6b-a3b1-49c8-83eb-518f3fc61df7.jpg</t>
        </is>
      </c>
      <c r="B6136">
        <f>HYPERLINK("Объекты недвижимости, не соответствующие градостроительным нормам_00-022_Август/3f8b2a6b-a3b1-49c8-83eb-518f3fc61df7.jpg","open")</f>
        <v/>
      </c>
      <c r="C6136" t="inlineStr">
        <is>
          <t>61936922-4d4b-458e-80ea-6d4c450aa1d5</t>
        </is>
      </c>
      <c r="D6136" t="n">
        <v>55.78326</v>
      </c>
      <c r="E6136" t="n">
        <v>37.62221</v>
      </c>
      <c r="F6136" t="inlineStr"/>
      <c r="G6136" t="inlineStr"/>
      <c r="H6136" t="inlineStr"/>
    </row>
    <row r="6137">
      <c r="A6137" t="inlineStr">
        <is>
          <t>0ffb31bb-839d-44f2-8c69-3fbc1bdc28e6.jpg</t>
        </is>
      </c>
      <c r="B6137">
        <f>HYPERLINK("Объекты недвижимости, не соответствующие градостроительным нормам_00-022_Август/0ffb31bb-839d-44f2-8c69-3fbc1bdc28e6.jpg","open")</f>
        <v/>
      </c>
      <c r="C6137" t="inlineStr">
        <is>
          <t>b0429a31-0c70-4b9f-8ea5-73929d82f89e</t>
        </is>
      </c>
      <c r="D6137" t="n">
        <v>55.73786</v>
      </c>
      <c r="E6137" t="n">
        <v>37.69793</v>
      </c>
      <c r="F6137" t="inlineStr"/>
      <c r="G6137" t="inlineStr"/>
      <c r="H6137" t="inlineStr"/>
    </row>
    <row r="6138">
      <c r="A6138" t="inlineStr">
        <is>
          <t>2a3b89a7-700f-44bb-90c7-f7ee4b1aab64.jpg</t>
        </is>
      </c>
      <c r="B6138">
        <f>HYPERLINK("Объекты недвижимости, не соответствующие градостроительным нормам_00-022_Август/2a3b89a7-700f-44bb-90c7-f7ee4b1aab64.jpg","open")</f>
        <v/>
      </c>
      <c r="C6138" t="inlineStr">
        <is>
          <t>5adecbcf-6742-48b8-951f-8e3abc9509e4</t>
        </is>
      </c>
      <c r="D6138" t="n">
        <v>55.97375</v>
      </c>
      <c r="E6138" t="n">
        <v>37.43134</v>
      </c>
      <c r="F6138" t="inlineStr"/>
      <c r="G6138" t="inlineStr"/>
      <c r="H6138" t="inlineStr"/>
    </row>
    <row r="6139">
      <c r="A6139" t="inlineStr">
        <is>
          <t>46b9af44-88ea-40f9-b84b-156be3b5528f.jpg</t>
        </is>
      </c>
      <c r="B6139">
        <f>HYPERLINK("Объекты недвижимости, не соответствующие градостроительным нормам_00-022_Август/46b9af44-88ea-40f9-b84b-156be3b5528f.jpg","open")</f>
        <v/>
      </c>
      <c r="C6139" t="inlineStr">
        <is>
          <t>2ba4f567-3981-4fd7-ac4a-45e8b3d68429</t>
        </is>
      </c>
      <c r="D6139" t="n">
        <v>55.97001</v>
      </c>
      <c r="E6139" t="n">
        <v>37.43018</v>
      </c>
      <c r="F6139" t="inlineStr"/>
      <c r="G6139" t="inlineStr"/>
      <c r="H6139" t="inlineStr"/>
    </row>
    <row r="6140">
      <c r="A6140" t="inlineStr">
        <is>
          <t>0825dc97-863c-470b-8cee-2a94feef3447.jpg</t>
        </is>
      </c>
      <c r="B6140">
        <f>HYPERLINK("Объекты недвижимости, не соответствующие градостроительным нормам_00-022_Август/0825dc97-863c-470b-8cee-2a94feef3447.jpg","open")</f>
        <v/>
      </c>
      <c r="C6140" t="inlineStr">
        <is>
          <t>fb40ed24-21ef-458a-a239-038ab19932cc</t>
        </is>
      </c>
      <c r="D6140" t="n">
        <v>55.81709</v>
      </c>
      <c r="E6140" t="n">
        <v>37.77822</v>
      </c>
      <c r="F6140" t="inlineStr"/>
      <c r="G6140" t="inlineStr"/>
      <c r="H6140" t="inlineStr"/>
    </row>
    <row r="6141">
      <c r="A6141" t="inlineStr">
        <is>
          <t>91e52804-3cb1-4934-8685-b00ad1e55295.jpg</t>
        </is>
      </c>
      <c r="B6141">
        <f>HYPERLINK("Объекты недвижимости, не соответствующие градостроительным нормам_00-022_Август/91e52804-3cb1-4934-8685-b00ad1e55295.jpg","open")</f>
        <v/>
      </c>
      <c r="C6141" t="inlineStr">
        <is>
          <t>cbf95b01-f708-45a3-9ec0-3603469b538e</t>
        </is>
      </c>
      <c r="D6141" t="n">
        <v>55.68541</v>
      </c>
      <c r="E6141" t="n">
        <v>37.42332</v>
      </c>
      <c r="F6141" t="inlineStr"/>
      <c r="G6141" t="inlineStr"/>
      <c r="H6141" t="inlineStr"/>
    </row>
    <row r="6142">
      <c r="A6142" t="inlineStr">
        <is>
          <t>611541cf-4f48-42cd-8349-5193a173dee5.jpg</t>
        </is>
      </c>
      <c r="B6142">
        <f>HYPERLINK("Объекты недвижимости, не соответствующие градостроительным нормам_00-022_Август/611541cf-4f48-42cd-8349-5193a173dee5.jpg","open")</f>
        <v/>
      </c>
      <c r="C6142" t="inlineStr">
        <is>
          <t>cbf95b01-f708-45a3-9ec0-3603469b538e</t>
        </is>
      </c>
      <c r="D6142" t="n">
        <v>55.70587</v>
      </c>
      <c r="E6142" t="n">
        <v>37.48651</v>
      </c>
      <c r="F6142" t="inlineStr"/>
      <c r="G6142" t="inlineStr"/>
      <c r="H6142" t="inlineStr"/>
    </row>
    <row r="6143">
      <c r="A6143" t="inlineStr">
        <is>
          <t>ec58218f-798a-40e4-82f0-0d585ac96a9e.jpg</t>
        </is>
      </c>
      <c r="B6143">
        <f>HYPERLINK("Объекты недвижимости, не соответствующие градостроительным нормам_00-022_Август/ec58218f-798a-40e4-82f0-0d585ac96a9e.jpg","open")</f>
        <v/>
      </c>
      <c r="C6143" t="inlineStr">
        <is>
          <t>a1a9db89-3f74-42ef-8fad-ad69705102cd</t>
        </is>
      </c>
      <c r="D6143" t="n">
        <v>55.73465</v>
      </c>
      <c r="E6143" t="n">
        <v>37.53474</v>
      </c>
      <c r="F6143" t="inlineStr"/>
      <c r="G6143" t="inlineStr"/>
      <c r="H6143" t="inlineStr"/>
    </row>
    <row r="6144">
      <c r="A6144" t="inlineStr">
        <is>
          <t>793fe148-aec5-4f4f-8566-d41754c862d3.jpg</t>
        </is>
      </c>
      <c r="B6144">
        <f>HYPERLINK("Объекты недвижимости, не соответствующие градостроительным нормам_00-022_Август/793fe148-aec5-4f4f-8566-d41754c862d3.jpg","open")</f>
        <v/>
      </c>
      <c r="C6144" t="inlineStr">
        <is>
          <t>cbf95b01-f708-45a3-9ec0-3603469b538e</t>
        </is>
      </c>
      <c r="D6144" t="n">
        <v>55.73469</v>
      </c>
      <c r="E6144" t="n">
        <v>37.53489</v>
      </c>
      <c r="F6144" t="inlineStr"/>
      <c r="G6144" t="inlineStr"/>
      <c r="H6144" t="inlineStr"/>
    </row>
    <row r="6145">
      <c r="A6145" t="inlineStr">
        <is>
          <t>e36cec4f-db53-437a-acea-ac255f44e477.jpg</t>
        </is>
      </c>
      <c r="B6145">
        <f>HYPERLINK("Объекты недвижимости, не соответствующие градостроительным нормам_00-022_Август/e36cec4f-db53-437a-acea-ac255f44e477.jpg","open")</f>
        <v/>
      </c>
      <c r="C6145" t="inlineStr">
        <is>
          <t>cbf95b01-f708-45a3-9ec0-3603469b538e</t>
        </is>
      </c>
      <c r="D6145" t="n">
        <v>55.74432</v>
      </c>
      <c r="E6145" t="n">
        <v>37.54649</v>
      </c>
      <c r="F6145" t="inlineStr"/>
      <c r="G6145" t="inlineStr"/>
      <c r="H6145" t="inlineStr"/>
    </row>
    <row r="6146">
      <c r="A6146" t="inlineStr">
        <is>
          <t>267fc6a8-1d62-41c8-a8ae-c256190a92a7.jpg</t>
        </is>
      </c>
      <c r="B6146">
        <f>HYPERLINK("Объекты недвижимости, не соответствующие градостроительным нормам_00-022_Август/267fc6a8-1d62-41c8-a8ae-c256190a92a7.jpg","open")</f>
        <v/>
      </c>
      <c r="C6146" t="inlineStr">
        <is>
          <t>cbf95b01-f708-45a3-9ec0-3603469b538e</t>
        </is>
      </c>
      <c r="D6146" t="n">
        <v>55.74593</v>
      </c>
      <c r="E6146" t="n">
        <v>37.56219</v>
      </c>
      <c r="F6146" t="inlineStr"/>
      <c r="G6146" t="inlineStr"/>
      <c r="H6146" t="inlineStr"/>
    </row>
    <row r="6147">
      <c r="A6147" t="inlineStr">
        <is>
          <t>12bdd823-ffdb-4f0d-9f7e-ac68ad3f95b2.jpg</t>
        </is>
      </c>
      <c r="B6147">
        <f>HYPERLINK("Объекты недвижимости, не соответствующие градостроительным нормам_00-022_Август/12bdd823-ffdb-4f0d-9f7e-ac68ad3f95b2.jpg","open")</f>
        <v/>
      </c>
      <c r="C6147" t="inlineStr">
        <is>
          <t>cbf95b01-f708-45a3-9ec0-3603469b538e</t>
        </is>
      </c>
      <c r="D6147" t="n">
        <v>55.73366</v>
      </c>
      <c r="E6147" t="n">
        <v>37.59634</v>
      </c>
      <c r="F6147" t="inlineStr"/>
      <c r="G6147" t="inlineStr"/>
      <c r="H6147" t="inlineStr"/>
    </row>
    <row r="6148">
      <c r="A6148" t="inlineStr">
        <is>
          <t>e9c4056f-f852-471e-a73c-996cd28a5073.jpg</t>
        </is>
      </c>
      <c r="B6148">
        <f>HYPERLINK("Объекты недвижимости, не соответствующие градостроительным нормам_00-022_Август/e9c4056f-f852-471e-a73c-996cd28a5073.jpg","open")</f>
        <v/>
      </c>
      <c r="C6148" t="inlineStr">
        <is>
          <t>18a5c468-d9e6-4814-8477-1caf4a2e1fe9</t>
        </is>
      </c>
      <c r="D6148" t="n">
        <v>55.72292</v>
      </c>
      <c r="E6148" t="n">
        <v>37.44726</v>
      </c>
      <c r="F6148" t="inlineStr"/>
      <c r="G6148" t="inlineStr"/>
      <c r="H6148" t="inlineStr"/>
    </row>
    <row r="6149">
      <c r="A6149" t="inlineStr">
        <is>
          <t>61774634-97f8-4e30-88f1-9e560229a1b1.jpg</t>
        </is>
      </c>
      <c r="B6149">
        <f>HYPERLINK("Объекты недвижимости, не соответствующие градостроительным нормам_00-022_Август/61774634-97f8-4e30-88f1-9e560229a1b1.jpg","open")</f>
        <v/>
      </c>
      <c r="C6149" t="inlineStr">
        <is>
          <t>cbf95b01-f708-45a3-9ec0-3603469b538e</t>
        </is>
      </c>
      <c r="D6149" t="n">
        <v>55.73366</v>
      </c>
      <c r="E6149" t="n">
        <v>37.59634</v>
      </c>
      <c r="F6149" t="inlineStr"/>
      <c r="G6149" t="inlineStr"/>
      <c r="H6149" t="inlineStr"/>
    </row>
    <row r="6150">
      <c r="A6150" t="inlineStr">
        <is>
          <t>b667bb2f-0538-4a4c-b60e-298a786dd93f.jpg</t>
        </is>
      </c>
      <c r="B6150">
        <f>HYPERLINK("Объекты недвижимости, не соответствующие градостроительным нормам_00-022_Август/b667bb2f-0538-4a4c-b60e-298a786dd93f.jpg","open")</f>
        <v/>
      </c>
      <c r="C6150" t="inlineStr">
        <is>
          <t>55da50d9-6d31-4c29-a85b-6a228578c6de</t>
        </is>
      </c>
      <c r="D6150" t="n">
        <v>55.97061</v>
      </c>
      <c r="E6150" t="n">
        <v>37.39944</v>
      </c>
      <c r="F6150" t="inlineStr"/>
      <c r="G6150" t="inlineStr"/>
      <c r="H6150" t="inlineStr"/>
    </row>
    <row r="6151">
      <c r="A6151" t="inlineStr">
        <is>
          <t>dfc24dba-b2ee-4685-9d9a-12cb4c26e864.jpg</t>
        </is>
      </c>
      <c r="B6151">
        <f>HYPERLINK("Объекты недвижимости, не соответствующие градостроительным нормам_00-022_Август/dfc24dba-b2ee-4685-9d9a-12cb4c26e864.jpg","open")</f>
        <v/>
      </c>
      <c r="C6151" t="inlineStr">
        <is>
          <t>cbf95b01-f708-45a3-9ec0-3603469b538e</t>
        </is>
      </c>
      <c r="D6151" t="n">
        <v>55.73366</v>
      </c>
      <c r="E6151" t="n">
        <v>37.59634</v>
      </c>
      <c r="F6151" t="inlineStr"/>
      <c r="G6151" t="inlineStr"/>
      <c r="H6151" t="inlineStr"/>
    </row>
    <row r="6152">
      <c r="A6152" t="inlineStr">
        <is>
          <t>dc4a693b-df2f-46ba-a561-b1cf2987e3ca.jpg</t>
        </is>
      </c>
      <c r="B6152">
        <f>HYPERLINK("Объекты недвижимости, не соответствующие градостроительным нормам_00-022_Август/dc4a693b-df2f-46ba-a561-b1cf2987e3ca.jpg","open")</f>
        <v/>
      </c>
      <c r="C6152" t="inlineStr">
        <is>
          <t>cbf95b01-f708-45a3-9ec0-3603469b538e</t>
        </is>
      </c>
      <c r="D6152" t="n">
        <v>55.73366</v>
      </c>
      <c r="E6152" t="n">
        <v>37.59634</v>
      </c>
      <c r="F6152" t="inlineStr"/>
      <c r="G6152" t="inlineStr"/>
      <c r="H6152" t="inlineStr"/>
    </row>
    <row r="6153">
      <c r="A6153" t="inlineStr">
        <is>
          <t>f6c5b1a4-4470-442d-b74b-e3e6f8705bcc.jpg</t>
        </is>
      </c>
      <c r="B6153">
        <f>HYPERLINK("Объекты недвижимости, не соответствующие градостроительным нормам_00-022_Август/f6c5b1a4-4470-442d-b74b-e3e6f8705bcc.jpg","open")</f>
        <v/>
      </c>
      <c r="C6153" t="inlineStr">
        <is>
          <t>a1a9db89-3f74-42ef-8fad-ad69705102cd</t>
        </is>
      </c>
      <c r="D6153" t="n">
        <v>55.73366</v>
      </c>
      <c r="E6153" t="n">
        <v>37.59634</v>
      </c>
      <c r="F6153" t="inlineStr"/>
      <c r="G6153" t="inlineStr"/>
      <c r="H6153" t="inlineStr"/>
    </row>
    <row r="6154">
      <c r="A6154" t="inlineStr">
        <is>
          <t>d9a6602e-29ee-4281-8c73-1fbb9ff3b5ec.jpg</t>
        </is>
      </c>
      <c r="B6154">
        <f>HYPERLINK("Объекты недвижимости, не соответствующие градостроительным нормам_00-022_Август/d9a6602e-29ee-4281-8c73-1fbb9ff3b5ec.jpg","open")</f>
        <v/>
      </c>
      <c r="C6154" t="inlineStr">
        <is>
          <t>cbf95b01-f708-45a3-9ec0-3603469b538e</t>
        </is>
      </c>
      <c r="D6154" t="n">
        <v>55.73366</v>
      </c>
      <c r="E6154" t="n">
        <v>37.59634</v>
      </c>
      <c r="F6154" t="inlineStr"/>
      <c r="G6154" t="inlineStr"/>
      <c r="H6154" t="inlineStr"/>
    </row>
    <row r="6155">
      <c r="A6155" t="inlineStr">
        <is>
          <t>23009c46-5905-4409-b3c2-33ad18f6973f.jpg</t>
        </is>
      </c>
      <c r="B6155">
        <f>HYPERLINK("Объекты недвижимости, не соответствующие градостроительным нормам_00-022_Август/23009c46-5905-4409-b3c2-33ad18f6973f.jpg","open")</f>
        <v/>
      </c>
      <c r="C6155" t="inlineStr">
        <is>
          <t>a1a9db89-3f74-42ef-8fad-ad69705102cd</t>
        </is>
      </c>
      <c r="D6155" t="n">
        <v>55.73366</v>
      </c>
      <c r="E6155" t="n">
        <v>37.59634</v>
      </c>
      <c r="F6155" t="inlineStr"/>
      <c r="G6155" t="inlineStr"/>
      <c r="H6155" t="inlineStr"/>
    </row>
    <row r="6156">
      <c r="A6156" t="inlineStr">
        <is>
          <t>4e9a0ba5-7b29-4983-9ab5-7a87863fa997.jpg</t>
        </is>
      </c>
      <c r="B6156">
        <f>HYPERLINK("Объекты недвижимости, не соответствующие градостроительным нормам_00-022_Август/4e9a0ba5-7b29-4983-9ab5-7a87863fa997.jpg","open")</f>
        <v/>
      </c>
      <c r="C6156" t="inlineStr">
        <is>
          <t>d2c4eccd-3e4b-406c-a903-0f5e43d0be35</t>
        </is>
      </c>
      <c r="D6156" t="n">
        <v>55.72292</v>
      </c>
      <c r="E6156" t="n">
        <v>37.44726</v>
      </c>
      <c r="F6156" t="inlineStr"/>
      <c r="G6156" t="inlineStr"/>
      <c r="H6156" t="inlineStr"/>
    </row>
    <row r="6157">
      <c r="A6157" t="inlineStr">
        <is>
          <t>32db5bfa-35c1-4393-b2dc-74e5b65e63d3.jpg</t>
        </is>
      </c>
      <c r="B6157">
        <f>HYPERLINK("Объекты недвижимости, не соответствующие градостроительным нормам_00-022_Август/32db5bfa-35c1-4393-b2dc-74e5b65e63d3.jpg","open")</f>
        <v/>
      </c>
      <c r="C6157" t="inlineStr">
        <is>
          <t>8b2675e2-7f40-47a9-a462-7c9feecd299c</t>
        </is>
      </c>
      <c r="D6157" t="n">
        <v>55.97058</v>
      </c>
      <c r="E6157" t="n">
        <v>37.4304</v>
      </c>
      <c r="F6157" t="inlineStr"/>
      <c r="G6157" t="inlineStr"/>
      <c r="H6157" t="inlineStr"/>
    </row>
    <row r="6158">
      <c r="A6158" t="inlineStr">
        <is>
          <t>89e2ef4d-e969-4c86-91f9-37a0e29e8c00.jpg</t>
        </is>
      </c>
      <c r="B6158">
        <f>HYPERLINK("Объекты недвижимости, не соответствующие градостроительным нормам_00-022_Август/89e2ef4d-e969-4c86-91f9-37a0e29e8c00.jpg","open")</f>
        <v/>
      </c>
      <c r="C6158" t="inlineStr">
        <is>
          <t>c008bda0-324b-4c90-9c2f-36cfc930e0b5</t>
        </is>
      </c>
      <c r="D6158" t="n">
        <v>55.73458</v>
      </c>
      <c r="E6158" t="n">
        <v>37.53476</v>
      </c>
      <c r="F6158" t="inlineStr"/>
      <c r="G6158" t="inlineStr"/>
      <c r="H6158" t="inlineStr"/>
    </row>
    <row r="6159">
      <c r="A6159" t="inlineStr">
        <is>
          <t>0d855675-a560-4573-affe-045720d8713e.jpg</t>
        </is>
      </c>
      <c r="B6159">
        <f>HYPERLINK("Объекты недвижимости, не соответствующие градостроительным нормам_00-022_Август/0d855675-a560-4573-affe-045720d8713e.jpg","open")</f>
        <v/>
      </c>
      <c r="C6159" t="inlineStr">
        <is>
          <t>29ad9edb-d533-4272-a986-be24eb004851</t>
        </is>
      </c>
      <c r="D6159" t="n">
        <v>55.73466</v>
      </c>
      <c r="E6159" t="n">
        <v>37.53501</v>
      </c>
      <c r="F6159" t="inlineStr"/>
      <c r="G6159" t="inlineStr"/>
      <c r="H6159" t="inlineStr"/>
    </row>
    <row r="6160">
      <c r="A6160" t="inlineStr">
        <is>
          <t>a205d3a1-b94f-4348-9eeb-55a92d67fd29.jpg</t>
        </is>
      </c>
      <c r="B6160">
        <f>HYPERLINK("Объекты недвижимости, не соответствующие градостроительным нормам_00-022_Август/a205d3a1-b94f-4348-9eeb-55a92d67fd29.jpg","open")</f>
        <v/>
      </c>
      <c r="C6160" t="inlineStr">
        <is>
          <t>fce890a6-27da-4062-a046-08262a160ee6</t>
        </is>
      </c>
      <c r="D6160" t="n">
        <v>55.77235</v>
      </c>
      <c r="E6160" t="n">
        <v>37.42247</v>
      </c>
      <c r="F6160" t="inlineStr"/>
      <c r="G6160" t="inlineStr"/>
      <c r="H6160" t="inlineStr"/>
    </row>
    <row r="6161">
      <c r="A6161" t="inlineStr">
        <is>
          <t>d2c3f971-3ae7-46e4-9f54-9d46a2a1b3b3.jpg</t>
        </is>
      </c>
      <c r="B6161">
        <f>HYPERLINK("Объекты недвижимости, не соответствующие градостроительным нормам_00-022_Август/d2c3f971-3ae7-46e4-9f54-9d46a2a1b3b3.jpg","open")</f>
        <v/>
      </c>
      <c r="C6161" t="inlineStr">
        <is>
          <t>f389b777-2837-46f0-983f-56af24850601</t>
        </is>
      </c>
      <c r="D6161" t="n">
        <v>55.73238</v>
      </c>
      <c r="E6161" t="n">
        <v>37.6716</v>
      </c>
      <c r="F6161" t="inlineStr"/>
      <c r="G6161" t="inlineStr"/>
      <c r="H6161" t="inlineStr"/>
    </row>
    <row r="6162">
      <c r="A6162" t="inlineStr">
        <is>
          <t>d5b1d06a-80cc-4fac-b82a-7a8be65b3257.jpg</t>
        </is>
      </c>
      <c r="B6162">
        <f>HYPERLINK("Объекты недвижимости, не соответствующие градостроительным нормам_00-022_Август/d5b1d06a-80cc-4fac-b82a-7a8be65b3257.jpg","open")</f>
        <v/>
      </c>
      <c r="C6162" t="inlineStr">
        <is>
          <t>57812597-37e6-414c-8b11-8c661dbfeb70</t>
        </is>
      </c>
      <c r="D6162" t="n">
        <v>55.73237</v>
      </c>
      <c r="E6162" t="n">
        <v>37.67158</v>
      </c>
      <c r="F6162" t="inlineStr"/>
      <c r="G6162" t="inlineStr"/>
      <c r="H6162" t="inlineStr"/>
    </row>
    <row r="6163">
      <c r="A6163" t="inlineStr">
        <is>
          <t>f6b76b7b-4f48-475d-8ca6-c01900cb2031.jpg</t>
        </is>
      </c>
      <c r="B6163">
        <f>HYPERLINK("Объекты недвижимости, не соответствующие градостроительным нормам_00-022_Август/f6b76b7b-4f48-475d-8ca6-c01900cb2031.jpg","open")</f>
        <v/>
      </c>
      <c r="C6163" t="inlineStr">
        <is>
          <t>f389b777-2837-46f0-983f-56af24850601</t>
        </is>
      </c>
      <c r="D6163" t="n">
        <v>55.73521</v>
      </c>
      <c r="E6163" t="n">
        <v>37.6667</v>
      </c>
      <c r="F6163" t="inlineStr"/>
      <c r="G6163" t="inlineStr"/>
      <c r="H6163" t="inlineStr"/>
    </row>
    <row r="6164">
      <c r="A6164" t="inlineStr">
        <is>
          <t>75188e5a-1c4d-4ff4-acfb-b90ab23681ce.jpg</t>
        </is>
      </c>
      <c r="B6164">
        <f>HYPERLINK("Объекты недвижимости, не соответствующие градостроительным нормам_00-022_Август/75188e5a-1c4d-4ff4-acfb-b90ab23681ce.jpg","open")</f>
        <v/>
      </c>
      <c r="C6164" t="inlineStr">
        <is>
          <t>8b2675e2-7f40-47a9-a462-7c9feecd299c</t>
        </is>
      </c>
      <c r="D6164" t="n">
        <v>55.97058</v>
      </c>
      <c r="E6164" t="n">
        <v>37.4304</v>
      </c>
      <c r="F6164" t="inlineStr"/>
      <c r="G6164" t="inlineStr"/>
      <c r="H6164" t="inlineStr"/>
    </row>
    <row r="6165">
      <c r="A6165" t="inlineStr">
        <is>
          <t>9b1559ee-1b89-482b-a6cf-c94084037f2c.jpg</t>
        </is>
      </c>
      <c r="B6165">
        <f>HYPERLINK("Объекты недвижимости, не соответствующие градостроительным нормам_00-022_Август/9b1559ee-1b89-482b-a6cf-c94084037f2c.jpg","open")</f>
        <v/>
      </c>
      <c r="C6165" t="inlineStr">
        <is>
          <t>50e4626c-a80e-42ab-b999-b5092c2c063f</t>
        </is>
      </c>
      <c r="D6165" t="n">
        <v>55.74762</v>
      </c>
      <c r="E6165" t="n">
        <v>37.55685</v>
      </c>
      <c r="F6165" t="inlineStr"/>
      <c r="G6165" t="inlineStr"/>
      <c r="H6165" t="inlineStr"/>
    </row>
    <row r="6166">
      <c r="A6166" t="inlineStr">
        <is>
          <t>9eb4bacf-7dd2-4474-8269-3b5dcbe061c1.jpg</t>
        </is>
      </c>
      <c r="B6166">
        <f>HYPERLINK("Объекты недвижимости, не соответствующие градостроительным нормам_00-022_Август/9eb4bacf-7dd2-4474-8269-3b5dcbe061c1.jpg","open")</f>
        <v/>
      </c>
      <c r="C6166" t="inlineStr">
        <is>
          <t>b0b7ea82-53be-40d0-b992-e2fd18611d5c</t>
        </is>
      </c>
      <c r="D6166" t="n">
        <v>55.6794</v>
      </c>
      <c r="E6166" t="n">
        <v>37.85444</v>
      </c>
      <c r="F6166" t="inlineStr"/>
      <c r="G6166" t="inlineStr"/>
      <c r="H6166" t="inlineStr"/>
    </row>
    <row r="6167">
      <c r="A6167" t="inlineStr">
        <is>
          <t>b44d488d-3ba9-4361-836b-9590b959671f.jpg</t>
        </is>
      </c>
      <c r="B6167">
        <f>HYPERLINK("Объекты недвижимости, не соответствующие градостроительным нормам_00-022_Август/b44d488d-3ba9-4361-836b-9590b959671f.jpg","open")</f>
        <v/>
      </c>
      <c r="C6167" t="inlineStr">
        <is>
          <t>f20fbc2b-b369-4734-bb66-92af02fbb0d1</t>
        </is>
      </c>
      <c r="D6167" t="n">
        <v>55.6794</v>
      </c>
      <c r="E6167" t="n">
        <v>37.85443</v>
      </c>
      <c r="F6167" t="inlineStr"/>
      <c r="G6167" t="inlineStr"/>
      <c r="H6167" t="inlineStr"/>
    </row>
    <row r="6168">
      <c r="A6168" t="inlineStr">
        <is>
          <t>81fab043-5748-445c-ae89-cdef34cecc3c.jpg</t>
        </is>
      </c>
      <c r="B6168">
        <f>HYPERLINK("Объекты недвижимости, не соответствующие градостроительным нормам_00-022_Август/81fab043-5748-445c-ae89-cdef34cecc3c.jpg","open")</f>
        <v/>
      </c>
      <c r="C6168" t="inlineStr">
        <is>
          <t>f9ad0a8f-1e33-4fca-bdfe-5b844d3ee381</t>
        </is>
      </c>
      <c r="D6168" t="n">
        <v>55.97688</v>
      </c>
      <c r="E6168" t="n">
        <v>37.42984</v>
      </c>
      <c r="F6168" t="inlineStr"/>
      <c r="G6168" t="inlineStr"/>
      <c r="H6168" t="inlineStr"/>
    </row>
    <row r="6169">
      <c r="A6169" t="inlineStr">
        <is>
          <t>ba7b99eb-f41c-4a1a-a653-33eac0039954.jpg</t>
        </is>
      </c>
      <c r="B6169">
        <f>HYPERLINK("Объекты недвижимости, не соответствующие градостроительным нормам_00-022_Август/ba7b99eb-f41c-4a1a-a653-33eac0039954.jpg","open")</f>
        <v/>
      </c>
      <c r="C6169" t="inlineStr">
        <is>
          <t>ffd931da-542f-43e9-979f-5552b17fe3dc</t>
        </is>
      </c>
      <c r="D6169" t="n">
        <v>55.76143</v>
      </c>
      <c r="E6169" t="n">
        <v>37.69547</v>
      </c>
      <c r="F6169" t="inlineStr"/>
      <c r="G6169" t="inlineStr"/>
      <c r="H6169" t="inlineStr"/>
    </row>
    <row r="6170">
      <c r="A6170" t="inlineStr">
        <is>
          <t>343b1f19-ceff-40ec-a927-3f7aa9a0373c.jpg</t>
        </is>
      </c>
      <c r="B6170">
        <f>HYPERLINK("Объекты недвижимости, не соответствующие градостроительным нормам_00-022_Август/343b1f19-ceff-40ec-a927-3f7aa9a0373c.jpg","open")</f>
        <v/>
      </c>
      <c r="C6170" t="inlineStr">
        <is>
          <t>ffd931da-542f-43e9-979f-5552b17fe3dc</t>
        </is>
      </c>
      <c r="D6170" t="n">
        <v>55.75243</v>
      </c>
      <c r="E6170" t="n">
        <v>37.75422</v>
      </c>
      <c r="F6170" t="inlineStr"/>
      <c r="G6170" t="inlineStr"/>
      <c r="H6170" t="inlineStr"/>
    </row>
    <row r="6171">
      <c r="A6171" t="inlineStr">
        <is>
          <t>5d520921-3e19-42e7-affe-e6146738a317.jpg</t>
        </is>
      </c>
      <c r="B6171">
        <f>HYPERLINK("Объекты недвижимости, не соответствующие градостроительным нормам_00-022_Август/5d520921-3e19-42e7-affe-e6146738a317.jpg","open")</f>
        <v/>
      </c>
      <c r="C6171" t="inlineStr">
        <is>
          <t>f9ad0a8f-1e33-4fca-bdfe-5b844d3ee381</t>
        </is>
      </c>
      <c r="D6171" t="n">
        <v>55.96451</v>
      </c>
      <c r="E6171" t="n">
        <v>37.41552</v>
      </c>
      <c r="F6171" t="inlineStr"/>
      <c r="G6171" t="inlineStr"/>
      <c r="H6171" t="inlineStr"/>
    </row>
    <row r="6172">
      <c r="A6172" t="inlineStr">
        <is>
          <t>4b2e1d0b-de40-48f6-aacd-9fa98ce00e58.jpg</t>
        </is>
      </c>
      <c r="B6172">
        <f>HYPERLINK("Объекты недвижимости, не соответствующие градостроительным нормам_00-022_Август/4b2e1d0b-de40-48f6-aacd-9fa98ce00e58.jpg","open")</f>
        <v/>
      </c>
      <c r="C6172" t="inlineStr">
        <is>
          <t>685d9054-b74f-49ab-857b-109fd2cec80d</t>
        </is>
      </c>
      <c r="D6172" t="n">
        <v>55.74757</v>
      </c>
      <c r="E6172" t="n">
        <v>37.70025</v>
      </c>
      <c r="F6172" t="inlineStr"/>
      <c r="G6172" t="inlineStr"/>
      <c r="H6172" t="inlineStr"/>
    </row>
    <row r="6173">
      <c r="A6173" t="inlineStr">
        <is>
          <t>0edba30d-d444-4761-b2cc-0012afd58be9.jpg</t>
        </is>
      </c>
      <c r="B6173">
        <f>HYPERLINK("Объекты недвижимости, не соответствующие градостроительным нормам_00-022_Август/0edba30d-d444-4761-b2cc-0012afd58be9.jpg","open")</f>
        <v/>
      </c>
      <c r="C6173" t="inlineStr">
        <is>
          <t>1231bbc5-e64c-4dc7-9acc-77710f47607a</t>
        </is>
      </c>
      <c r="D6173" t="n">
        <v>55.74757</v>
      </c>
      <c r="E6173" t="n">
        <v>37.70025</v>
      </c>
      <c r="F6173" t="inlineStr"/>
      <c r="G6173" t="inlineStr"/>
      <c r="H6173" t="inlineStr"/>
    </row>
    <row r="6174">
      <c r="A6174" t="inlineStr">
        <is>
          <t>5a2a0a35-cacf-46c6-84f7-70a9f7101b31.jpg</t>
        </is>
      </c>
      <c r="B6174">
        <f>HYPERLINK("Объекты недвижимости, не соответствующие градостроительным нормам_00-022_Август/5a2a0a35-cacf-46c6-84f7-70a9f7101b31.jpg","open")</f>
        <v/>
      </c>
      <c r="C6174" t="inlineStr">
        <is>
          <t>f9ad0a8f-1e33-4fca-bdfe-5b844d3ee381</t>
        </is>
      </c>
      <c r="D6174" t="n">
        <v>55.97596</v>
      </c>
      <c r="E6174" t="n">
        <v>37.39968</v>
      </c>
      <c r="F6174" t="inlineStr"/>
      <c r="G6174" t="inlineStr"/>
      <c r="H6174" t="inlineStr"/>
    </row>
    <row r="6175">
      <c r="A6175" t="inlineStr">
        <is>
          <t>6b8c188b-ec3c-40b7-a0c9-457ba7904ec9.jpg</t>
        </is>
      </c>
      <c r="B6175">
        <f>HYPERLINK("Объекты недвижимости, не соответствующие градостроительным нормам_00-022_Август/6b8c188b-ec3c-40b7-a0c9-457ba7904ec9.jpg","open")</f>
        <v/>
      </c>
      <c r="C6175" t="inlineStr">
        <is>
          <t>685d9054-b74f-49ab-857b-109fd2cec80d</t>
        </is>
      </c>
      <c r="D6175" t="n">
        <v>55.74701</v>
      </c>
      <c r="E6175" t="n">
        <v>37.68741</v>
      </c>
      <c r="F6175" t="inlineStr"/>
      <c r="G6175" t="inlineStr"/>
      <c r="H6175" t="inlineStr"/>
    </row>
    <row r="6176">
      <c r="A6176" t="inlineStr">
        <is>
          <t>9a03e587-586d-40fa-9873-88be5f4e767e.jpg</t>
        </is>
      </c>
      <c r="B6176">
        <f>HYPERLINK("Объекты недвижимости, не соответствующие градостроительным нормам_00-022_Август/9a03e587-586d-40fa-9873-88be5f4e767e.jpg","open")</f>
        <v/>
      </c>
      <c r="C6176" t="inlineStr">
        <is>
          <t>685d9054-b74f-49ab-857b-109fd2cec80d</t>
        </is>
      </c>
      <c r="D6176" t="n">
        <v>55.74701</v>
      </c>
      <c r="E6176" t="n">
        <v>37.68741</v>
      </c>
      <c r="F6176" t="inlineStr"/>
      <c r="G6176" t="inlineStr"/>
      <c r="H6176" t="inlineStr"/>
    </row>
    <row r="6177">
      <c r="A6177" t="inlineStr">
        <is>
          <t>fe239efb-da6c-46a2-bede-b737c17d90e7.jpg</t>
        </is>
      </c>
      <c r="B6177">
        <f>HYPERLINK("Объекты недвижимости, не соответствующие градостроительным нормам_00-022_Август/fe239efb-da6c-46a2-bede-b737c17d90e7.jpg","open")</f>
        <v/>
      </c>
      <c r="C6177" t="inlineStr">
        <is>
          <t>b0b7ea82-53be-40d0-b992-e2fd18611d5c</t>
        </is>
      </c>
      <c r="D6177" t="n">
        <v>55.68042</v>
      </c>
      <c r="E6177" t="n">
        <v>37.85957</v>
      </c>
      <c r="F6177" t="inlineStr"/>
      <c r="G6177" t="inlineStr"/>
      <c r="H6177" t="inlineStr"/>
    </row>
    <row r="6178">
      <c r="A6178" t="inlineStr">
        <is>
          <t>69d264f8-5d7c-4c0b-9a27-bee42b5873cb.jpg</t>
        </is>
      </c>
      <c r="B6178">
        <f>HYPERLINK("Объекты недвижимости, не соответствующие градостроительным нормам_00-022_Август/69d264f8-5d7c-4c0b-9a27-bee42b5873cb.jpg","open")</f>
        <v/>
      </c>
      <c r="C6178" t="inlineStr">
        <is>
          <t>50e4626c-a80e-42ab-b999-b5092c2c063f</t>
        </is>
      </c>
      <c r="D6178" t="n">
        <v>55.74762</v>
      </c>
      <c r="E6178" t="n">
        <v>37.55685</v>
      </c>
      <c r="F6178" t="inlineStr"/>
      <c r="G6178" t="inlineStr"/>
      <c r="H6178" t="inlineStr"/>
    </row>
    <row r="6179">
      <c r="A6179" t="inlineStr">
        <is>
          <t>579ca875-ee83-4ddb-840a-239f1a89aca7.jpg</t>
        </is>
      </c>
      <c r="B6179">
        <f>HYPERLINK("Объекты недвижимости, не соответствующие градостроительным нормам_00-022_Август/579ca875-ee83-4ddb-840a-239f1a89aca7.jpg","open")</f>
        <v/>
      </c>
      <c r="C6179" t="inlineStr">
        <is>
          <t>ab4e767f-65c0-455b-af20-a5527124fd21</t>
        </is>
      </c>
      <c r="D6179" t="n">
        <v>55.96704</v>
      </c>
      <c r="E6179" t="n">
        <v>37.42648</v>
      </c>
      <c r="F6179" t="inlineStr"/>
      <c r="G6179" t="inlineStr"/>
      <c r="H6179" t="inlineStr"/>
    </row>
    <row r="6180">
      <c r="A6180" t="inlineStr">
        <is>
          <t>cd2b4df5-61d5-4ecb-83ba-483095dccd4f.jpg</t>
        </is>
      </c>
      <c r="B6180">
        <f>HYPERLINK("Объекты недвижимости, не соответствующие градостроительным нормам_00-022_Август/cd2b4df5-61d5-4ecb-83ba-483095dccd4f.jpg","open")</f>
        <v/>
      </c>
      <c r="C6180" t="inlineStr">
        <is>
          <t>ab4e767f-65c0-455b-af20-a5527124fd21</t>
        </is>
      </c>
      <c r="D6180" t="n">
        <v>55.96704</v>
      </c>
      <c r="E6180" t="n">
        <v>37.42648</v>
      </c>
      <c r="F6180" t="inlineStr"/>
      <c r="G6180" t="inlineStr"/>
      <c r="H6180" t="inlineStr"/>
    </row>
    <row r="6181">
      <c r="A6181" t="inlineStr">
        <is>
          <t>1b5e80cd-f2f6-45e2-8f91-fdfa59abad7e.jpg</t>
        </is>
      </c>
      <c r="B6181">
        <f>HYPERLINK("Объекты недвижимости, не соответствующие градостроительным нормам_00-022_Август/1b5e80cd-f2f6-45e2-8f91-fdfa59abad7e.jpg","open")</f>
        <v/>
      </c>
      <c r="C6181" t="inlineStr">
        <is>
          <t>1231bbc5-e64c-4dc7-9acc-77710f47607a</t>
        </is>
      </c>
      <c r="D6181" t="n">
        <v>55.74701</v>
      </c>
      <c r="E6181" t="n">
        <v>37.68741</v>
      </c>
      <c r="F6181" t="inlineStr"/>
      <c r="G6181" t="inlineStr"/>
      <c r="H6181" t="inlineStr"/>
    </row>
    <row r="6182">
      <c r="A6182" t="inlineStr">
        <is>
          <t>8526675a-6d68-42e7-89ac-66d3154b0aba.jpg</t>
        </is>
      </c>
      <c r="B6182">
        <f>HYPERLINK("Объекты недвижимости, не соответствующие градостроительным нормам_00-022_Август/8526675a-6d68-42e7-89ac-66d3154b0aba.jpg","open")</f>
        <v/>
      </c>
      <c r="C6182" t="inlineStr">
        <is>
          <t>685d9054-b74f-49ab-857b-109fd2cec80d</t>
        </is>
      </c>
      <c r="D6182" t="n">
        <v>55.74701</v>
      </c>
      <c r="E6182" t="n">
        <v>37.68741</v>
      </c>
      <c r="F6182" t="inlineStr"/>
      <c r="G6182" t="inlineStr"/>
      <c r="H6182" t="inlineStr"/>
    </row>
    <row r="6183">
      <c r="A6183" t="inlineStr">
        <is>
          <t>f11e2326-f171-4110-945d-1643b0b045ed.jpg</t>
        </is>
      </c>
      <c r="B6183">
        <f>HYPERLINK("Объекты недвижимости, не соответствующие градостроительным нормам_00-022_Август/f11e2326-f171-4110-945d-1643b0b045ed.jpg","open")</f>
        <v/>
      </c>
      <c r="C6183" t="inlineStr">
        <is>
          <t>caa4772d-6278-4484-a046-ee25514bf521</t>
        </is>
      </c>
      <c r="D6183" t="n">
        <v>55.75049</v>
      </c>
      <c r="E6183" t="n">
        <v>37.71286</v>
      </c>
      <c r="F6183" t="inlineStr"/>
      <c r="G6183" t="inlineStr"/>
      <c r="H6183" t="inlineStr"/>
    </row>
    <row r="6184">
      <c r="A6184" t="inlineStr">
        <is>
          <t>181a326e-3a53-407e-b2f6-9f01e95052b6.jpg</t>
        </is>
      </c>
      <c r="B6184">
        <f>HYPERLINK("Объекты недвижимости, не соответствующие градостроительным нормам_00-022_Август/181a326e-3a53-407e-b2f6-9f01e95052b6.jpg","open")</f>
        <v/>
      </c>
      <c r="C6184" t="inlineStr">
        <is>
          <t>b0b7ea82-53be-40d0-b992-e2fd18611d5c</t>
        </is>
      </c>
      <c r="D6184" t="n">
        <v>55.68362</v>
      </c>
      <c r="E6184" t="n">
        <v>37.86045</v>
      </c>
      <c r="F6184" t="inlineStr"/>
      <c r="G6184" t="inlineStr"/>
      <c r="H6184" t="inlineStr"/>
    </row>
    <row r="6185">
      <c r="A6185" t="inlineStr">
        <is>
          <t>443f28eb-5dd6-442d-b05c-0fbb87d143b9.jpg</t>
        </is>
      </c>
      <c r="B6185">
        <f>HYPERLINK("Объекты недвижимости, не соответствующие градостроительным нормам_00-022_Август/443f28eb-5dd6-442d-b05c-0fbb87d143b9.jpg","open")</f>
        <v/>
      </c>
      <c r="C6185" t="inlineStr">
        <is>
          <t>ffd931da-542f-43e9-979f-5552b17fe3dc</t>
        </is>
      </c>
      <c r="D6185" t="n">
        <v>55.74384</v>
      </c>
      <c r="E6185" t="n">
        <v>37.75431</v>
      </c>
      <c r="F6185" t="inlineStr"/>
      <c r="G6185" t="inlineStr"/>
      <c r="H6185" t="inlineStr"/>
    </row>
    <row r="6186">
      <c r="A6186" t="inlineStr">
        <is>
          <t>b26c6e9c-3b0a-47e9-8e55-45f2854e111c.jpg</t>
        </is>
      </c>
      <c r="B6186">
        <f>HYPERLINK("Объекты недвижимости, не соответствующие градостроительным нормам_00-022_Август/b26c6e9c-3b0a-47e9-8e55-45f2854e111c.jpg","open")</f>
        <v/>
      </c>
      <c r="C6186" t="inlineStr">
        <is>
          <t>f20fbc2b-b369-4734-bb66-92af02fbb0d1</t>
        </is>
      </c>
      <c r="D6186" t="n">
        <v>55.68369</v>
      </c>
      <c r="E6186" t="n">
        <v>37.8605</v>
      </c>
      <c r="F6186" t="inlineStr"/>
      <c r="G6186" t="inlineStr"/>
      <c r="H6186" t="inlineStr"/>
    </row>
    <row r="6187">
      <c r="A6187" t="inlineStr">
        <is>
          <t>d1471f7c-7cf5-469e-8f82-bf6581771830.jpg</t>
        </is>
      </c>
      <c r="B6187">
        <f>HYPERLINK("Объекты недвижимости, не соответствующие градостроительным нормам_00-022_Август/d1471f7c-7cf5-469e-8f82-bf6581771830.jpg","open")</f>
        <v/>
      </c>
      <c r="C6187" t="inlineStr">
        <is>
          <t>29ad9edb-d533-4272-a986-be24eb004851</t>
        </is>
      </c>
      <c r="D6187" t="n">
        <v>55.77729</v>
      </c>
      <c r="E6187" t="n">
        <v>37.67982</v>
      </c>
      <c r="F6187" t="inlineStr"/>
      <c r="G6187" t="inlineStr"/>
      <c r="H6187" t="inlineStr"/>
    </row>
    <row r="6188">
      <c r="A6188" t="inlineStr">
        <is>
          <t>b6c0e9f5-5f1b-450f-9953-e4fedc8f6682.jpg</t>
        </is>
      </c>
      <c r="B6188">
        <f>HYPERLINK("Объекты недвижимости, не соответствующие градостроительным нормам_00-022_Август/b6c0e9f5-5f1b-450f-9953-e4fedc8f6682.jpg","open")</f>
        <v/>
      </c>
      <c r="C6188" t="inlineStr">
        <is>
          <t>61936922-4d4b-458e-80ea-6d4c450aa1d5</t>
        </is>
      </c>
      <c r="D6188" t="n">
        <v>55.78326</v>
      </c>
      <c r="E6188" t="n">
        <v>37.62221</v>
      </c>
      <c r="F6188" t="inlineStr"/>
      <c r="G6188" t="inlineStr"/>
      <c r="H6188" t="inlineStr"/>
    </row>
    <row r="6189">
      <c r="A6189" t="inlineStr">
        <is>
          <t>8d9b4049-e41d-44e3-91bc-e1f2f761929a.jpg</t>
        </is>
      </c>
      <c r="B6189">
        <f>HYPERLINK("Объекты недвижимости, не соответствующие градостроительным нормам_00-022_Август/8d9b4049-e41d-44e3-91bc-e1f2f761929a.jpg","open")</f>
        <v/>
      </c>
      <c r="C6189" t="inlineStr">
        <is>
          <t>b0b7ea82-53be-40d0-b992-e2fd18611d5c</t>
        </is>
      </c>
      <c r="D6189" t="n">
        <v>55.68413</v>
      </c>
      <c r="E6189" t="n">
        <v>37.85881</v>
      </c>
      <c r="F6189" t="inlineStr"/>
      <c r="G6189" t="inlineStr"/>
      <c r="H6189" t="inlineStr"/>
    </row>
    <row r="6190">
      <c r="A6190" t="inlineStr">
        <is>
          <t>2217ab38-20bd-43e6-a769-0c3e5397f0bf.jpg</t>
        </is>
      </c>
      <c r="B6190">
        <f>HYPERLINK("Объекты недвижимости, не соответствующие градостроительным нормам_00-022_Август/2217ab38-20bd-43e6-a769-0c3e5397f0bf.jpg","open")</f>
        <v/>
      </c>
      <c r="C6190" t="inlineStr">
        <is>
          <t>1231bbc5-e64c-4dc7-9acc-77710f47607a</t>
        </is>
      </c>
      <c r="D6190" t="n">
        <v>55.74701</v>
      </c>
      <c r="E6190" t="n">
        <v>37.68741</v>
      </c>
      <c r="F6190" t="inlineStr"/>
      <c r="G6190" t="inlineStr"/>
      <c r="H6190" t="inlineStr"/>
    </row>
    <row r="6191">
      <c r="A6191" t="inlineStr">
        <is>
          <t>250f597b-ebce-48f1-8e00-2995736d17e8.jpg</t>
        </is>
      </c>
      <c r="B6191">
        <f>HYPERLINK("Объекты недвижимости, не соответствующие градостроительным нормам_00-022_Август/250f597b-ebce-48f1-8e00-2995736d17e8.jpg","open")</f>
        <v/>
      </c>
      <c r="C6191" t="inlineStr">
        <is>
          <t>29ad9edb-d533-4272-a986-be24eb004851</t>
        </is>
      </c>
      <c r="D6191" t="n">
        <v>55.75925</v>
      </c>
      <c r="E6191" t="n">
        <v>37.6715</v>
      </c>
      <c r="F6191" t="inlineStr"/>
      <c r="G6191" t="inlineStr"/>
      <c r="H6191" t="inlineStr"/>
    </row>
    <row r="6192">
      <c r="A6192" t="inlineStr">
        <is>
          <t>500b5ec6-9e50-4c59-bd44-25c878af3296.jpg</t>
        </is>
      </c>
      <c r="B6192">
        <f>HYPERLINK("Объекты недвижимости, не соответствующие градостроительным нормам_00-022_Август/500b5ec6-9e50-4c59-bd44-25c878af3296.jpg","open")</f>
        <v/>
      </c>
      <c r="C6192" t="inlineStr">
        <is>
          <t>036c664f-5408-4fd0-b479-342c00468eeb</t>
        </is>
      </c>
      <c r="D6192" t="n">
        <v>55.63437</v>
      </c>
      <c r="E6192" t="n">
        <v>37.60366</v>
      </c>
      <c r="F6192" t="inlineStr"/>
      <c r="G6192" t="inlineStr"/>
      <c r="H6192" t="inlineStr"/>
    </row>
    <row r="6193">
      <c r="A6193" t="inlineStr">
        <is>
          <t>ce009206-02d2-488f-905c-cc07684c32ac.jpg</t>
        </is>
      </c>
      <c r="B6193">
        <f>HYPERLINK("Объекты недвижимости, не соответствующие градостроительным нормам_00-022_Август/ce009206-02d2-488f-905c-cc07684c32ac.jpg","open")</f>
        <v/>
      </c>
      <c r="C6193" t="inlineStr">
        <is>
          <t>29ad9edb-d533-4272-a986-be24eb004851</t>
        </is>
      </c>
      <c r="D6193" t="n">
        <v>55.74612</v>
      </c>
      <c r="E6193" t="n">
        <v>37.66513</v>
      </c>
      <c r="F6193" t="inlineStr"/>
      <c r="G6193" t="inlineStr"/>
      <c r="H6193" t="inlineStr"/>
    </row>
    <row r="6194">
      <c r="A6194" t="inlineStr">
        <is>
          <t>2a1b23d1-cf2d-469b-b30f-d5454d722141.jpg</t>
        </is>
      </c>
      <c r="B6194">
        <f>HYPERLINK("Объекты недвижимости, не соответствующие градостроительным нормам_00-022_Август/2a1b23d1-cf2d-469b-b30f-d5454d722141.jpg","open")</f>
        <v/>
      </c>
      <c r="C6194" t="inlineStr">
        <is>
          <t>c008bda0-324b-4c90-9c2f-36cfc930e0b5</t>
        </is>
      </c>
      <c r="D6194" t="n">
        <v>55.74615</v>
      </c>
      <c r="E6194" t="n">
        <v>37.66533</v>
      </c>
      <c r="F6194" t="inlineStr"/>
      <c r="G6194" t="inlineStr"/>
      <c r="H6194" t="inlineStr"/>
    </row>
    <row r="6195">
      <c r="A6195" t="inlineStr">
        <is>
          <t>dae9a2dc-b7df-4856-8520-b1cb2ea33cf6.jpg</t>
        </is>
      </c>
      <c r="B6195">
        <f>HYPERLINK("Объекты недвижимости, не соответствующие градостроительным нормам_00-022_Август/dae9a2dc-b7df-4856-8520-b1cb2ea33cf6.jpg","open")</f>
        <v/>
      </c>
      <c r="C6195" t="inlineStr">
        <is>
          <t>c008bda0-324b-4c90-9c2f-36cfc930e0b5</t>
        </is>
      </c>
      <c r="D6195" t="n">
        <v>55.74615</v>
      </c>
      <c r="E6195" t="n">
        <v>37.66626</v>
      </c>
      <c r="F6195" t="inlineStr"/>
      <c r="G6195" t="inlineStr"/>
      <c r="H6195" t="inlineStr"/>
    </row>
    <row r="6196">
      <c r="A6196" t="inlineStr">
        <is>
          <t>6bbb5809-5b23-4042-ad24-6d440c67e2c4.jpg</t>
        </is>
      </c>
      <c r="B6196">
        <f>HYPERLINK("Объекты недвижимости, не соответствующие градостроительным нормам_00-022_Август/6bbb5809-5b23-4042-ad24-6d440c67e2c4.jpg","open")</f>
        <v/>
      </c>
      <c r="C6196" t="inlineStr">
        <is>
          <t>29ad9edb-d533-4272-a986-be24eb004851</t>
        </is>
      </c>
      <c r="D6196" t="n">
        <v>55.74637</v>
      </c>
      <c r="E6196" t="n">
        <v>37.66649</v>
      </c>
      <c r="F6196" t="inlineStr"/>
      <c r="G6196" t="inlineStr"/>
      <c r="H6196" t="inlineStr"/>
    </row>
    <row r="6197">
      <c r="A6197" t="inlineStr">
        <is>
          <t>7f4e5629-ece7-4422-95ac-bd14d042adce.jpg</t>
        </is>
      </c>
      <c r="B6197">
        <f>HYPERLINK("Объекты недвижимости, не соответствующие градостроительным нормам_00-022_Август/7f4e5629-ece7-4422-95ac-bd14d042adce.jpg","open")</f>
        <v/>
      </c>
      <c r="C6197" t="inlineStr">
        <is>
          <t>685d9054-b74f-49ab-857b-109fd2cec80d</t>
        </is>
      </c>
      <c r="D6197" t="n">
        <v>55.74701</v>
      </c>
      <c r="E6197" t="n">
        <v>37.68741</v>
      </c>
      <c r="F6197" t="inlineStr"/>
      <c r="G6197" t="inlineStr"/>
      <c r="H6197" t="inlineStr"/>
    </row>
    <row r="6198">
      <c r="A6198" t="inlineStr">
        <is>
          <t>cab3dae1-d56c-42b9-9183-8542000c177f.jpg</t>
        </is>
      </c>
      <c r="B6198">
        <f>HYPERLINK("Объекты недвижимости, не соответствующие градостроительным нормам_00-022_Август/cab3dae1-d56c-42b9-9183-8542000c177f.jpg","open")</f>
        <v/>
      </c>
      <c r="C6198" t="inlineStr">
        <is>
          <t>29ad9edb-d533-4272-a986-be24eb004851</t>
        </is>
      </c>
      <c r="D6198" t="n">
        <v>55.7465</v>
      </c>
      <c r="E6198" t="n">
        <v>37.66601</v>
      </c>
      <c r="F6198" t="inlineStr"/>
      <c r="G6198" t="inlineStr"/>
      <c r="H6198" t="inlineStr"/>
    </row>
    <row r="6199">
      <c r="A6199" t="inlineStr">
        <is>
          <t>caf3684d-b219-4711-84ce-ccd6a9827e1f.jpg</t>
        </is>
      </c>
      <c r="B6199">
        <f>HYPERLINK("Объекты недвижимости, не соответствующие градостроительным нормам_00-022_Август/caf3684d-b219-4711-84ce-ccd6a9827e1f.jpg","open")</f>
        <v/>
      </c>
      <c r="C6199" t="inlineStr">
        <is>
          <t>685d9054-b74f-49ab-857b-109fd2cec80d</t>
        </is>
      </c>
      <c r="D6199" t="n">
        <v>55.74701</v>
      </c>
      <c r="E6199" t="n">
        <v>37.68741</v>
      </c>
      <c r="F6199" t="inlineStr"/>
      <c r="G6199" t="inlineStr"/>
      <c r="H6199" t="inlineStr"/>
    </row>
    <row r="6200">
      <c r="A6200" t="inlineStr">
        <is>
          <t>ebc5c923-83c6-4223-a077-078236053c31.jpg</t>
        </is>
      </c>
      <c r="B6200">
        <f>HYPERLINK("Объекты недвижимости, не соответствующие градостроительным нормам_00-022_Август/ebc5c923-83c6-4223-a077-078236053c31.jpg","open")</f>
        <v/>
      </c>
      <c r="C6200" t="inlineStr">
        <is>
          <t>f60286ac-55e7-4099-85bd-cc599a7a0c65</t>
        </is>
      </c>
      <c r="D6200" t="n">
        <v>55.7446</v>
      </c>
      <c r="E6200" t="n">
        <v>37.76033</v>
      </c>
      <c r="F6200" t="inlineStr"/>
      <c r="G6200" t="inlineStr"/>
      <c r="H6200" t="inlineStr"/>
    </row>
    <row r="6201">
      <c r="A6201" t="inlineStr">
        <is>
          <t>7998ed67-1ada-469a-9bbb-89cc38f1511c.jpg</t>
        </is>
      </c>
      <c r="B6201">
        <f>HYPERLINK("Объекты недвижимости, не соответствующие градостроительным нормам_00-022_Август/7998ed67-1ada-469a-9bbb-89cc38f1511c.jpg","open")</f>
        <v/>
      </c>
      <c r="C6201" t="inlineStr">
        <is>
          <t>5e5b9944-4f9e-4223-bf96-0bc0c8a93dfa</t>
        </is>
      </c>
      <c r="D6201" t="n">
        <v>55.71006</v>
      </c>
      <c r="E6201" t="n">
        <v>37.66485</v>
      </c>
      <c r="F6201" t="inlineStr"/>
      <c r="G6201" t="inlineStr"/>
      <c r="H6201" t="inlineStr"/>
    </row>
    <row r="6202">
      <c r="A6202" t="inlineStr">
        <is>
          <t>06b37023-95d5-4040-bb7d-bfbc587407a2.jpg</t>
        </is>
      </c>
      <c r="B6202">
        <f>HYPERLINK("Объекты недвижимости, не соответствующие градостроительным нормам_00-022_Август/06b37023-95d5-4040-bb7d-bfbc587407a2.jpg","open")</f>
        <v/>
      </c>
      <c r="C6202" t="inlineStr">
        <is>
          <t>1231bbc5-e64c-4dc7-9acc-77710f47607a</t>
        </is>
      </c>
      <c r="D6202" t="n">
        <v>55.74701</v>
      </c>
      <c r="E6202" t="n">
        <v>37.68741</v>
      </c>
      <c r="F6202" t="inlineStr"/>
      <c r="G6202" t="inlineStr"/>
      <c r="H6202" t="inlineStr"/>
    </row>
    <row r="6203">
      <c r="A6203" t="inlineStr">
        <is>
          <t>014beca4-e931-4d67-88d9-2ea7f009dbd9.jpg</t>
        </is>
      </c>
      <c r="B6203">
        <f>HYPERLINK("Объекты недвижимости, не соответствующие градостроительным нормам_00-022_Август/014beca4-e931-4d67-88d9-2ea7f009dbd9.jpg","open")</f>
        <v/>
      </c>
      <c r="C6203" t="inlineStr">
        <is>
          <t>56702d00-3d38-4721-8f83-3846a59c1e44</t>
        </is>
      </c>
      <c r="D6203" t="n">
        <v>55.76185</v>
      </c>
      <c r="E6203" t="n">
        <v>37.65747</v>
      </c>
      <c r="F6203" t="inlineStr"/>
      <c r="G6203" t="inlineStr"/>
      <c r="H6203" t="inlineStr"/>
    </row>
    <row r="6204">
      <c r="A6204" t="inlineStr">
        <is>
          <t>f3c4915f-b842-428c-8d66-c088be37677f.jpg</t>
        </is>
      </c>
      <c r="B6204">
        <f>HYPERLINK("Объекты недвижимости, не соответствующие градостроительным нормам_00-022_Август/f3c4915f-b842-428c-8d66-c088be37677f.jpg","open")</f>
        <v/>
      </c>
      <c r="C6204" t="inlineStr">
        <is>
          <t>50e4626c-a80e-42ab-b999-b5092c2c063f</t>
        </is>
      </c>
      <c r="D6204" t="n">
        <v>55.76185</v>
      </c>
      <c r="E6204" t="n">
        <v>37.65747</v>
      </c>
      <c r="F6204" t="inlineStr"/>
      <c r="G6204" t="inlineStr"/>
      <c r="H6204" t="inlineStr"/>
    </row>
    <row r="6205">
      <c r="A6205" t="inlineStr">
        <is>
          <t>c76d5dee-fbfb-4f70-9eb2-eda0be83c7d4.jpg</t>
        </is>
      </c>
      <c r="B6205">
        <f>HYPERLINK("Объекты недвижимости, не соответствующие градостроительным нормам_00-022_Август/c76d5dee-fbfb-4f70-9eb2-eda0be83c7d4.jpg","open")</f>
        <v/>
      </c>
      <c r="C6205" t="inlineStr">
        <is>
          <t>1231bbc5-e64c-4dc7-9acc-77710f47607a</t>
        </is>
      </c>
      <c r="D6205" t="n">
        <v>55.74701</v>
      </c>
      <c r="E6205" t="n">
        <v>37.68741</v>
      </c>
      <c r="F6205" t="inlineStr"/>
      <c r="G6205" t="inlineStr"/>
      <c r="H6205" t="inlineStr"/>
    </row>
    <row r="6206">
      <c r="A6206" t="inlineStr">
        <is>
          <t>824c5cc6-8e1f-4f15-87a8-02655f60d0b2.jpg</t>
        </is>
      </c>
      <c r="B6206">
        <f>HYPERLINK("Объекты недвижимости, не соответствующие градостроительным нормам_00-022_Август/824c5cc6-8e1f-4f15-87a8-02655f60d0b2.jpg","open")</f>
        <v/>
      </c>
      <c r="C6206" t="inlineStr">
        <is>
          <t>685d9054-b74f-49ab-857b-109fd2cec80d</t>
        </is>
      </c>
      <c r="D6206" t="n">
        <v>55.74701</v>
      </c>
      <c r="E6206" t="n">
        <v>37.68741</v>
      </c>
      <c r="F6206" t="inlineStr"/>
      <c r="G6206" t="inlineStr"/>
      <c r="H6206" t="inlineStr"/>
    </row>
    <row r="6207">
      <c r="A6207" t="inlineStr">
        <is>
          <t>b4511be8-1ae8-4f67-af5e-d2c1706a5b06.jpg</t>
        </is>
      </c>
      <c r="B6207">
        <f>HYPERLINK("Объекты недвижимости, не соответствующие градостроительным нормам_00-022_Август/b4511be8-1ae8-4f67-af5e-d2c1706a5b06.jpg","open")</f>
        <v/>
      </c>
      <c r="C6207" t="inlineStr">
        <is>
          <t>1231bbc5-e64c-4dc7-9acc-77710f47607a</t>
        </is>
      </c>
      <c r="D6207" t="n">
        <v>55.74701</v>
      </c>
      <c r="E6207" t="n">
        <v>37.68741</v>
      </c>
      <c r="F6207" t="inlineStr"/>
      <c r="G6207" t="inlineStr"/>
      <c r="H6207" t="inlineStr"/>
    </row>
    <row r="6208">
      <c r="A6208" t="inlineStr">
        <is>
          <t>f27b01bc-71f6-4a75-b572-bb42c724023a.jpg</t>
        </is>
      </c>
      <c r="B6208">
        <f>HYPERLINK("Объекты недвижимости, не соответствующие градостроительным нормам_00-022_Август/f27b01bc-71f6-4a75-b572-bb42c724023a.jpg","open")</f>
        <v/>
      </c>
      <c r="C6208" t="inlineStr">
        <is>
          <t>685d9054-b74f-49ab-857b-109fd2cec80d</t>
        </is>
      </c>
      <c r="D6208" t="n">
        <v>55.74701</v>
      </c>
      <c r="E6208" t="n">
        <v>37.68741</v>
      </c>
      <c r="F6208" t="inlineStr"/>
      <c r="G6208" t="inlineStr"/>
      <c r="H6208" t="inlineStr"/>
    </row>
    <row r="6209">
      <c r="A6209" t="inlineStr">
        <is>
          <t>62a155e1-1b2a-4bec-82a8-38ab37185260.jpg</t>
        </is>
      </c>
      <c r="B6209">
        <f>HYPERLINK("Объекты недвижимости, не соответствующие градостроительным нормам_00-022_Август/62a155e1-1b2a-4bec-82a8-38ab37185260.jpg","open")</f>
        <v/>
      </c>
      <c r="C6209" t="inlineStr">
        <is>
          <t>685d9054-b74f-49ab-857b-109fd2cec80d</t>
        </is>
      </c>
      <c r="D6209" t="n">
        <v>55.74701</v>
      </c>
      <c r="E6209" t="n">
        <v>37.68741</v>
      </c>
      <c r="F6209" t="inlineStr"/>
      <c r="G6209" t="inlineStr"/>
      <c r="H6209" t="inlineStr"/>
    </row>
    <row r="6210">
      <c r="A6210" t="inlineStr">
        <is>
          <t>d8b411bf-88ab-4a37-92e9-f86fb7ae1498.jpg</t>
        </is>
      </c>
      <c r="B6210">
        <f>HYPERLINK("Объекты недвижимости, не соответствующие градостроительным нормам_00-022_Август/d8b411bf-88ab-4a37-92e9-f86fb7ae1498.jpg","open")</f>
        <v/>
      </c>
      <c r="C6210" t="inlineStr">
        <is>
          <t>8cde1fd0-eca1-4510-86ab-3c743b65fdfc</t>
        </is>
      </c>
      <c r="D6210" t="n">
        <v>55.74914</v>
      </c>
      <c r="E6210" t="n">
        <v>37.69835</v>
      </c>
      <c r="F6210" t="inlineStr"/>
      <c r="G6210" t="inlineStr"/>
      <c r="H6210" t="inlineStr"/>
    </row>
    <row r="6211">
      <c r="A6211" t="inlineStr">
        <is>
          <t>e15b1b30-fb38-4e98-934f-5933865e4e65.jpg</t>
        </is>
      </c>
      <c r="B6211">
        <f>HYPERLINK("Объекты недвижимости, не соответствующие градостроительным нормам_00-022_Август/e15b1b30-fb38-4e98-934f-5933865e4e65.jpg","open")</f>
        <v/>
      </c>
      <c r="C6211" t="inlineStr">
        <is>
          <t>8cde1fd0-eca1-4510-86ab-3c743b65fdfc</t>
        </is>
      </c>
      <c r="D6211" t="n">
        <v>55.74926</v>
      </c>
      <c r="E6211" t="n">
        <v>37.69818</v>
      </c>
      <c r="F6211" t="inlineStr"/>
      <c r="G6211" t="inlineStr"/>
      <c r="H6211" t="inlineStr"/>
    </row>
    <row r="6212">
      <c r="A6212" t="inlineStr">
        <is>
          <t>c6e8c874-2828-4061-8b8f-51987da44877.jpg</t>
        </is>
      </c>
      <c r="B6212">
        <f>HYPERLINK("Объекты недвижимости, не соответствующие градостроительным нормам_00-022_Август/c6e8c874-2828-4061-8b8f-51987da44877.jpg","open")</f>
        <v/>
      </c>
      <c r="C6212" t="inlineStr">
        <is>
          <t>c008bda0-324b-4c90-9c2f-36cfc930e0b5</t>
        </is>
      </c>
      <c r="D6212" t="n">
        <v>55.74429</v>
      </c>
      <c r="E6212" t="n">
        <v>37.65511</v>
      </c>
      <c r="F6212" t="inlineStr"/>
      <c r="G6212" t="inlineStr"/>
      <c r="H6212" t="inlineStr"/>
    </row>
    <row r="6213">
      <c r="A6213" t="inlineStr">
        <is>
          <t>8013ad7a-5463-48cd-9e01-8e22caa740b7.jpg</t>
        </is>
      </c>
      <c r="B6213">
        <f>HYPERLINK("Объекты недвижимости, не соответствующие градостроительным нормам_00-022_Август/8013ad7a-5463-48cd-9e01-8e22caa740b7.jpg","open")</f>
        <v/>
      </c>
      <c r="C6213" t="inlineStr">
        <is>
          <t>8cde1fd0-eca1-4510-86ab-3c743b65fdfc</t>
        </is>
      </c>
      <c r="D6213" t="n">
        <v>55.74926</v>
      </c>
      <c r="E6213" t="n">
        <v>37.69818</v>
      </c>
      <c r="F6213" t="inlineStr"/>
      <c r="G6213" t="inlineStr"/>
      <c r="H6213" t="inlineStr"/>
    </row>
    <row r="6214">
      <c r="A6214" t="inlineStr">
        <is>
          <t>e602fee4-e03e-4d29-b6a5-99db13a4363a.jpg</t>
        </is>
      </c>
      <c r="B6214">
        <f>HYPERLINK("Объекты недвижимости, не соответствующие градостроительным нормам_00-022_Август/e602fee4-e03e-4d29-b6a5-99db13a4363a.jpg","open")</f>
        <v/>
      </c>
      <c r="C6214" t="inlineStr">
        <is>
          <t>f9ad0a8f-1e33-4fca-bdfe-5b844d3ee381</t>
        </is>
      </c>
      <c r="D6214" t="n">
        <v>55.96704</v>
      </c>
      <c r="E6214" t="n">
        <v>37.42648</v>
      </c>
      <c r="F6214" t="inlineStr"/>
      <c r="G6214" t="inlineStr"/>
      <c r="H6214" t="inlineStr"/>
    </row>
    <row r="6215">
      <c r="A6215" t="inlineStr">
        <is>
          <t>6e7e7865-9708-4649-8fc4-dcd80175e31d.jpg</t>
        </is>
      </c>
      <c r="B6215">
        <f>HYPERLINK("Объекты недвижимости, не соответствующие градостроительным нормам_00-022_Август/6e7e7865-9708-4649-8fc4-dcd80175e31d.jpg","open")</f>
        <v/>
      </c>
      <c r="C6215" t="inlineStr">
        <is>
          <t>29ad9edb-d533-4272-a986-be24eb004851</t>
        </is>
      </c>
      <c r="D6215" t="n">
        <v>55.74291</v>
      </c>
      <c r="E6215" t="n">
        <v>37.65471</v>
      </c>
      <c r="F6215" t="inlineStr"/>
      <c r="G6215" t="inlineStr"/>
      <c r="H6215" t="inlineStr"/>
    </row>
    <row r="6216">
      <c r="A6216" t="inlineStr">
        <is>
          <t>ac68afc6-59d3-422d-a34d-bdeb022cfb56.jpg</t>
        </is>
      </c>
      <c r="B6216">
        <f>HYPERLINK("Объекты недвижимости, не соответствующие градостроительным нормам_00-022_Август/ac68afc6-59d3-422d-a34d-bdeb022cfb56.jpg","open")</f>
        <v/>
      </c>
      <c r="C6216" t="inlineStr">
        <is>
          <t>685d9054-b74f-49ab-857b-109fd2cec80d</t>
        </is>
      </c>
      <c r="D6216" t="n">
        <v>55.74701</v>
      </c>
      <c r="E6216" t="n">
        <v>37.68741</v>
      </c>
      <c r="F6216" t="inlineStr"/>
      <c r="G6216" t="inlineStr"/>
      <c r="H6216" t="inlineStr"/>
    </row>
    <row r="6217">
      <c r="A6217" t="inlineStr">
        <is>
          <t>c0b7b035-c707-4711-98c1-774fc2a8d6f7.jpg</t>
        </is>
      </c>
      <c r="B6217">
        <f>HYPERLINK("Объекты недвижимости, не соответствующие градостроительным нормам_00-022_Август/c0b7b035-c707-4711-98c1-774fc2a8d6f7.jpg","open")</f>
        <v/>
      </c>
      <c r="C6217" t="inlineStr">
        <is>
          <t>31a713a9-b910-424b-b847-e0eaa2f70c70</t>
        </is>
      </c>
      <c r="D6217" t="n">
        <v>55.77743</v>
      </c>
      <c r="E6217" t="n">
        <v>37.67019</v>
      </c>
      <c r="F6217" t="inlineStr"/>
      <c r="G6217" t="inlineStr"/>
      <c r="H6217" t="inlineStr"/>
    </row>
    <row r="6218">
      <c r="A6218" t="inlineStr">
        <is>
          <t>5eb22148-1022-4019-a0fb-0b977d794923.jpg</t>
        </is>
      </c>
      <c r="B6218">
        <f>HYPERLINK("Объекты недвижимости, не соответствующие градостроительным нормам_00-022_Август/5eb22148-1022-4019-a0fb-0b977d794923.jpg","open")</f>
        <v/>
      </c>
      <c r="C6218" t="inlineStr">
        <is>
          <t>29ad9edb-d533-4272-a986-be24eb004851</t>
        </is>
      </c>
      <c r="D6218" t="n">
        <v>55.74289</v>
      </c>
      <c r="E6218" t="n">
        <v>37.65456</v>
      </c>
      <c r="F6218" t="inlineStr"/>
      <c r="G6218" t="inlineStr"/>
      <c r="H6218" t="inlineStr"/>
    </row>
    <row r="6219">
      <c r="A6219" t="inlineStr">
        <is>
          <t>b68331f8-8c73-46e1-a8d7-d4699e931bf1.jpg</t>
        </is>
      </c>
      <c r="B6219">
        <f>HYPERLINK("Объекты недвижимости, не соответствующие градостроительным нормам_00-022_Август/b68331f8-8c73-46e1-a8d7-d4699e931bf1.jpg","open")</f>
        <v/>
      </c>
      <c r="C6219" t="inlineStr">
        <is>
          <t>685d9054-b74f-49ab-857b-109fd2cec80d</t>
        </is>
      </c>
      <c r="D6219" t="n">
        <v>55.74701</v>
      </c>
      <c r="E6219" t="n">
        <v>37.68741</v>
      </c>
      <c r="F6219" t="inlineStr"/>
      <c r="G6219" t="inlineStr"/>
      <c r="H6219" t="inlineStr"/>
    </row>
    <row r="6220">
      <c r="A6220" t="inlineStr">
        <is>
          <t>b3e559e8-261e-4569-b676-9657f9a0cdcd.jpg</t>
        </is>
      </c>
      <c r="B6220">
        <f>HYPERLINK("Объекты недвижимости, не соответствующие градостроительным нормам_00-022_Август/b3e559e8-261e-4569-b676-9657f9a0cdcd.jpg","open")</f>
        <v/>
      </c>
      <c r="C6220" t="inlineStr">
        <is>
          <t>685d9054-b74f-49ab-857b-109fd2cec80d</t>
        </is>
      </c>
      <c r="D6220" t="n">
        <v>55.74701</v>
      </c>
      <c r="E6220" t="n">
        <v>37.68741</v>
      </c>
      <c r="F6220" t="inlineStr"/>
      <c r="G6220" t="inlineStr"/>
      <c r="H6220" t="inlineStr"/>
    </row>
    <row r="6221">
      <c r="A6221" t="inlineStr">
        <is>
          <t>18f88b82-8e28-4a12-bbfd-4f05b3b3ea66.jpg</t>
        </is>
      </c>
      <c r="B6221">
        <f>HYPERLINK("Объекты недвижимости, не соответствующие градостроительным нормам_00-022_Август/18f88b82-8e28-4a12-bbfd-4f05b3b3ea66.jpg","open")</f>
        <v/>
      </c>
      <c r="C6221" t="inlineStr">
        <is>
          <t>29ad9edb-d533-4272-a986-be24eb004851</t>
        </is>
      </c>
      <c r="D6221" t="n">
        <v>55.74287</v>
      </c>
      <c r="E6221" t="n">
        <v>37.65453</v>
      </c>
      <c r="F6221" t="inlineStr"/>
      <c r="G6221" t="inlineStr"/>
      <c r="H6221" t="inlineStr"/>
    </row>
    <row r="6222">
      <c r="A6222" t="inlineStr">
        <is>
          <t>be72857b-1f95-4ffe-8a2c-a9e16131e019.jpg</t>
        </is>
      </c>
      <c r="B6222">
        <f>HYPERLINK("Объекты недвижимости, не соответствующие градостроительным нормам_00-022_Август/be72857b-1f95-4ffe-8a2c-a9e16131e019.jpg","open")</f>
        <v/>
      </c>
      <c r="C6222" t="inlineStr">
        <is>
          <t>685d9054-b74f-49ab-857b-109fd2cec80d</t>
        </is>
      </c>
      <c r="D6222" t="n">
        <v>55.74701</v>
      </c>
      <c r="E6222" t="n">
        <v>37.68741</v>
      </c>
      <c r="F6222" t="inlineStr"/>
      <c r="G6222" t="inlineStr"/>
      <c r="H6222" t="inlineStr"/>
    </row>
    <row r="6223">
      <c r="A6223" t="inlineStr">
        <is>
          <t>b595c332-3b16-4c32-b8a5-0ede62ad9f38.jpg</t>
        </is>
      </c>
      <c r="B6223">
        <f>HYPERLINK("Объекты недвижимости, не соответствующие градостроительным нормам_00-022_Август/b595c332-3b16-4c32-b8a5-0ede62ad9f38.jpg","open")</f>
        <v/>
      </c>
      <c r="C6223" t="inlineStr">
        <is>
          <t>ab4e767f-65c0-455b-af20-a5527124fd21</t>
        </is>
      </c>
      <c r="D6223" t="n">
        <v>55.96704</v>
      </c>
      <c r="E6223" t="n">
        <v>37.42648</v>
      </c>
      <c r="F6223" t="inlineStr"/>
      <c r="G6223" t="inlineStr"/>
      <c r="H6223" t="inlineStr"/>
    </row>
    <row r="6224">
      <c r="A6224" t="inlineStr">
        <is>
          <t>1a7f2fde-cdb5-4aa4-b2ad-5e1538304c7c.jpg</t>
        </is>
      </c>
      <c r="B6224">
        <f>HYPERLINK("Объекты недвижимости, не соответствующие градостроительным нормам_00-022_Август/1a7f2fde-cdb5-4aa4-b2ad-5e1538304c7c.jpg","open")</f>
        <v/>
      </c>
      <c r="C6224" t="inlineStr">
        <is>
          <t>685d9054-b74f-49ab-857b-109fd2cec80d</t>
        </is>
      </c>
      <c r="D6224" t="n">
        <v>55.74701</v>
      </c>
      <c r="E6224" t="n">
        <v>37.68741</v>
      </c>
      <c r="F6224" t="inlineStr"/>
      <c r="G6224" t="inlineStr"/>
      <c r="H6224" t="inlineStr"/>
    </row>
    <row r="6225">
      <c r="A6225" t="inlineStr">
        <is>
          <t>a59e240c-a703-44d9-90a5-62d3686cdee7.jpg</t>
        </is>
      </c>
      <c r="B6225">
        <f>HYPERLINK("Объекты недвижимости, не соответствующие градостроительным нормам_00-022_Август/a59e240c-a703-44d9-90a5-62d3686cdee7.jpg","open")</f>
        <v/>
      </c>
      <c r="C6225" t="inlineStr">
        <is>
          <t>61936922-4d4b-458e-80ea-6d4c450aa1d5</t>
        </is>
      </c>
      <c r="D6225" t="n">
        <v>55.78326</v>
      </c>
      <c r="E6225" t="n">
        <v>37.62221</v>
      </c>
      <c r="F6225" t="inlineStr"/>
      <c r="G6225" t="inlineStr"/>
      <c r="H6225" t="inlineStr"/>
    </row>
    <row r="6226">
      <c r="A6226" t="inlineStr">
        <is>
          <t>80e5af32-32b5-4415-b6b6-bdbd3e00a35a.jpg</t>
        </is>
      </c>
      <c r="B6226">
        <f>HYPERLINK("Объекты недвижимости, не соответствующие градостроительным нормам_00-022_Август/80e5af32-32b5-4415-b6b6-bdbd3e00a35a.jpg","open")</f>
        <v/>
      </c>
      <c r="C6226" t="inlineStr">
        <is>
          <t>1231bbc5-e64c-4dc7-9acc-77710f47607a</t>
        </is>
      </c>
      <c r="D6226" t="n">
        <v>55.74701</v>
      </c>
      <c r="E6226" t="n">
        <v>37.68741</v>
      </c>
      <c r="F6226" t="inlineStr"/>
      <c r="G6226" t="inlineStr"/>
      <c r="H6226" t="inlineStr"/>
    </row>
    <row r="6227">
      <c r="A6227" t="inlineStr">
        <is>
          <t>92bc1b83-30fc-4964-ad82-495b9f98a528.jpg</t>
        </is>
      </c>
      <c r="B6227">
        <f>HYPERLINK("Объекты недвижимости, не соответствующие градостроительным нормам_00-022_Август/92bc1b83-30fc-4964-ad82-495b9f98a528.jpg","open")</f>
        <v/>
      </c>
      <c r="C6227" t="inlineStr">
        <is>
          <t>685d9054-b74f-49ab-857b-109fd2cec80d</t>
        </is>
      </c>
      <c r="D6227" t="n">
        <v>55.74701</v>
      </c>
      <c r="E6227" t="n">
        <v>37.68741</v>
      </c>
      <c r="F6227" t="inlineStr"/>
      <c r="G6227" t="inlineStr"/>
      <c r="H6227" t="inlineStr"/>
    </row>
    <row r="6228">
      <c r="A6228" t="inlineStr">
        <is>
          <t>0b9cf550-beff-42d5-ae81-d058521d7d6e.jpg</t>
        </is>
      </c>
      <c r="B6228">
        <f>HYPERLINK("Объекты недвижимости, не соответствующие градостроительным нормам_00-022_Август/0b9cf550-beff-42d5-ae81-d058521d7d6e.jpg","open")</f>
        <v/>
      </c>
      <c r="C6228" t="inlineStr">
        <is>
          <t>685d9054-b74f-49ab-857b-109fd2cec80d</t>
        </is>
      </c>
      <c r="D6228" t="n">
        <v>55.74701</v>
      </c>
      <c r="E6228" t="n">
        <v>37.68741</v>
      </c>
      <c r="F6228" t="inlineStr"/>
      <c r="G6228" t="inlineStr"/>
      <c r="H6228" t="inlineStr"/>
    </row>
    <row r="6229">
      <c r="A6229" t="inlineStr">
        <is>
          <t>a261aa97-2bce-4a02-942d-1cbe995e9c6f.jpg</t>
        </is>
      </c>
      <c r="B6229">
        <f>HYPERLINK("Объекты недвижимости, не соответствующие градостроительным нормам_00-022_Август/a261aa97-2bce-4a02-942d-1cbe995e9c6f.jpg","open")</f>
        <v/>
      </c>
      <c r="C6229" t="inlineStr">
        <is>
          <t>1231bbc5-e64c-4dc7-9acc-77710f47607a</t>
        </is>
      </c>
      <c r="D6229" t="n">
        <v>55.74701</v>
      </c>
      <c r="E6229" t="n">
        <v>37.68741</v>
      </c>
      <c r="F6229" t="inlineStr"/>
      <c r="G6229" t="inlineStr"/>
      <c r="H6229" t="inlineStr"/>
    </row>
    <row r="6230">
      <c r="A6230" t="inlineStr">
        <is>
          <t>08599fde-d3cb-4267-905e-6217e5118bd8.jpg</t>
        </is>
      </c>
      <c r="B6230">
        <f>HYPERLINK("Объекты недвижимости, не соответствующие градостроительным нормам_00-022_Август/08599fde-d3cb-4267-905e-6217e5118bd8.jpg","open")</f>
        <v/>
      </c>
      <c r="C6230" t="inlineStr">
        <is>
          <t>cbf95b01-f708-45a3-9ec0-3603469b538e</t>
        </is>
      </c>
      <c r="D6230" t="n">
        <v>55.7389</v>
      </c>
      <c r="E6230" t="n">
        <v>37.66505</v>
      </c>
      <c r="F6230" t="inlineStr"/>
      <c r="G6230" t="inlineStr"/>
      <c r="H6230" t="inlineStr"/>
    </row>
    <row r="6231">
      <c r="A6231" t="inlineStr">
        <is>
          <t>5ab1bd89-7e15-4a2f-b2ea-cd6c0b2deb27.jpg</t>
        </is>
      </c>
      <c r="B6231">
        <f>HYPERLINK("Объекты недвижимости, не соответствующие градостроительным нормам_00-022_Август/5ab1bd89-7e15-4a2f-b2ea-cd6c0b2deb27.jpg","open")</f>
        <v/>
      </c>
      <c r="C6231" t="inlineStr">
        <is>
          <t>8cde1fd0-eca1-4510-86ab-3c743b65fdfc</t>
        </is>
      </c>
      <c r="D6231" t="n">
        <v>55.78695</v>
      </c>
      <c r="E6231" t="n">
        <v>37.66167</v>
      </c>
      <c r="F6231" t="inlineStr"/>
      <c r="G6231" t="inlineStr"/>
      <c r="H6231" t="inlineStr"/>
    </row>
    <row r="6232">
      <c r="A6232" t="inlineStr">
        <is>
          <t>6176294d-b220-4c0b-810d-eb5ee55822b7.jpg</t>
        </is>
      </c>
      <c r="B6232">
        <f>HYPERLINK("Объекты недвижимости, не соответствующие градостроительным нормам_00-022_Август/6176294d-b220-4c0b-810d-eb5ee55822b7.jpg","open")</f>
        <v/>
      </c>
      <c r="C6232" t="inlineStr">
        <is>
          <t>29ad9edb-d533-4272-a986-be24eb004851</t>
        </is>
      </c>
      <c r="D6232" t="n">
        <v>55.73742</v>
      </c>
      <c r="E6232" t="n">
        <v>37.64859</v>
      </c>
      <c r="F6232" t="inlineStr"/>
      <c r="G6232" t="inlineStr"/>
      <c r="H6232" t="inlineStr"/>
    </row>
    <row r="6233">
      <c r="A6233" t="inlineStr">
        <is>
          <t>c7e56b7c-7c8a-484a-ae31-28b9333af037.jpg</t>
        </is>
      </c>
      <c r="B6233">
        <f>HYPERLINK("Объекты недвижимости, не соответствующие градостроительным нормам_00-022_Август/c7e56b7c-7c8a-484a-ae31-28b9333af037.jpg","open")</f>
        <v/>
      </c>
      <c r="C6233" t="inlineStr">
        <is>
          <t>29ad9edb-d533-4272-a986-be24eb004851</t>
        </is>
      </c>
      <c r="D6233" t="n">
        <v>55.73742</v>
      </c>
      <c r="E6233" t="n">
        <v>37.64859</v>
      </c>
      <c r="F6233" t="inlineStr"/>
      <c r="G6233" t="inlineStr"/>
      <c r="H6233" t="inlineStr"/>
    </row>
    <row r="6234">
      <c r="A6234" t="inlineStr">
        <is>
          <t>afe56f31-da4e-4f6c-9fe6-d5675439486a.jpg</t>
        </is>
      </c>
      <c r="B6234">
        <f>HYPERLINK("Объекты недвижимости, не соответствующие градостроительным нормам_00-022_Август/afe56f31-da4e-4f6c-9fe6-d5675439486a.jpg","open")</f>
        <v/>
      </c>
      <c r="C6234" t="inlineStr">
        <is>
          <t>29ad9edb-d533-4272-a986-be24eb004851</t>
        </is>
      </c>
      <c r="D6234" t="n">
        <v>55.73742</v>
      </c>
      <c r="E6234" t="n">
        <v>37.64859</v>
      </c>
      <c r="F6234" t="inlineStr"/>
      <c r="G6234" t="inlineStr"/>
      <c r="H6234" t="inlineStr"/>
    </row>
    <row r="6235">
      <c r="A6235" t="inlineStr">
        <is>
          <t>43edde5e-7801-4a83-8235-707faec47e98.jpg</t>
        </is>
      </c>
      <c r="B6235">
        <f>HYPERLINK("Объекты недвижимости, не соответствующие градостроительным нормам_00-022_Август/43edde5e-7801-4a83-8235-707faec47e98.jpg","open")</f>
        <v/>
      </c>
      <c r="C6235" t="inlineStr">
        <is>
          <t>c008bda0-324b-4c90-9c2f-36cfc930e0b5</t>
        </is>
      </c>
      <c r="D6235" t="n">
        <v>55.73742</v>
      </c>
      <c r="E6235" t="n">
        <v>37.64859</v>
      </c>
      <c r="F6235" t="inlineStr"/>
      <c r="G6235" t="inlineStr"/>
      <c r="H6235" t="inlineStr"/>
    </row>
    <row r="6236">
      <c r="A6236" t="inlineStr">
        <is>
          <t>64e0c989-85e7-4be7-997d-4d1eaa778e4b.jpg</t>
        </is>
      </c>
      <c r="B6236">
        <f>HYPERLINK("Объекты недвижимости, не соответствующие градостроительным нормам_00-022_Август/64e0c989-85e7-4be7-997d-4d1eaa778e4b.jpg","open")</f>
        <v/>
      </c>
      <c r="C6236" t="inlineStr">
        <is>
          <t>29ad9edb-d533-4272-a986-be24eb004851</t>
        </is>
      </c>
      <c r="D6236" t="n">
        <v>55.73742</v>
      </c>
      <c r="E6236" t="n">
        <v>37.64859</v>
      </c>
      <c r="F6236" t="inlineStr"/>
      <c r="G6236" t="inlineStr"/>
      <c r="H6236" t="inlineStr"/>
    </row>
    <row r="6237">
      <c r="A6237" t="inlineStr">
        <is>
          <t>cf5b6d70-a228-41d5-9282-e11c69dd144c.jpg</t>
        </is>
      </c>
      <c r="B6237">
        <f>HYPERLINK("Объекты недвижимости, не соответствующие градостроительным нормам_00-022_Август/cf5b6d70-a228-41d5-9282-e11c69dd144c.jpg","open")</f>
        <v/>
      </c>
      <c r="C6237" t="inlineStr">
        <is>
          <t>f9ad0a8f-1e33-4fca-bdfe-5b844d3ee381</t>
        </is>
      </c>
      <c r="D6237" t="n">
        <v>55.96704</v>
      </c>
      <c r="E6237" t="n">
        <v>37.42648</v>
      </c>
      <c r="F6237" t="inlineStr"/>
      <c r="G6237" t="inlineStr"/>
      <c r="H6237" t="inlineStr"/>
    </row>
    <row r="6238">
      <c r="A6238" t="inlineStr">
        <is>
          <t>ea002ea8-3910-483f-9dfe-5a064ae8126b.jpg</t>
        </is>
      </c>
      <c r="B6238">
        <f>HYPERLINK("Объекты недвижимости, не соответствующие градостроительным нормам_00-022_Август/ea002ea8-3910-483f-9dfe-5a064ae8126b.jpg","open")</f>
        <v/>
      </c>
      <c r="C6238" t="inlineStr">
        <is>
          <t>0dd30d74-4dbc-46a8-b638-91e1431bb398</t>
        </is>
      </c>
      <c r="D6238" t="n">
        <v>55.75428</v>
      </c>
      <c r="E6238" t="n">
        <v>37.68901</v>
      </c>
      <c r="F6238" t="inlineStr"/>
      <c r="G6238" t="inlineStr"/>
      <c r="H6238" t="inlineStr"/>
    </row>
    <row r="6239">
      <c r="A6239" t="inlineStr">
        <is>
          <t>084d7bca-02df-450c-9143-3517d73e4c91.jpg</t>
        </is>
      </c>
      <c r="B6239">
        <f>HYPERLINK("Объекты недвижимости, не соответствующие градостроительным нормам_00-022_Август/084d7bca-02df-450c-9143-3517d73e4c91.jpg","open")</f>
        <v/>
      </c>
      <c r="C6239" t="inlineStr">
        <is>
          <t>93848fc8-17e7-4748-9ebc-c7e379e11d2f</t>
        </is>
      </c>
      <c r="D6239" t="n">
        <v>55.75428</v>
      </c>
      <c r="E6239" t="n">
        <v>37.68901</v>
      </c>
      <c r="F6239" t="inlineStr"/>
      <c r="G6239" t="inlineStr"/>
      <c r="H6239" t="inlineStr"/>
    </row>
    <row r="6240">
      <c r="A6240" t="inlineStr">
        <is>
          <t>5c2008c3-7915-4150-a5a0-2143c44211c5.jpg</t>
        </is>
      </c>
      <c r="B6240">
        <f>HYPERLINK("Объекты недвижимости, не соответствующие градостроительным нормам_00-022_Август/5c2008c3-7915-4150-a5a0-2143c44211c5.jpg","open")</f>
        <v/>
      </c>
      <c r="C6240" t="inlineStr">
        <is>
          <t>61936922-4d4b-458e-80ea-6d4c450aa1d5</t>
        </is>
      </c>
      <c r="D6240" t="n">
        <v>55.78326</v>
      </c>
      <c r="E6240" t="n">
        <v>37.62221</v>
      </c>
      <c r="F6240" t="inlineStr"/>
      <c r="G6240" t="inlineStr"/>
      <c r="H6240" t="inlineStr"/>
    </row>
    <row r="6241">
      <c r="A6241" t="inlineStr">
        <is>
          <t>248b52f0-d096-47a2-a38f-265184d549ee.jpg</t>
        </is>
      </c>
      <c r="B6241">
        <f>HYPERLINK("Объекты недвижимости, не соответствующие градостроительным нормам_00-022_Август/248b52f0-d096-47a2-a38f-265184d549ee.jpg","open")</f>
        <v/>
      </c>
      <c r="C6241" t="inlineStr">
        <is>
          <t>685d9054-b74f-49ab-857b-109fd2cec80d</t>
        </is>
      </c>
      <c r="D6241" t="n">
        <v>55.6785</v>
      </c>
      <c r="E6241" t="n">
        <v>37.62486</v>
      </c>
      <c r="F6241" t="inlineStr"/>
      <c r="G6241" t="inlineStr"/>
      <c r="H6241" t="inlineStr"/>
    </row>
    <row r="6242">
      <c r="A6242" t="inlineStr">
        <is>
          <t>ffcfa40d-975a-48a9-9d86-9f3bfbedbea1.jpg</t>
        </is>
      </c>
      <c r="B6242">
        <f>HYPERLINK("Объекты недвижимости, не соответствующие градостроительным нормам_00-022_Август/ffcfa40d-975a-48a9-9d86-9f3bfbedbea1.jpg","open")</f>
        <v/>
      </c>
      <c r="C6242" t="inlineStr">
        <is>
          <t>29ad9edb-d533-4272-a986-be24eb004851</t>
        </is>
      </c>
      <c r="D6242" t="n">
        <v>55.73742</v>
      </c>
      <c r="E6242" t="n">
        <v>37.64859</v>
      </c>
      <c r="F6242" t="inlineStr"/>
      <c r="G6242" t="inlineStr"/>
      <c r="H6242" t="inlineStr"/>
    </row>
    <row r="6243">
      <c r="A6243" t="inlineStr">
        <is>
          <t>64bb9892-98bb-45b9-b64e-9a3e0b5a5cf8.jpg</t>
        </is>
      </c>
      <c r="B6243">
        <f>HYPERLINK("Объекты недвижимости, не соответствующие градостроительным нормам_00-022_Август/64bb9892-98bb-45b9-b64e-9a3e0b5a5cf8.jpg","open")</f>
        <v/>
      </c>
      <c r="C6243" t="inlineStr">
        <is>
          <t>cbf95b01-f708-45a3-9ec0-3603469b538e</t>
        </is>
      </c>
      <c r="D6243" t="n">
        <v>55.7389</v>
      </c>
      <c r="E6243" t="n">
        <v>37.66505</v>
      </c>
      <c r="F6243" t="inlineStr"/>
      <c r="G6243" t="inlineStr"/>
      <c r="H6243" t="inlineStr"/>
    </row>
    <row r="6244">
      <c r="A6244" t="inlineStr">
        <is>
          <t>3e1dd202-5982-46e8-a2b6-a86fd1b20178.jpg</t>
        </is>
      </c>
      <c r="B6244">
        <f>HYPERLINK("Объекты недвижимости, не соответствующие градостроительным нормам_00-022_Август/3e1dd202-5982-46e8-a2b6-a86fd1b20178.jpg","open")</f>
        <v/>
      </c>
      <c r="C6244" t="inlineStr">
        <is>
          <t>56702d00-3d38-4721-8f83-3846a59c1e44</t>
        </is>
      </c>
      <c r="D6244" t="n">
        <v>55.80608</v>
      </c>
      <c r="E6244" t="n">
        <v>37.54911</v>
      </c>
      <c r="F6244" t="inlineStr"/>
      <c r="G6244" t="inlineStr"/>
      <c r="H6244" t="inlineStr"/>
    </row>
    <row r="6245">
      <c r="A6245" t="inlineStr">
        <is>
          <t>c4f9f99a-9dcd-45fa-b371-a2dadd427f9b.jpg</t>
        </is>
      </c>
      <c r="B6245">
        <f>HYPERLINK("Объекты недвижимости, не соответствующие градостроительным нормам_00-022_Август/c4f9f99a-9dcd-45fa-b371-a2dadd427f9b.jpg","open")</f>
        <v/>
      </c>
      <c r="C6245" t="inlineStr">
        <is>
          <t>b0429a31-0c70-4b9f-8ea5-73929d82f89e</t>
        </is>
      </c>
      <c r="D6245" t="n">
        <v>55.6615</v>
      </c>
      <c r="E6245" t="n">
        <v>37.61879</v>
      </c>
      <c r="F6245" t="inlineStr"/>
      <c r="G6245" t="inlineStr"/>
      <c r="H6245" t="inlineStr"/>
    </row>
    <row r="6246">
      <c r="A6246" t="inlineStr">
        <is>
          <t>b9f7b5fe-7be1-43b0-9547-2e5a2333b9ba.jpg</t>
        </is>
      </c>
      <c r="B6246">
        <f>HYPERLINK("Объекты недвижимости, не соответствующие градостроительным нормам_00-022_Август/b9f7b5fe-7be1-43b0-9547-2e5a2333b9ba.jpg","open")</f>
        <v/>
      </c>
      <c r="C6246" t="inlineStr">
        <is>
          <t>f60286ac-55e7-4099-85bd-cc599a7a0c65</t>
        </is>
      </c>
      <c r="D6246" t="n">
        <v>55.74185</v>
      </c>
      <c r="E6246" t="n">
        <v>37.76016</v>
      </c>
      <c r="F6246" t="inlineStr"/>
      <c r="G6246" t="inlineStr"/>
      <c r="H6246" t="inlineStr"/>
    </row>
    <row r="6247">
      <c r="A6247" t="inlineStr">
        <is>
          <t>9de5e819-bbe1-4bbe-930d-624e3e947f85.jpg</t>
        </is>
      </c>
      <c r="B6247">
        <f>HYPERLINK("Объекты недвижимости, не соответствующие градостроительным нормам_00-022_Август/9de5e819-bbe1-4bbe-930d-624e3e947f85.jpg","open")</f>
        <v/>
      </c>
      <c r="C6247" t="inlineStr">
        <is>
          <t>b0429a31-0c70-4b9f-8ea5-73929d82f89e</t>
        </is>
      </c>
      <c r="D6247" t="n">
        <v>55.66155</v>
      </c>
      <c r="E6247" t="n">
        <v>37.61874</v>
      </c>
      <c r="F6247" t="inlineStr"/>
      <c r="G6247" t="inlineStr"/>
      <c r="H6247" t="inlineStr"/>
    </row>
    <row r="6248">
      <c r="A6248" t="inlineStr">
        <is>
          <t>8d467d68-a72b-4bd9-8046-a829e3200510.jpg</t>
        </is>
      </c>
      <c r="B6248">
        <f>HYPERLINK("Объекты недвижимости, не соответствующие градостроительным нормам_00-022_Август/8d467d68-a72b-4bd9-8046-a829e3200510.jpg","open")</f>
        <v/>
      </c>
      <c r="C6248" t="inlineStr">
        <is>
          <t>b0429a31-0c70-4b9f-8ea5-73929d82f89e</t>
        </is>
      </c>
      <c r="D6248" t="n">
        <v>55.66153</v>
      </c>
      <c r="E6248" t="n">
        <v>37.61873</v>
      </c>
      <c r="F6248" t="inlineStr"/>
      <c r="G6248" t="inlineStr"/>
      <c r="H6248" t="inlineStr"/>
    </row>
    <row r="6249">
      <c r="A6249" t="inlineStr">
        <is>
          <t>92e3aca9-feb6-40dd-ac49-ebd2588d7494.jpg</t>
        </is>
      </c>
      <c r="B6249">
        <f>HYPERLINK("Объекты недвижимости, не соответствующие градостроительным нормам_00-022_Август/92e3aca9-feb6-40dd-ac49-ebd2588d7494.jpg","open")</f>
        <v/>
      </c>
      <c r="C6249" t="inlineStr">
        <is>
          <t>b0429a31-0c70-4b9f-8ea5-73929d82f89e</t>
        </is>
      </c>
      <c r="D6249" t="n">
        <v>55.66152</v>
      </c>
      <c r="E6249" t="n">
        <v>37.61872</v>
      </c>
      <c r="F6249" t="inlineStr"/>
      <c r="G6249" t="inlineStr"/>
      <c r="H6249" t="inlineStr"/>
    </row>
    <row r="6250">
      <c r="A6250" t="inlineStr">
        <is>
          <t>4f9cc763-4b8a-4c96-8a34-a8c4d8d5207e.jpg</t>
        </is>
      </c>
      <c r="B6250">
        <f>HYPERLINK("Объекты недвижимости, не соответствующие градостроительным нормам_00-022_Август/4f9cc763-4b8a-4c96-8a34-a8c4d8d5207e.jpg","open")</f>
        <v/>
      </c>
      <c r="C6250" t="inlineStr">
        <is>
          <t>036c664f-5408-4fd0-b479-342c00468eeb</t>
        </is>
      </c>
      <c r="D6250" t="n">
        <v>55.62057</v>
      </c>
      <c r="E6250" t="n">
        <v>37.4813</v>
      </c>
      <c r="F6250" t="inlineStr"/>
      <c r="G6250" t="inlineStr"/>
      <c r="H6250" t="inlineStr"/>
    </row>
    <row r="6251">
      <c r="A6251" t="inlineStr">
        <is>
          <t>9bd9b843-b9ff-4bc6-9e10-a66157ca1668.jpg</t>
        </is>
      </c>
      <c r="B6251">
        <f>HYPERLINK("Объекты недвижимости, не соответствующие градостроительным нормам_00-022_Август/9bd9b843-b9ff-4bc6-9e10-a66157ca1668.jpg","open")</f>
        <v/>
      </c>
      <c r="C6251" t="inlineStr">
        <is>
          <t>8b2675e2-7f40-47a9-a462-7c9feecd299c</t>
        </is>
      </c>
      <c r="D6251" t="n">
        <v>55.62052</v>
      </c>
      <c r="E6251" t="n">
        <v>37.48142</v>
      </c>
      <c r="F6251" t="inlineStr"/>
      <c r="G6251" t="inlineStr"/>
      <c r="H6251" t="inlineStr"/>
    </row>
    <row r="6252">
      <c r="A6252" t="inlineStr">
        <is>
          <t>7d04cf5a-733d-493d-8c87-872c50dc0b16.jpg</t>
        </is>
      </c>
      <c r="B6252">
        <f>HYPERLINK("Объекты недвижимости, не соответствующие градостроительным нормам_00-022_Август/7d04cf5a-733d-493d-8c87-872c50dc0b16.jpg","open")</f>
        <v/>
      </c>
      <c r="C6252" t="inlineStr">
        <is>
          <t>2acfb2da-e3f6-464c-bd17-4b713522c142</t>
        </is>
      </c>
      <c r="D6252" t="n">
        <v>55.87113</v>
      </c>
      <c r="E6252" t="n">
        <v>37.61162</v>
      </c>
      <c r="F6252" t="inlineStr"/>
      <c r="G6252" t="inlineStr"/>
      <c r="H6252" t="inlineStr"/>
    </row>
    <row r="6253">
      <c r="A6253" t="inlineStr">
        <is>
          <t>af4cee97-5452-4023-8e8f-0b159fc08f37.jpg</t>
        </is>
      </c>
      <c r="B6253">
        <f>HYPERLINK("Объекты недвижимости, не соответствующие градостроительным нормам_00-022_Август/af4cee97-5452-4023-8e8f-0b159fc08f37.jpg","open")</f>
        <v/>
      </c>
      <c r="C6253" t="inlineStr">
        <is>
          <t>b0429a31-0c70-4b9f-8ea5-73929d82f89e</t>
        </is>
      </c>
      <c r="D6253" t="n">
        <v>55.66236</v>
      </c>
      <c r="E6253" t="n">
        <v>37.61336</v>
      </c>
      <c r="F6253" t="inlineStr"/>
      <c r="G6253" t="inlineStr"/>
      <c r="H6253" t="inlineStr"/>
    </row>
    <row r="6254">
      <c r="A6254" t="inlineStr">
        <is>
          <t>29da6d80-b89e-4728-a078-c876076f14ca.jpg</t>
        </is>
      </c>
      <c r="B6254">
        <f>HYPERLINK("Объекты недвижимости, не соответствующие градостроительным нормам_00-022_Август/29da6d80-b89e-4728-a078-c876076f14ca.jpg","open")</f>
        <v/>
      </c>
      <c r="C6254" t="inlineStr">
        <is>
          <t>f20fbc2b-b369-4734-bb66-92af02fbb0d1</t>
        </is>
      </c>
      <c r="D6254" t="n">
        <v>55.68832</v>
      </c>
      <c r="E6254" t="n">
        <v>37.86306</v>
      </c>
      <c r="F6254" t="inlineStr"/>
      <c r="G6254" t="inlineStr"/>
      <c r="H6254" t="inlineStr"/>
    </row>
    <row r="6255">
      <c r="A6255" t="inlineStr">
        <is>
          <t>7801dd19-0ea9-4196-882a-8e7671507bb4.jpg</t>
        </is>
      </c>
      <c r="B6255">
        <f>HYPERLINK("Объекты недвижимости, не соответствующие градостроительным нормам_00-022_Август/7801dd19-0ea9-4196-882a-8e7671507bb4.jpg","open")</f>
        <v/>
      </c>
      <c r="C6255" t="inlineStr">
        <is>
          <t>b0b7ea82-53be-40d0-b992-e2fd18611d5c</t>
        </is>
      </c>
      <c r="D6255" t="n">
        <v>55.68824</v>
      </c>
      <c r="E6255" t="n">
        <v>37.86306</v>
      </c>
      <c r="F6255" t="inlineStr"/>
      <c r="G6255" t="inlineStr"/>
      <c r="H6255" t="inlineStr"/>
    </row>
    <row r="6256">
      <c r="A6256" t="inlineStr">
        <is>
          <t>d9eb7141-445b-41b4-a380-3ca18f7338c2.jpg</t>
        </is>
      </c>
      <c r="B6256">
        <f>HYPERLINK("Объекты недвижимости, не соответствующие градостроительным нормам_00-022_Август/d9eb7141-445b-41b4-a380-3ca18f7338c2.jpg","open")</f>
        <v/>
      </c>
      <c r="C6256" t="inlineStr">
        <is>
          <t>1c951e11-4940-43c6-a447-394097e5609a</t>
        </is>
      </c>
      <c r="D6256" t="n">
        <v>55.80806</v>
      </c>
      <c r="E6256" t="n">
        <v>37.6223</v>
      </c>
      <c r="F6256" t="inlineStr"/>
      <c r="G6256" t="inlineStr"/>
      <c r="H6256" t="inlineStr"/>
    </row>
    <row r="6257">
      <c r="A6257" t="inlineStr">
        <is>
          <t>bb57883a-87ec-47d5-8165-ed7e7d219f4f.jpg</t>
        </is>
      </c>
      <c r="B6257">
        <f>HYPERLINK("Объекты недвижимости, не соответствующие градостроительным нормам_00-022_Август/bb57883a-87ec-47d5-8165-ed7e7d219f4f.jpg","open")</f>
        <v/>
      </c>
      <c r="C6257" t="inlineStr">
        <is>
          <t>12e795ad-2aa7-49de-b2da-2c6aa35a4559</t>
        </is>
      </c>
      <c r="D6257" t="n">
        <v>55.67018</v>
      </c>
      <c r="E6257" t="n">
        <v>37.55624</v>
      </c>
      <c r="F6257" t="inlineStr"/>
      <c r="G6257" t="inlineStr"/>
      <c r="H6257" t="inlineStr"/>
    </row>
    <row r="6258">
      <c r="A6258" t="inlineStr">
        <is>
          <t>e98bd44b-be2b-4e48-8f31-6cfeb2fe2c0d.jpg</t>
        </is>
      </c>
      <c r="B6258">
        <f>HYPERLINK("Объекты недвижимости, не соответствующие градостроительным нормам_00-022_Август/e98bd44b-be2b-4e48-8f31-6cfeb2fe2c0d.jpg","open")</f>
        <v/>
      </c>
      <c r="C6258" t="inlineStr">
        <is>
          <t>1c951e11-4940-43c6-a447-394097e5609a</t>
        </is>
      </c>
      <c r="D6258" t="n">
        <v>55.80954</v>
      </c>
      <c r="E6258" t="n">
        <v>37.61803</v>
      </c>
      <c r="F6258" t="inlineStr"/>
      <c r="G6258" t="inlineStr"/>
      <c r="H6258" t="inlineStr"/>
    </row>
    <row r="6259">
      <c r="A6259" t="inlineStr">
        <is>
          <t>cc7e8811-987a-45cb-bfa4-23340fe8c46d.jpg</t>
        </is>
      </c>
      <c r="B6259">
        <f>HYPERLINK("Объекты недвижимости, не соответствующие градостроительным нормам_00-022_Август/cc7e8811-987a-45cb-bfa4-23340fe8c46d.jpg","open")</f>
        <v/>
      </c>
      <c r="C6259" t="inlineStr">
        <is>
          <t>b0429a31-0c70-4b9f-8ea5-73929d82f89e</t>
        </is>
      </c>
      <c r="D6259" t="n">
        <v>55.66284</v>
      </c>
      <c r="E6259" t="n">
        <v>37.61698</v>
      </c>
      <c r="F6259" t="inlineStr"/>
      <c r="G6259" t="inlineStr"/>
      <c r="H6259" t="inlineStr"/>
    </row>
    <row r="6260">
      <c r="A6260" t="inlineStr">
        <is>
          <t>0fc755b7-0d7d-4049-bee9-5b5ebc57a704.jpg</t>
        </is>
      </c>
      <c r="B6260">
        <f>HYPERLINK("Объекты недвижимости, не соответствующие градостроительным нормам_00-022_Август/0fc755b7-0d7d-4049-bee9-5b5ebc57a704.jpg","open")</f>
        <v/>
      </c>
      <c r="C6260" t="inlineStr">
        <is>
          <t>99f3abba-c55b-49f0-9de5-9f88e9597cc0</t>
        </is>
      </c>
      <c r="D6260" t="n">
        <v>55.66278</v>
      </c>
      <c r="E6260" t="n">
        <v>37.61719</v>
      </c>
      <c r="F6260" t="inlineStr"/>
      <c r="G6260" t="inlineStr"/>
      <c r="H6260" t="inlineStr"/>
    </row>
    <row r="6261">
      <c r="A6261" t="inlineStr">
        <is>
          <t>505882c2-ec3a-45d5-a583-c22e03a5367c.jpg</t>
        </is>
      </c>
      <c r="B6261">
        <f>HYPERLINK("Объекты недвижимости, не соответствующие градостроительным нормам_00-022_Август/505882c2-ec3a-45d5-a583-c22e03a5367c.jpg","open")</f>
        <v/>
      </c>
      <c r="C6261" t="inlineStr">
        <is>
          <t>f6f80c84-5569-48fd-b627-6f41ce4c61c4</t>
        </is>
      </c>
      <c r="D6261" t="n">
        <v>55.80857</v>
      </c>
      <c r="E6261" t="n">
        <v>37.80497</v>
      </c>
      <c r="F6261" t="inlineStr"/>
      <c r="G6261" t="inlineStr"/>
      <c r="H6261" t="inlineStr"/>
    </row>
    <row r="6262">
      <c r="A6262" t="inlineStr">
        <is>
          <t>d68f48cb-9d11-42bf-bdb9-705cd8725888.jpg</t>
        </is>
      </c>
      <c r="B6262">
        <f>HYPERLINK("Объекты недвижимости, не соответствующие градостроительным нормам_00-022_Август/d68f48cb-9d11-42bf-bdb9-705cd8725888.jpg","open")</f>
        <v/>
      </c>
      <c r="C6262" t="inlineStr">
        <is>
          <t>789f6c51-64ee-4078-b7bd-443af8b8b68a</t>
        </is>
      </c>
      <c r="D6262" t="n">
        <v>55.86068</v>
      </c>
      <c r="E6262" t="n">
        <v>37.58941</v>
      </c>
      <c r="F6262" t="inlineStr"/>
      <c r="G6262" t="inlineStr"/>
      <c r="H6262" t="inlineStr"/>
    </row>
    <row r="6263">
      <c r="A6263" t="inlineStr">
        <is>
          <t>514bdc5b-f941-413f-8620-18293031a4f7.jpg</t>
        </is>
      </c>
      <c r="B6263">
        <f>HYPERLINK("Объекты недвижимости, не соответствующие градостроительным нормам_00-022_Август/514bdc5b-f941-413f-8620-18293031a4f7.jpg","open")</f>
        <v/>
      </c>
      <c r="C6263" t="inlineStr">
        <is>
          <t>2acfb2da-e3f6-464c-bd17-4b713522c142</t>
        </is>
      </c>
      <c r="D6263" t="n">
        <v>55.8607</v>
      </c>
      <c r="E6263" t="n">
        <v>37.5891</v>
      </c>
      <c r="F6263" t="inlineStr"/>
      <c r="G6263" t="inlineStr"/>
      <c r="H6263" t="inlineStr"/>
    </row>
    <row r="6264">
      <c r="A6264" t="inlineStr">
        <is>
          <t>555a8929-a741-4bc0-aa41-6d8864849fdb.jpg</t>
        </is>
      </c>
      <c r="B6264">
        <f>HYPERLINK("Объекты недвижимости, не соответствующие градостроительным нормам_00-022_Август/555a8929-a741-4bc0-aa41-6d8864849fdb.jpg","open")</f>
        <v/>
      </c>
      <c r="C6264" t="inlineStr">
        <is>
          <t>99ad831f-cb97-41d7-860c-2a48cf549c05</t>
        </is>
      </c>
      <c r="D6264" t="n">
        <v>55.79902</v>
      </c>
      <c r="E6264" t="n">
        <v>37.5461</v>
      </c>
      <c r="F6264" t="inlineStr"/>
      <c r="G6264" t="inlineStr"/>
      <c r="H6264" t="inlineStr"/>
    </row>
    <row r="6265">
      <c r="A6265" t="inlineStr">
        <is>
          <t>25d89fb3-c759-4990-9015-ab76245b95ed.jpg</t>
        </is>
      </c>
      <c r="B6265">
        <f>HYPERLINK("Объекты недвижимости, не соответствующие градостроительным нормам_00-022_Август/25d89fb3-c759-4990-9015-ab76245b95ed.jpg","open")</f>
        <v/>
      </c>
      <c r="C6265" t="inlineStr">
        <is>
          <t>b6b3590f-f506-4399-8205-e7ac710132e7</t>
        </is>
      </c>
      <c r="D6265" t="n">
        <v>55.79811</v>
      </c>
      <c r="E6265" t="n">
        <v>37.54467</v>
      </c>
      <c r="F6265" t="inlineStr"/>
      <c r="G6265" t="inlineStr"/>
      <c r="H6265" t="inlineStr"/>
    </row>
    <row r="6266">
      <c r="A6266" t="inlineStr">
        <is>
          <t>b1413cfb-6ad0-43fb-a5a3-ee8f310b826d.jpg</t>
        </is>
      </c>
      <c r="B6266">
        <f>HYPERLINK("Объекты недвижимости, не соответствующие градостроительным нормам_00-022_Август/b1413cfb-6ad0-43fb-a5a3-ee8f310b826d.jpg","open")</f>
        <v/>
      </c>
      <c r="C6266" t="inlineStr">
        <is>
          <t>29ad9edb-d533-4272-a986-be24eb004851</t>
        </is>
      </c>
      <c r="D6266" t="n">
        <v>55.73742</v>
      </c>
      <c r="E6266" t="n">
        <v>37.64859</v>
      </c>
      <c r="F6266" t="inlineStr"/>
      <c r="G6266" t="inlineStr"/>
      <c r="H6266" t="inlineStr"/>
    </row>
    <row r="6267">
      <c r="A6267" t="inlineStr">
        <is>
          <t>adcc30b4-3063-4d5c-a5cf-aac12c4f81a4.jpg</t>
        </is>
      </c>
      <c r="B6267">
        <f>HYPERLINK("Объекты недвижимости, не соответствующие градостроительным нормам_00-022_Август/adcc30b4-3063-4d5c-a5cf-aac12c4f81a4.jpg","open")</f>
        <v/>
      </c>
      <c r="C6267" t="inlineStr">
        <is>
          <t>29ad9edb-d533-4272-a986-be24eb004851</t>
        </is>
      </c>
      <c r="D6267" t="n">
        <v>55.73742</v>
      </c>
      <c r="E6267" t="n">
        <v>37.64859</v>
      </c>
      <c r="F6267" t="inlineStr"/>
      <c r="G6267" t="inlineStr"/>
      <c r="H6267" t="inlineStr"/>
    </row>
    <row r="6268">
      <c r="A6268" t="inlineStr">
        <is>
          <t>d8e9047b-c11b-4287-a0be-f64352d75907.jpg</t>
        </is>
      </c>
      <c r="B6268">
        <f>HYPERLINK("Объекты недвижимости, не соответствующие градостроительным нормам_00-022_Август/d8e9047b-c11b-4287-a0be-f64352d75907.jpg","open")</f>
        <v/>
      </c>
      <c r="C6268" t="inlineStr">
        <is>
          <t>b6b3590f-f506-4399-8205-e7ac710132e7</t>
        </is>
      </c>
      <c r="D6268" t="n">
        <v>55.79785</v>
      </c>
      <c r="E6268" t="n">
        <v>37.54054</v>
      </c>
      <c r="F6268" t="inlineStr"/>
      <c r="G6268" t="inlineStr"/>
      <c r="H6268" t="inlineStr"/>
    </row>
    <row r="6269">
      <c r="A6269" t="inlineStr">
        <is>
          <t>8b960381-ae07-4f14-abfa-acc8e6447902.jpg</t>
        </is>
      </c>
      <c r="B6269">
        <f>HYPERLINK("Объекты недвижимости, не соответствующие градостроительным нормам_00-022_Август/8b960381-ae07-4f14-abfa-acc8e6447902.jpg","open")</f>
        <v/>
      </c>
      <c r="C6269" t="inlineStr">
        <is>
          <t>29ad9edb-d533-4272-a986-be24eb004851</t>
        </is>
      </c>
      <c r="D6269" t="n">
        <v>55.73742</v>
      </c>
      <c r="E6269" t="n">
        <v>37.64859</v>
      </c>
      <c r="F6269" t="inlineStr"/>
      <c r="G6269" t="inlineStr"/>
      <c r="H6269" t="inlineStr"/>
    </row>
    <row r="6270">
      <c r="A6270" t="inlineStr">
        <is>
          <t>223e288d-f70d-4d82-bb60-297bbc9798a0.jpg</t>
        </is>
      </c>
      <c r="B6270">
        <f>HYPERLINK("Объекты недвижимости, не соответствующие градостроительным нормам_00-022_Август/223e288d-f70d-4d82-bb60-297bbc9798a0.jpg","open")</f>
        <v/>
      </c>
      <c r="C6270" t="inlineStr">
        <is>
          <t>685d9054-b74f-49ab-857b-109fd2cec80d</t>
        </is>
      </c>
      <c r="D6270" t="n">
        <v>55.55423</v>
      </c>
      <c r="E6270" t="n">
        <v>37.56562</v>
      </c>
      <c r="F6270" t="inlineStr"/>
      <c r="G6270" t="inlineStr"/>
      <c r="H6270" t="inlineStr"/>
    </row>
    <row r="6271">
      <c r="A6271" t="inlineStr">
        <is>
          <t>4034b435-b7e7-479a-a7f1-00d913246fee.jpg</t>
        </is>
      </c>
      <c r="B6271">
        <f>HYPERLINK("Объекты недвижимости, не соответствующие градостроительным нормам_00-022_Август/4034b435-b7e7-479a-a7f1-00d913246fee.jpg","open")</f>
        <v/>
      </c>
      <c r="C6271" t="inlineStr">
        <is>
          <t>685d9054-b74f-49ab-857b-109fd2cec80d</t>
        </is>
      </c>
      <c r="D6271" t="n">
        <v>55.55394</v>
      </c>
      <c r="E6271" t="n">
        <v>37.56415</v>
      </c>
      <c r="F6271" t="inlineStr"/>
      <c r="G6271" t="inlineStr"/>
      <c r="H6271" t="inlineStr"/>
    </row>
    <row r="6272">
      <c r="A6272" t="inlineStr">
        <is>
          <t>ff70d54b-6999-42b4-8ccd-5ec647c2279e.jpg</t>
        </is>
      </c>
      <c r="B6272">
        <f>HYPERLINK("Объекты недвижимости, не соответствующие градостроительным нормам_00-022_Август/ff70d54b-6999-42b4-8ccd-5ec647c2279e.jpg","open")</f>
        <v/>
      </c>
      <c r="C6272" t="inlineStr">
        <is>
          <t>1231bbc5-e64c-4dc7-9acc-77710f47607a</t>
        </is>
      </c>
      <c r="D6272" t="n">
        <v>55.55381</v>
      </c>
      <c r="E6272" t="n">
        <v>37.56256</v>
      </c>
      <c r="F6272" t="inlineStr"/>
      <c r="G6272" t="inlineStr"/>
      <c r="H6272" t="inlineStr"/>
    </row>
    <row r="6273">
      <c r="A6273" t="inlineStr">
        <is>
          <t>8321417e-8e59-487a-ada6-6e72b360ed80.jpg</t>
        </is>
      </c>
      <c r="B6273">
        <f>HYPERLINK("Объекты недвижимости, не соответствующие градостроительным нормам_00-022_Август/8321417e-8e59-487a-ada6-6e72b360ed80.jpg","open")</f>
        <v/>
      </c>
      <c r="C6273" t="inlineStr">
        <is>
          <t>685d9054-b74f-49ab-857b-109fd2cec80d</t>
        </is>
      </c>
      <c r="D6273" t="n">
        <v>55.5537</v>
      </c>
      <c r="E6273" t="n">
        <v>37.55997</v>
      </c>
      <c r="F6273" t="inlineStr"/>
      <c r="G6273" t="inlineStr"/>
      <c r="H6273" t="inlineStr"/>
    </row>
    <row r="6274">
      <c r="A6274" t="inlineStr">
        <is>
          <t>1714f11d-c202-4fb1-8ecb-acc39426850c.jpg</t>
        </is>
      </c>
      <c r="B6274">
        <f>HYPERLINK("Объекты недвижимости, не соответствующие градостроительным нормам_00-022_Август/1714f11d-c202-4fb1-8ecb-acc39426850c.jpg","open")</f>
        <v/>
      </c>
      <c r="C6274" t="inlineStr">
        <is>
          <t>1231bbc5-e64c-4dc7-9acc-77710f47607a</t>
        </is>
      </c>
      <c r="D6274" t="n">
        <v>55.55347</v>
      </c>
      <c r="E6274" t="n">
        <v>37.5588</v>
      </c>
      <c r="F6274" t="inlineStr"/>
      <c r="G6274" t="inlineStr"/>
      <c r="H6274" t="inlineStr"/>
    </row>
    <row r="6275">
      <c r="A6275" t="inlineStr">
        <is>
          <t>e4851faa-da04-4559-85f8-dcd220c1a14e.jpg</t>
        </is>
      </c>
      <c r="B6275">
        <f>HYPERLINK("Объекты недвижимости, не соответствующие градостроительным нормам_00-022_Август/e4851faa-da04-4559-85f8-dcd220c1a14e.jpg","open")</f>
        <v/>
      </c>
      <c r="C6275" t="inlineStr">
        <is>
          <t>685d9054-b74f-49ab-857b-109fd2cec80d</t>
        </is>
      </c>
      <c r="D6275" t="n">
        <v>55.55344</v>
      </c>
      <c r="E6275" t="n">
        <v>37.55882</v>
      </c>
      <c r="F6275" t="inlineStr"/>
      <c r="G6275" t="inlineStr"/>
      <c r="H6275" t="inlineStr"/>
    </row>
    <row r="6276">
      <c r="A6276" t="inlineStr">
        <is>
          <t>9a278751-888c-435e-bc8d-19410546c927.jpg</t>
        </is>
      </c>
      <c r="B6276">
        <f>HYPERLINK("Объекты недвижимости, не соответствующие градостроительным нормам_00-022_Август/9a278751-888c-435e-bc8d-19410546c927.jpg","open")</f>
        <v/>
      </c>
      <c r="C6276" t="inlineStr">
        <is>
          <t>f9ad0a8f-1e33-4fca-bdfe-5b844d3ee381</t>
        </is>
      </c>
      <c r="D6276" t="n">
        <v>55.96704</v>
      </c>
      <c r="E6276" t="n">
        <v>37.42648</v>
      </c>
      <c r="F6276" t="inlineStr"/>
      <c r="G6276" t="inlineStr"/>
      <c r="H6276" t="inlineStr"/>
    </row>
    <row r="6277">
      <c r="A6277" t="inlineStr">
        <is>
          <t>e9999901-19f8-4d9d-a91f-eb8497927fa4.jpg</t>
        </is>
      </c>
      <c r="B6277">
        <f>HYPERLINK("Объекты недвижимости, не соответствующие градостроительным нормам_00-022_Август/e9999901-19f8-4d9d-a91f-eb8497927fa4.jpg","open")</f>
        <v/>
      </c>
      <c r="C6277" t="inlineStr">
        <is>
          <t>1231bbc5-e64c-4dc7-9acc-77710f47607a</t>
        </is>
      </c>
      <c r="D6277" t="n">
        <v>55.55182</v>
      </c>
      <c r="E6277" t="n">
        <v>37.55896</v>
      </c>
      <c r="F6277" t="inlineStr"/>
      <c r="G6277" t="inlineStr"/>
      <c r="H6277" t="inlineStr"/>
    </row>
    <row r="6278">
      <c r="A6278" t="inlineStr">
        <is>
          <t>dc384e7f-8812-45a3-bd15-d2ddae03bd1b.jpg</t>
        </is>
      </c>
      <c r="B6278">
        <f>HYPERLINK("Объекты недвижимости, не соответствующие градостроительным нормам_00-022_Август/dc384e7f-8812-45a3-bd15-d2ddae03bd1b.jpg","open")</f>
        <v/>
      </c>
      <c r="C6278" t="inlineStr">
        <is>
          <t>685d9054-b74f-49ab-857b-109fd2cec80d</t>
        </is>
      </c>
      <c r="D6278" t="n">
        <v>55.55186</v>
      </c>
      <c r="E6278" t="n">
        <v>37.55897</v>
      </c>
      <c r="F6278" t="inlineStr"/>
      <c r="G6278" t="inlineStr"/>
      <c r="H6278" t="inlineStr"/>
    </row>
    <row r="6279">
      <c r="A6279" t="inlineStr">
        <is>
          <t>eda75b45-2fe7-46c5-80a9-f68f2bb5c9a5.jpg</t>
        </is>
      </c>
      <c r="B6279">
        <f>HYPERLINK("Объекты недвижимости, не соответствующие градостроительным нормам_00-022_Август/eda75b45-2fe7-46c5-80a9-f68f2bb5c9a5.jpg","open")</f>
        <v/>
      </c>
      <c r="C6279" t="inlineStr">
        <is>
          <t>a1a9db89-3f74-42ef-8fad-ad69705102cd</t>
        </is>
      </c>
      <c r="D6279" t="n">
        <v>55.76312</v>
      </c>
      <c r="E6279" t="n">
        <v>37.68005</v>
      </c>
      <c r="F6279" t="inlineStr"/>
      <c r="G6279" t="inlineStr"/>
      <c r="H6279" t="inlineStr"/>
    </row>
    <row r="6280">
      <c r="A6280" t="inlineStr">
        <is>
          <t>4b3fb7fb-c372-4809-88e5-ef682a49806a.jpg</t>
        </is>
      </c>
      <c r="B6280">
        <f>HYPERLINK("Объекты недвижимости, не соответствующие градостроительным нормам_00-022_Август/4b3fb7fb-c372-4809-88e5-ef682a49806a.jpg","open")</f>
        <v/>
      </c>
      <c r="C6280" t="inlineStr">
        <is>
          <t>cbf95b01-f708-45a3-9ec0-3603469b538e</t>
        </is>
      </c>
      <c r="D6280" t="n">
        <v>55.7631</v>
      </c>
      <c r="E6280" t="n">
        <v>37.67997</v>
      </c>
      <c r="F6280" t="inlineStr"/>
      <c r="G6280" t="inlineStr"/>
      <c r="H6280" t="inlineStr"/>
    </row>
    <row r="6281">
      <c r="A6281" t="inlineStr">
        <is>
          <t>d02a6504-1730-491c-9799-66d44e24a16a.jpg</t>
        </is>
      </c>
      <c r="B6281">
        <f>HYPERLINK("Объекты недвижимости, не соответствующие градостроительным нормам_00-022_Август/d02a6504-1730-491c-9799-66d44e24a16a.jpg","open")</f>
        <v/>
      </c>
      <c r="C6281" t="inlineStr">
        <is>
          <t>036c664f-5408-4fd0-b479-342c00468eeb</t>
        </is>
      </c>
      <c r="D6281" t="n">
        <v>55.65363</v>
      </c>
      <c r="E6281" t="n">
        <v>37.4097</v>
      </c>
      <c r="F6281" t="inlineStr"/>
      <c r="G6281" t="inlineStr"/>
      <c r="H6281" t="inlineStr"/>
    </row>
    <row r="6282">
      <c r="A6282" t="inlineStr">
        <is>
          <t>abf3abfd-53e3-4d4e-8156-00ce9d20332a.jpg</t>
        </is>
      </c>
      <c r="B6282">
        <f>HYPERLINK("Объекты недвижимости, не соответствующие градостроительным нормам_00-022_Август/abf3abfd-53e3-4d4e-8156-00ce9d20332a.jpg","open")</f>
        <v/>
      </c>
      <c r="C6282" t="inlineStr">
        <is>
          <t>cbf95b01-f708-45a3-9ec0-3603469b538e</t>
        </is>
      </c>
      <c r="D6282" t="n">
        <v>55.76314</v>
      </c>
      <c r="E6282" t="n">
        <v>37.6799</v>
      </c>
      <c r="F6282" t="inlineStr"/>
      <c r="G6282" t="inlineStr"/>
      <c r="H6282" t="inlineStr"/>
    </row>
    <row r="6283">
      <c r="A6283" t="inlineStr">
        <is>
          <t>cb07ed14-d0f8-4862-aace-fd6277b4fe8b.jpg</t>
        </is>
      </c>
      <c r="B6283">
        <f>HYPERLINK("Объекты недвижимости, не соответствующие градостроительным нормам_00-022_Август/cb07ed14-d0f8-4862-aace-fd6277b4fe8b.jpg","open")</f>
        <v/>
      </c>
      <c r="C6283" t="inlineStr">
        <is>
          <t>cbf95b01-f708-45a3-9ec0-3603469b538e</t>
        </is>
      </c>
      <c r="D6283" t="n">
        <v>55.76321</v>
      </c>
      <c r="E6283" t="n">
        <v>37.67948</v>
      </c>
      <c r="F6283" t="inlineStr"/>
      <c r="G6283" t="inlineStr"/>
      <c r="H6283" t="inlineStr"/>
    </row>
    <row r="6284">
      <c r="A6284" t="inlineStr">
        <is>
          <t>f116a4af-ec27-489b-bdd5-29977f707289.jpg</t>
        </is>
      </c>
      <c r="B6284">
        <f>HYPERLINK("Объекты недвижимости, не соответствующие градостроительным нормам_00-022_Август/f116a4af-ec27-489b-bdd5-29977f707289.jpg","open")</f>
        <v/>
      </c>
      <c r="C6284" t="inlineStr">
        <is>
          <t>cbf95b01-f708-45a3-9ec0-3603469b538e</t>
        </is>
      </c>
      <c r="D6284" t="n">
        <v>55.76321</v>
      </c>
      <c r="E6284" t="n">
        <v>37.67934</v>
      </c>
      <c r="F6284" t="inlineStr"/>
      <c r="G6284" t="inlineStr"/>
      <c r="H6284" t="inlineStr"/>
    </row>
    <row r="6285">
      <c r="A6285" t="inlineStr">
        <is>
          <t>5db1711d-82de-4b79-be3f-4bdef0add54e.jpg</t>
        </is>
      </c>
      <c r="B6285">
        <f>HYPERLINK("Объекты недвижимости, не соответствующие градостроительным нормам_00-022_Август/5db1711d-82de-4b79-be3f-4bdef0add54e.jpg","open")</f>
        <v/>
      </c>
      <c r="C6285" t="inlineStr">
        <is>
          <t>cbf95b01-f708-45a3-9ec0-3603469b538e</t>
        </is>
      </c>
      <c r="D6285" t="n">
        <v>55.76321</v>
      </c>
      <c r="E6285" t="n">
        <v>37.67924</v>
      </c>
      <c r="F6285" t="inlineStr"/>
      <c r="G6285" t="inlineStr"/>
      <c r="H6285" t="inlineStr"/>
    </row>
    <row r="6286">
      <c r="A6286" t="inlineStr">
        <is>
          <t>759b9038-d876-4479-a256-5a0ff6de5ecb.jpg</t>
        </is>
      </c>
      <c r="B6286">
        <f>HYPERLINK("Объекты недвижимости, не соответствующие градостроительным нормам_00-022_Август/759b9038-d876-4479-a256-5a0ff6de5ecb.jpg","open")</f>
        <v/>
      </c>
      <c r="C6286" t="inlineStr">
        <is>
          <t>31a713a9-b910-424b-b847-e0eaa2f70c70</t>
        </is>
      </c>
      <c r="D6286" t="n">
        <v>55.80361</v>
      </c>
      <c r="E6286" t="n">
        <v>37.77969</v>
      </c>
      <c r="F6286" t="inlineStr"/>
      <c r="G6286" t="inlineStr"/>
      <c r="H6286" t="inlineStr"/>
    </row>
    <row r="6287">
      <c r="A6287" t="inlineStr">
        <is>
          <t>e1ca6b2b-8c22-4a36-bdba-85a61215f9a3.jpg</t>
        </is>
      </c>
      <c r="B6287">
        <f>HYPERLINK("Объекты недвижимости, не соответствующие градостроительным нормам_00-022_Август/e1ca6b2b-8c22-4a36-bdba-85a61215f9a3.jpg","open")</f>
        <v/>
      </c>
      <c r="C6287" t="inlineStr">
        <is>
          <t>a1a9db89-3f74-42ef-8fad-ad69705102cd</t>
        </is>
      </c>
      <c r="D6287" t="n">
        <v>55.76323</v>
      </c>
      <c r="E6287" t="n">
        <v>37.67883</v>
      </c>
      <c r="F6287" t="inlineStr"/>
      <c r="G6287" t="inlineStr"/>
      <c r="H6287" t="inlineStr"/>
    </row>
    <row r="6288">
      <c r="A6288" t="inlineStr">
        <is>
          <t>f804cce5-86f1-422b-9d9f-80e8fe469e17.jpg</t>
        </is>
      </c>
      <c r="B6288">
        <f>HYPERLINK("Объекты недвижимости, не соответствующие градостроительным нормам_00-022_Август/f804cce5-86f1-422b-9d9f-80e8fe469e17.jpg","open")</f>
        <v/>
      </c>
      <c r="C6288" t="inlineStr">
        <is>
          <t>cbf95b01-f708-45a3-9ec0-3603469b538e</t>
        </is>
      </c>
      <c r="D6288" t="n">
        <v>55.76326</v>
      </c>
      <c r="E6288" t="n">
        <v>37.67862</v>
      </c>
      <c r="F6288" t="inlineStr"/>
      <c r="G6288" t="inlineStr"/>
      <c r="H6288" t="inlineStr"/>
    </row>
    <row r="6289">
      <c r="A6289" t="inlineStr">
        <is>
          <t>99e8ed13-102c-49da-8cff-de9ce8c15130.jpg</t>
        </is>
      </c>
      <c r="B6289">
        <f>HYPERLINK("Объекты недвижимости, не соответствующие градостроительным нормам_00-022_Август/99e8ed13-102c-49da-8cff-de9ce8c15130.jpg","open")</f>
        <v/>
      </c>
      <c r="C6289" t="inlineStr">
        <is>
          <t>cbf95b01-f708-45a3-9ec0-3603469b538e</t>
        </is>
      </c>
      <c r="D6289" t="n">
        <v>55.76321</v>
      </c>
      <c r="E6289" t="n">
        <v>37.67912</v>
      </c>
      <c r="F6289" t="inlineStr"/>
      <c r="G6289" t="inlineStr"/>
      <c r="H6289" t="inlineStr"/>
    </row>
    <row r="6290">
      <c r="A6290" t="inlineStr">
        <is>
          <t>615c67c7-0e13-4861-87f8-9b936ba8d49b.jpg</t>
        </is>
      </c>
      <c r="B6290">
        <f>HYPERLINK("Объекты недвижимости, не соответствующие градостроительным нормам_00-022_Август/615c67c7-0e13-4861-87f8-9b936ba8d49b.jpg","open")</f>
        <v/>
      </c>
      <c r="C6290" t="inlineStr">
        <is>
          <t>99f3abba-c55b-49f0-9de5-9f88e9597cc0</t>
        </is>
      </c>
      <c r="D6290" t="n">
        <v>55.66032</v>
      </c>
      <c r="E6290" t="n">
        <v>37.6185</v>
      </c>
      <c r="F6290" t="inlineStr"/>
      <c r="G6290" t="inlineStr"/>
      <c r="H6290" t="inlineStr"/>
    </row>
    <row r="6291">
      <c r="A6291" t="inlineStr">
        <is>
          <t>55551d83-09df-4984-b814-4109925a76f7.jpg</t>
        </is>
      </c>
      <c r="B6291">
        <f>HYPERLINK("Объекты недвижимости, не соответствующие градостроительным нормам_00-022_Август/55551d83-09df-4984-b814-4109925a76f7.jpg","open")</f>
        <v/>
      </c>
      <c r="C6291" t="inlineStr">
        <is>
          <t>93848fc8-17e7-4748-9ebc-c7e379e11d2f</t>
        </is>
      </c>
      <c r="D6291" t="n">
        <v>55.75896</v>
      </c>
      <c r="E6291" t="n">
        <v>37.58445</v>
      </c>
      <c r="F6291" t="inlineStr"/>
      <c r="G6291" t="inlineStr"/>
      <c r="H6291" t="inlineStr"/>
    </row>
    <row r="6292">
      <c r="A6292" t="inlineStr">
        <is>
          <t>7f306ef3-84e4-44b5-9e6d-85b6b9b3d1de.jpg</t>
        </is>
      </c>
      <c r="B6292">
        <f>HYPERLINK("Объекты недвижимости, не соответствующие градостроительным нормам_00-022_Август/7f306ef3-84e4-44b5-9e6d-85b6b9b3d1de.jpg","open")</f>
        <v/>
      </c>
      <c r="C6292" t="inlineStr">
        <is>
          <t>1c951e11-4940-43c6-a447-394097e5609a</t>
        </is>
      </c>
      <c r="D6292" t="n">
        <v>55.80491</v>
      </c>
      <c r="E6292" t="n">
        <v>37.63568</v>
      </c>
      <c r="F6292" t="inlineStr"/>
      <c r="G6292" t="inlineStr"/>
      <c r="H6292" t="inlineStr"/>
    </row>
    <row r="6293">
      <c r="A6293" t="inlineStr">
        <is>
          <t>92e47fa7-e152-442c-a9a4-62b8772b3383.jpg</t>
        </is>
      </c>
      <c r="B6293">
        <f>HYPERLINK("Объекты недвижимости, не соответствующие градостроительным нормам_00-022_Август/92e47fa7-e152-442c-a9a4-62b8772b3383.jpg","open")</f>
        <v/>
      </c>
      <c r="C6293" t="inlineStr">
        <is>
          <t>a1a9db89-3f74-42ef-8fad-ad69705102cd</t>
        </is>
      </c>
      <c r="D6293" t="n">
        <v>55.76395</v>
      </c>
      <c r="E6293" t="n">
        <v>37.67397</v>
      </c>
      <c r="F6293" t="inlineStr"/>
      <c r="G6293" t="inlineStr"/>
      <c r="H6293" t="inlineStr"/>
    </row>
    <row r="6294">
      <c r="A6294" t="inlineStr">
        <is>
          <t>1c852270-e5dd-400f-a356-c793780121fd.jpg</t>
        </is>
      </c>
      <c r="B6294">
        <f>HYPERLINK("Объекты недвижимости, не соответствующие градостроительным нормам_00-022_Август/1c852270-e5dd-400f-a356-c793780121fd.jpg","open")</f>
        <v/>
      </c>
      <c r="C6294" t="inlineStr">
        <is>
          <t>cbf95b01-f708-45a3-9ec0-3603469b538e</t>
        </is>
      </c>
      <c r="D6294" t="n">
        <v>55.76416</v>
      </c>
      <c r="E6294" t="n">
        <v>37.67406</v>
      </c>
      <c r="F6294" t="inlineStr"/>
      <c r="G6294" t="inlineStr"/>
      <c r="H6294" t="inlineStr"/>
    </row>
    <row r="6295">
      <c r="A6295" t="inlineStr">
        <is>
          <t>4c0ddf5c-be4a-4871-8a31-9668435e8c33.jpg</t>
        </is>
      </c>
      <c r="B6295">
        <f>HYPERLINK("Объекты недвижимости, не соответствующие градостроительным нормам_00-022_Август/4c0ddf5c-be4a-4871-8a31-9668435e8c33.jpg","open")</f>
        <v/>
      </c>
      <c r="C6295" t="inlineStr">
        <is>
          <t>a1a9db89-3f74-42ef-8fad-ad69705102cd</t>
        </is>
      </c>
      <c r="D6295" t="n">
        <v>55.7646</v>
      </c>
      <c r="E6295" t="n">
        <v>37.6744</v>
      </c>
      <c r="F6295" t="inlineStr"/>
      <c r="G6295" t="inlineStr"/>
      <c r="H6295" t="inlineStr"/>
    </row>
    <row r="6296">
      <c r="A6296" t="inlineStr">
        <is>
          <t>0786d31c-6a42-493c-9702-fa3e00e7fed6.jpg</t>
        </is>
      </c>
      <c r="B6296">
        <f>HYPERLINK("Объекты недвижимости, не соответствующие градостроительным нормам_00-022_Август/0786d31c-6a42-493c-9702-fa3e00e7fed6.jpg","open")</f>
        <v/>
      </c>
      <c r="C6296" t="inlineStr">
        <is>
          <t>cbf95b01-f708-45a3-9ec0-3603469b538e</t>
        </is>
      </c>
      <c r="D6296" t="n">
        <v>55.76463</v>
      </c>
      <c r="E6296" t="n">
        <v>37.67442</v>
      </c>
      <c r="F6296" t="inlineStr"/>
      <c r="G6296" t="inlineStr"/>
      <c r="H6296" t="inlineStr"/>
    </row>
    <row r="6297">
      <c r="A6297" t="inlineStr">
        <is>
          <t>6f24d193-9834-42c1-879c-e33ee054496f.jpg</t>
        </is>
      </c>
      <c r="B6297">
        <f>HYPERLINK("Объекты недвижимости, не соответствующие градостроительным нормам_00-022_Август/6f24d193-9834-42c1-879c-e33ee054496f.jpg","open")</f>
        <v/>
      </c>
      <c r="C6297" t="inlineStr">
        <is>
          <t>8cde1fd0-eca1-4510-86ab-3c743b65fdfc</t>
        </is>
      </c>
      <c r="D6297" t="n">
        <v>55.80531</v>
      </c>
      <c r="E6297" t="n">
        <v>37.63421</v>
      </c>
      <c r="F6297" t="inlineStr"/>
      <c r="G6297" t="inlineStr"/>
      <c r="H6297" t="inlineStr"/>
    </row>
    <row r="6298">
      <c r="A6298" t="inlineStr">
        <is>
          <t>37694354-2db7-44fb-afae-dfdac675e60a.jpg</t>
        </is>
      </c>
      <c r="B6298">
        <f>HYPERLINK("Объекты недвижимости, не соответствующие градостроительным нормам_00-022_Август/37694354-2db7-44fb-afae-dfdac675e60a.jpg","open")</f>
        <v/>
      </c>
      <c r="C6298" t="inlineStr">
        <is>
          <t>50e4626c-a80e-42ab-b999-b5092c2c063f</t>
        </is>
      </c>
      <c r="D6298" t="n">
        <v>55.97768</v>
      </c>
      <c r="E6298" t="n">
        <v>37.42933</v>
      </c>
      <c r="F6298" t="inlineStr"/>
      <c r="G6298" t="inlineStr"/>
      <c r="H6298" t="inlineStr"/>
    </row>
    <row r="6299">
      <c r="A6299" t="inlineStr">
        <is>
          <t>14a62d97-7879-4c48-aeb8-65238bfe7f17.jpg</t>
        </is>
      </c>
      <c r="B6299">
        <f>HYPERLINK("Объекты недвижимости, не соответствующие градостроительным нормам_00-022_Август/14a62d97-7879-4c48-aeb8-65238bfe7f17.jpg","open")</f>
        <v/>
      </c>
      <c r="C6299" t="inlineStr">
        <is>
          <t>cbf95b01-f708-45a3-9ec0-3603469b538e</t>
        </is>
      </c>
      <c r="D6299" t="n">
        <v>55.76474</v>
      </c>
      <c r="E6299" t="n">
        <v>37.67471</v>
      </c>
      <c r="F6299" t="inlineStr"/>
      <c r="G6299" t="inlineStr"/>
      <c r="H6299" t="inlineStr"/>
    </row>
    <row r="6300">
      <c r="A6300" t="inlineStr">
        <is>
          <t>d64cd8e7-3018-4120-9a2d-68530bc5854e.jpg</t>
        </is>
      </c>
      <c r="B6300">
        <f>HYPERLINK("Объекты недвижимости, не соответствующие градостроительным нормам_00-022_Август/d64cd8e7-3018-4120-9a2d-68530bc5854e.jpg","open")</f>
        <v/>
      </c>
      <c r="C6300" t="inlineStr">
        <is>
          <t>fce890a6-27da-4062-a046-08262a160ee6</t>
        </is>
      </c>
      <c r="D6300" t="n">
        <v>55.80102</v>
      </c>
      <c r="E6300" t="n">
        <v>37.57745</v>
      </c>
      <c r="F6300" t="inlineStr"/>
      <c r="G6300" t="inlineStr"/>
      <c r="H6300" t="inlineStr"/>
    </row>
    <row r="6301">
      <c r="A6301" t="inlineStr">
        <is>
          <t>2473924b-d401-48e2-88ab-13f091922746.jpg</t>
        </is>
      </c>
      <c r="B6301">
        <f>HYPERLINK("Объекты недвижимости, не соответствующие градостроительным нормам_00-022_Август/2473924b-d401-48e2-88ab-13f091922746.jpg","open")</f>
        <v/>
      </c>
      <c r="C6301" t="inlineStr">
        <is>
          <t>685d9054-b74f-49ab-857b-109fd2cec80d</t>
        </is>
      </c>
      <c r="D6301" t="n">
        <v>55.55195</v>
      </c>
      <c r="E6301" t="n">
        <v>37.56001</v>
      </c>
      <c r="F6301" t="inlineStr"/>
      <c r="G6301" t="inlineStr"/>
      <c r="H6301" t="inlineStr"/>
    </row>
    <row r="6302">
      <c r="A6302" t="inlineStr">
        <is>
          <t>547c03a1-70d2-4611-972a-176627629433.jpg</t>
        </is>
      </c>
      <c r="B6302">
        <f>HYPERLINK("Объекты недвижимости, не соответствующие градостроительным нормам_00-022_Август/547c03a1-70d2-4611-972a-176627629433.jpg","open")</f>
        <v/>
      </c>
      <c r="C6302" t="inlineStr">
        <is>
          <t>b0429a31-0c70-4b9f-8ea5-73929d82f89e</t>
        </is>
      </c>
      <c r="D6302" t="n">
        <v>55.66213</v>
      </c>
      <c r="E6302" t="n">
        <v>37.6153</v>
      </c>
      <c r="F6302" t="inlineStr"/>
      <c r="G6302" t="inlineStr"/>
      <c r="H6302" t="inlineStr"/>
    </row>
    <row r="6303">
      <c r="A6303" t="inlineStr">
        <is>
          <t>8eac0125-f69b-4164-a3d5-028a7dceb335.jpg</t>
        </is>
      </c>
      <c r="B6303">
        <f>HYPERLINK("Объекты недвижимости, не соответствующие градостроительным нормам_00-022_Август/8eac0125-f69b-4164-a3d5-028a7dceb335.jpg","open")</f>
        <v/>
      </c>
      <c r="C6303" t="inlineStr">
        <is>
          <t>caa4772d-6278-4484-a046-ee25514bf521</t>
        </is>
      </c>
      <c r="D6303" t="n">
        <v>55.81215</v>
      </c>
      <c r="E6303" t="n">
        <v>37.82752</v>
      </c>
      <c r="F6303" t="inlineStr"/>
      <c r="G6303" t="inlineStr"/>
      <c r="H6303" t="inlineStr"/>
    </row>
    <row r="6304">
      <c r="A6304" t="inlineStr">
        <is>
          <t>303aff77-de42-4b68-91e6-f8eaa6cdb7a9.jpg</t>
        </is>
      </c>
      <c r="B6304">
        <f>HYPERLINK("Объекты недвижимости, не соответствующие градостроительным нормам_00-022_Август/303aff77-de42-4b68-91e6-f8eaa6cdb7a9.jpg","open")</f>
        <v/>
      </c>
      <c r="C6304" t="inlineStr">
        <is>
          <t>036c664f-5408-4fd0-b479-342c00468eeb</t>
        </is>
      </c>
      <c r="D6304" t="n">
        <v>55.65784</v>
      </c>
      <c r="E6304" t="n">
        <v>37.41334</v>
      </c>
      <c r="F6304" t="inlineStr"/>
      <c r="G6304" t="inlineStr"/>
      <c r="H6304" t="inlineStr"/>
    </row>
    <row r="6305">
      <c r="A6305" t="inlineStr">
        <is>
          <t>588b7b0f-0f36-4d61-a290-c2c248ac58a9.jpg</t>
        </is>
      </c>
      <c r="B6305">
        <f>HYPERLINK("Объекты недвижимости, не соответствующие градостроительным нормам_00-022_Август/588b7b0f-0f36-4d61-a290-c2c248ac58a9.jpg","open")</f>
        <v/>
      </c>
      <c r="C6305" t="inlineStr">
        <is>
          <t>b6b3590f-f506-4399-8205-e7ac710132e7</t>
        </is>
      </c>
      <c r="D6305" t="n">
        <v>55.80487</v>
      </c>
      <c r="E6305" t="n">
        <v>37.51637</v>
      </c>
      <c r="F6305" t="inlineStr"/>
      <c r="G6305" t="inlineStr"/>
      <c r="H6305" t="inlineStr"/>
    </row>
    <row r="6306">
      <c r="A6306" t="inlineStr">
        <is>
          <t>a49f6a30-2772-47ee-9f6e-6aafc213554d.jpg</t>
        </is>
      </c>
      <c r="B6306">
        <f>HYPERLINK("Объекты недвижимости, не соответствующие градостроительным нормам_00-022_Август/a49f6a30-2772-47ee-9f6e-6aafc213554d.jpg","open")</f>
        <v/>
      </c>
      <c r="C6306" t="inlineStr">
        <is>
          <t>61936922-4d4b-458e-80ea-6d4c450aa1d5</t>
        </is>
      </c>
      <c r="D6306" t="n">
        <v>55.67303</v>
      </c>
      <c r="E6306" t="n">
        <v>37.45938</v>
      </c>
      <c r="F6306" t="inlineStr"/>
      <c r="G6306" t="inlineStr"/>
      <c r="H6306" t="inlineStr"/>
    </row>
    <row r="6307">
      <c r="A6307" t="inlineStr">
        <is>
          <t>c5b32662-8fe9-4f29-86c3-95769761782d.jpg</t>
        </is>
      </c>
      <c r="B6307">
        <f>HYPERLINK("Объекты недвижимости, не соответствующие градостроительным нормам_00-022_Август/c5b32662-8fe9-4f29-86c3-95769761782d.jpg","open")</f>
        <v/>
      </c>
      <c r="C6307" t="inlineStr">
        <is>
          <t>1231bbc5-e64c-4dc7-9acc-77710f47607a</t>
        </is>
      </c>
      <c r="D6307" t="n">
        <v>55.55187</v>
      </c>
      <c r="E6307" t="n">
        <v>37.559</v>
      </c>
      <c r="F6307" t="inlineStr"/>
      <c r="G6307" t="inlineStr"/>
      <c r="H6307" t="inlineStr"/>
    </row>
    <row r="6308">
      <c r="A6308" t="inlineStr">
        <is>
          <t>25c3cb35-9069-4242-b5bd-fc99babd60ef.jpg</t>
        </is>
      </c>
      <c r="B6308">
        <f>HYPERLINK("Объекты недвижимости, не соответствующие градостроительным нормам_00-022_Август/25c3cb35-9069-4242-b5bd-fc99babd60ef.jpg","open")</f>
        <v/>
      </c>
      <c r="C6308" t="inlineStr">
        <is>
          <t>1231bbc5-e64c-4dc7-9acc-77710f47607a</t>
        </is>
      </c>
      <c r="D6308" t="n">
        <v>55.55195</v>
      </c>
      <c r="E6308" t="n">
        <v>37.55992</v>
      </c>
      <c r="F6308" t="inlineStr"/>
      <c r="G6308" t="inlineStr"/>
      <c r="H6308" t="inlineStr"/>
    </row>
    <row r="6309">
      <c r="A6309" t="inlineStr">
        <is>
          <t>0688441b-640f-44ba-bcc3-d72871bb1ac8.jpg</t>
        </is>
      </c>
      <c r="B6309">
        <f>HYPERLINK("Объекты недвижимости, не соответствующие градостроительным нормам_00-022_Август/0688441b-640f-44ba-bcc3-d72871bb1ac8.jpg","open")</f>
        <v/>
      </c>
      <c r="C6309" t="inlineStr">
        <is>
          <t>685d9054-b74f-49ab-857b-109fd2cec80d</t>
        </is>
      </c>
      <c r="D6309" t="n">
        <v>55.55195</v>
      </c>
      <c r="E6309" t="n">
        <v>37.55992</v>
      </c>
      <c r="F6309" t="inlineStr"/>
      <c r="G6309" t="inlineStr"/>
      <c r="H6309" t="inlineStr"/>
    </row>
    <row r="6310">
      <c r="A6310" t="inlineStr">
        <is>
          <t>b6d35bf1-0c57-49e5-b935-7806a68a22a4.jpg</t>
        </is>
      </c>
      <c r="B6310">
        <f>HYPERLINK("Объекты недвижимости, не соответствующие градостроительным нормам_00-022_Август/b6d35bf1-0c57-49e5-b935-7806a68a22a4.jpg","open")</f>
        <v/>
      </c>
      <c r="C6310" t="inlineStr">
        <is>
          <t>31a713a9-b910-424b-b847-e0eaa2f70c70</t>
        </is>
      </c>
      <c r="D6310" t="n">
        <v>55.80799</v>
      </c>
      <c r="E6310" t="n">
        <v>37.78419</v>
      </c>
      <c r="F6310" t="inlineStr"/>
      <c r="G6310" t="inlineStr"/>
      <c r="H6310" t="inlineStr"/>
    </row>
    <row r="6311">
      <c r="A6311" t="inlineStr">
        <is>
          <t>cb9d3aa3-158f-4848-bccb-d00cd34f03c4.jpg</t>
        </is>
      </c>
      <c r="B6311">
        <f>HYPERLINK("Объекты недвижимости, не соответствующие градостроительным нормам_00-022_Август/cb9d3aa3-158f-4848-bccb-d00cd34f03c4.jpg","open")</f>
        <v/>
      </c>
      <c r="C6311" t="inlineStr">
        <is>
          <t>8cde1fd0-eca1-4510-86ab-3c743b65fdfc</t>
        </is>
      </c>
      <c r="D6311" t="n">
        <v>55.81144</v>
      </c>
      <c r="E6311" t="n">
        <v>37.61795</v>
      </c>
      <c r="F6311" t="inlineStr"/>
      <c r="G6311" t="inlineStr"/>
      <c r="H6311" t="inlineStr"/>
    </row>
    <row r="6312">
      <c r="A6312" t="inlineStr">
        <is>
          <t>0caad946-8a35-4d00-b3d8-1059b6fa5442.jpg</t>
        </is>
      </c>
      <c r="B6312">
        <f>HYPERLINK("Объекты недвижимости, не соответствующие градостроительным нормам_00-022_Август/0caad946-8a35-4d00-b3d8-1059b6fa5442.jpg","open")</f>
        <v/>
      </c>
      <c r="C6312" t="inlineStr">
        <is>
          <t>5e5b9944-4f9e-4223-bf96-0bc0c8a93dfa</t>
        </is>
      </c>
      <c r="D6312" t="n">
        <v>55.54979</v>
      </c>
      <c r="E6312" t="n">
        <v>37.58657</v>
      </c>
      <c r="F6312" t="inlineStr"/>
      <c r="G6312" t="inlineStr"/>
      <c r="H6312" t="inlineStr"/>
    </row>
    <row r="6313">
      <c r="A6313" t="inlineStr">
        <is>
          <t>827670c9-763a-4ff4-a338-b080fc5b702e.jpg</t>
        </is>
      </c>
      <c r="B6313">
        <f>HYPERLINK("Объекты недвижимости, не соответствующие градостроительным нормам_00-022_Август/827670c9-763a-4ff4-a338-b080fc5b702e.jpg","open")</f>
        <v/>
      </c>
      <c r="C6313" t="inlineStr">
        <is>
          <t>9c930d0e-e445-452d-a046-325646b21ab7</t>
        </is>
      </c>
      <c r="D6313" t="n">
        <v>55.84455</v>
      </c>
      <c r="E6313" t="n">
        <v>37.66962</v>
      </c>
      <c r="F6313" t="inlineStr"/>
      <c r="G6313" t="inlineStr"/>
      <c r="H6313" t="inlineStr"/>
    </row>
    <row r="6314">
      <c r="A6314" t="inlineStr">
        <is>
          <t>3422cb20-71c9-47b7-b700-ce3bc7fe6632.jpg</t>
        </is>
      </c>
      <c r="B6314">
        <f>HYPERLINK("Объекты недвижимости, не соответствующие градостроительным нормам_00-022_Август/3422cb20-71c9-47b7-b700-ce3bc7fe6632.jpg","open")</f>
        <v/>
      </c>
      <c r="C6314" t="inlineStr">
        <is>
          <t>dd48f742-b338-42e2-bbaf-b3a9701b437c</t>
        </is>
      </c>
      <c r="D6314" t="n">
        <v>55.8448</v>
      </c>
      <c r="E6314" t="n">
        <v>37.66995</v>
      </c>
      <c r="F6314" t="inlineStr"/>
      <c r="G6314" t="inlineStr"/>
      <c r="H6314" t="inlineStr"/>
    </row>
    <row r="6315">
      <c r="A6315" t="inlineStr">
        <is>
          <t>69b5bb04-fafc-47aa-8045-27320ed6dfe9.jpg</t>
        </is>
      </c>
      <c r="B6315">
        <f>HYPERLINK("Объекты недвижимости, не соответствующие градостроительным нормам_00-022_Август/69b5bb04-fafc-47aa-8045-27320ed6dfe9.jpg","open")</f>
        <v/>
      </c>
      <c r="C6315" t="inlineStr">
        <is>
          <t>9c930d0e-e445-452d-a046-325646b21ab7</t>
        </is>
      </c>
      <c r="D6315" t="n">
        <v>55.84577</v>
      </c>
      <c r="E6315" t="n">
        <v>37.67074</v>
      </c>
      <c r="F6315" t="inlineStr"/>
      <c r="G6315" t="inlineStr"/>
      <c r="H6315" t="inlineStr"/>
    </row>
    <row r="6316">
      <c r="A6316" t="inlineStr">
        <is>
          <t>fddc0e72-b7c0-4866-b461-3f303cc0af6d.jpg</t>
        </is>
      </c>
      <c r="B6316">
        <f>HYPERLINK("Объекты недвижимости, не соответствующие градостроительным нормам_00-022_Август/fddc0e72-b7c0-4866-b461-3f303cc0af6d.jpg","open")</f>
        <v/>
      </c>
      <c r="C6316" t="inlineStr">
        <is>
          <t>685d9054-b74f-49ab-857b-109fd2cec80d</t>
        </is>
      </c>
      <c r="D6316" t="n">
        <v>55.55293</v>
      </c>
      <c r="E6316" t="n">
        <v>37.55932</v>
      </c>
      <c r="F6316" t="inlineStr"/>
      <c r="G6316" t="inlineStr"/>
      <c r="H6316" t="inlineStr"/>
    </row>
    <row r="6317">
      <c r="A6317" t="inlineStr">
        <is>
          <t>f377bf17-a00a-4cc9-aa10-0de352f99bce.jpg</t>
        </is>
      </c>
      <c r="B6317">
        <f>HYPERLINK("Объекты недвижимости, не соответствующие градостроительным нормам_00-022_Август/f377bf17-a00a-4cc9-aa10-0de352f99bce.jpg","open")</f>
        <v/>
      </c>
      <c r="C6317" t="inlineStr">
        <is>
          <t>61936922-4d4b-458e-80ea-6d4c450aa1d5</t>
        </is>
      </c>
      <c r="D6317" t="n">
        <v>55.6722</v>
      </c>
      <c r="E6317" t="n">
        <v>37.45673</v>
      </c>
      <c r="F6317" t="inlineStr"/>
      <c r="G6317" t="inlineStr"/>
      <c r="H6317" t="inlineStr"/>
    </row>
    <row r="6318">
      <c r="A6318" t="inlineStr">
        <is>
          <t>6661a828-98fc-4dca-a80b-23f23a6b5509.jpg</t>
        </is>
      </c>
      <c r="B6318">
        <f>HYPERLINK("Объекты недвижимости, не соответствующие градостроительным нормам_00-022_Август/6661a828-98fc-4dca-a80b-23f23a6b5509.jpg","open")</f>
        <v/>
      </c>
      <c r="C6318" t="inlineStr">
        <is>
          <t>9c930d0e-e445-452d-a046-325646b21ab7</t>
        </is>
      </c>
      <c r="D6318" t="n">
        <v>55.8529</v>
      </c>
      <c r="E6318" t="n">
        <v>37.66792</v>
      </c>
      <c r="F6318" t="inlineStr"/>
      <c r="G6318" t="inlineStr"/>
      <c r="H6318" t="inlineStr"/>
    </row>
    <row r="6319">
      <c r="A6319" t="inlineStr">
        <is>
          <t>274c6bd7-4c3e-4ba7-b361-6073ef168794.jpg</t>
        </is>
      </c>
      <c r="B6319">
        <f>HYPERLINK("Объекты недвижимости, не соответствующие градостроительным нормам_00-022_Август/274c6bd7-4c3e-4ba7-b361-6073ef168794.jpg","open")</f>
        <v/>
      </c>
      <c r="C6319" t="inlineStr">
        <is>
          <t>8cde1fd0-eca1-4510-86ab-3c743b65fdfc</t>
        </is>
      </c>
      <c r="D6319" t="n">
        <v>55.80963</v>
      </c>
      <c r="E6319" t="n">
        <v>37.61696</v>
      </c>
      <c r="F6319" t="inlineStr"/>
      <c r="G6319" t="inlineStr"/>
      <c r="H6319" t="inlineStr"/>
    </row>
    <row r="6320">
      <c r="A6320" t="inlineStr">
        <is>
          <t>5acfa2ac-c764-42e5-999c-56d68fbb3eca.jpg</t>
        </is>
      </c>
      <c r="B6320">
        <f>HYPERLINK("Объекты недвижимости, не соответствующие градостроительным нормам_00-022_Август/5acfa2ac-c764-42e5-999c-56d68fbb3eca.jpg","open")</f>
        <v/>
      </c>
      <c r="C6320" t="inlineStr">
        <is>
          <t>1c951e11-4940-43c6-a447-394097e5609a</t>
        </is>
      </c>
      <c r="D6320" t="n">
        <v>55.80933</v>
      </c>
      <c r="E6320" t="n">
        <v>37.61725</v>
      </c>
      <c r="F6320" t="inlineStr"/>
      <c r="G6320" t="inlineStr"/>
      <c r="H6320" t="inlineStr"/>
    </row>
    <row r="6321">
      <c r="A6321" t="inlineStr">
        <is>
          <t>0c3af830-439d-47b0-9181-1d6a1952f66f.jpg</t>
        </is>
      </c>
      <c r="B6321">
        <f>HYPERLINK("Объекты недвижимости, не соответствующие градостроительным нормам_00-022_Август/0c3af830-439d-47b0-9181-1d6a1952f66f.jpg","open")</f>
        <v/>
      </c>
      <c r="C6321" t="inlineStr">
        <is>
          <t>99f3abba-c55b-49f0-9de5-9f88e9597cc0</t>
        </is>
      </c>
      <c r="D6321" t="n">
        <v>55.66044</v>
      </c>
      <c r="E6321" t="n">
        <v>37.6185</v>
      </c>
      <c r="F6321" t="inlineStr"/>
      <c r="G6321" t="inlineStr"/>
      <c r="H6321" t="inlineStr"/>
    </row>
    <row r="6322">
      <c r="A6322" t="inlineStr">
        <is>
          <t>e4e8df7b-d267-4c3a-b220-98823e04c629.jpg</t>
        </is>
      </c>
      <c r="B6322">
        <f>HYPERLINK("Объекты недвижимости, не соответствующие градостроительным нормам_00-022_Август/e4e8df7b-d267-4c3a-b220-98823e04c629.jpg","open")</f>
        <v/>
      </c>
      <c r="C6322" t="inlineStr">
        <is>
          <t>ad64e6b9-1ed5-44d7-a101-4945a1f9dec6</t>
        </is>
      </c>
      <c r="D6322" t="n">
        <v>55.67955</v>
      </c>
      <c r="E6322" t="n">
        <v>37.5542</v>
      </c>
      <c r="F6322" t="inlineStr"/>
      <c r="G6322" t="inlineStr"/>
      <c r="H6322" t="inlineStr"/>
    </row>
    <row r="6323">
      <c r="A6323" t="inlineStr">
        <is>
          <t>98ffde1a-9bbd-4059-9b17-b5b2e56d2c49.jpg</t>
        </is>
      </c>
      <c r="B6323">
        <f>HYPERLINK("Объекты недвижимости, не соответствующие градостроительным нормам_00-022_Август/98ffde1a-9bbd-4059-9b17-b5b2e56d2c49.jpg","open")</f>
        <v/>
      </c>
      <c r="C6323" t="inlineStr">
        <is>
          <t>5e5b9944-4f9e-4223-bf96-0bc0c8a93dfa</t>
        </is>
      </c>
      <c r="D6323" t="n">
        <v>55.52933</v>
      </c>
      <c r="E6323" t="n">
        <v>37.5803</v>
      </c>
      <c r="F6323" t="inlineStr"/>
      <c r="G6323" t="inlineStr"/>
      <c r="H6323" t="inlineStr"/>
    </row>
    <row r="6324">
      <c r="A6324" t="inlineStr">
        <is>
          <t>2b9d367b-847b-41bf-842b-2374c676a7dc.jpg</t>
        </is>
      </c>
      <c r="B6324">
        <f>HYPERLINK("Объекты недвижимости, не соответствующие градостроительным нормам_00-022_Август/2b9d367b-847b-41bf-842b-2374c676a7dc.jpg","open")</f>
        <v/>
      </c>
      <c r="C6324" t="inlineStr">
        <is>
          <t>ffd931da-542f-43e9-979f-5552b17fe3dc</t>
        </is>
      </c>
      <c r="D6324" t="n">
        <v>55.74176</v>
      </c>
      <c r="E6324" t="n">
        <v>37.76598</v>
      </c>
      <c r="F6324" t="inlineStr"/>
      <c r="G6324" t="inlineStr"/>
      <c r="H6324" t="inlineStr"/>
    </row>
    <row r="6325">
      <c r="A6325" t="inlineStr">
        <is>
          <t>a6283aae-2dc3-4086-90c6-2cd86324d75b.jpg</t>
        </is>
      </c>
      <c r="B6325">
        <f>HYPERLINK("Объекты недвижимости, не соответствующие градостроительным нормам_00-022_Август/a6283aae-2dc3-4086-90c6-2cd86324d75b.jpg","open")</f>
        <v/>
      </c>
      <c r="C6325" t="inlineStr">
        <is>
          <t>8cde1fd0-eca1-4510-86ab-3c743b65fdfc</t>
        </is>
      </c>
      <c r="D6325" t="n">
        <v>55.81399</v>
      </c>
      <c r="E6325" t="n">
        <v>37.63057</v>
      </c>
      <c r="F6325" t="inlineStr"/>
      <c r="G6325" t="inlineStr"/>
      <c r="H6325" t="inlineStr"/>
    </row>
    <row r="6326">
      <c r="A6326" t="inlineStr">
        <is>
          <t>bc35e25a-7b3f-4908-98df-48c6a4e18cf4.jpg</t>
        </is>
      </c>
      <c r="B6326">
        <f>HYPERLINK("Объекты недвижимости, не соответствующие градостроительным нормам_00-022_Август/bc35e25a-7b3f-4908-98df-48c6a4e18cf4.jpg","open")</f>
        <v/>
      </c>
      <c r="C6326" t="inlineStr">
        <is>
          <t>1c951e11-4940-43c6-a447-394097e5609a</t>
        </is>
      </c>
      <c r="D6326" t="n">
        <v>55.81398</v>
      </c>
      <c r="E6326" t="n">
        <v>37.6306</v>
      </c>
      <c r="F6326" t="inlineStr"/>
      <c r="G6326" t="inlineStr"/>
      <c r="H6326" t="inlineStr"/>
    </row>
    <row r="6327">
      <c r="A6327" t="inlineStr">
        <is>
          <t>c728ecf3-9605-46ec-898b-14b4f2387ed7.jpg</t>
        </is>
      </c>
      <c r="B6327">
        <f>HYPERLINK("Объекты недвижимости, не соответствующие градостроительным нормам_00-022_Август/c728ecf3-9605-46ec-898b-14b4f2387ed7.jpg","open")</f>
        <v/>
      </c>
      <c r="C6327" t="inlineStr">
        <is>
          <t>8cde1fd0-eca1-4510-86ab-3c743b65fdfc</t>
        </is>
      </c>
      <c r="D6327" t="n">
        <v>55.81392</v>
      </c>
      <c r="E6327" t="n">
        <v>37.63069</v>
      </c>
      <c r="F6327" t="inlineStr"/>
      <c r="G6327" t="inlineStr"/>
      <c r="H6327" t="inlineStr"/>
    </row>
    <row r="6328">
      <c r="A6328" t="inlineStr">
        <is>
          <t>f532a862-333c-4f00-9f25-020db9ea2062.jpg</t>
        </is>
      </c>
      <c r="B6328">
        <f>HYPERLINK("Объекты недвижимости, не соответствующие градостроительным нормам_00-022_Август/f532a862-333c-4f00-9f25-020db9ea2062.jpg","open")</f>
        <v/>
      </c>
      <c r="C6328" t="inlineStr">
        <is>
          <t>1c951e11-4940-43c6-a447-394097e5609a</t>
        </is>
      </c>
      <c r="D6328" t="n">
        <v>55.8139</v>
      </c>
      <c r="E6328" t="n">
        <v>37.63071</v>
      </c>
      <c r="F6328" t="inlineStr"/>
      <c r="G6328" t="inlineStr"/>
      <c r="H6328" t="inlineStr"/>
    </row>
    <row r="6329">
      <c r="A6329" t="inlineStr">
        <is>
          <t>9d608f4a-ae60-45c0-993c-492fe031fc32.jpg</t>
        </is>
      </c>
      <c r="B6329">
        <f>HYPERLINK("Объекты недвижимости, не соответствующие градостроительным нормам_00-022_Август/9d608f4a-ae60-45c0-993c-492fe031fc32.jpg","open")</f>
        <v/>
      </c>
      <c r="C6329" t="inlineStr">
        <is>
          <t>8cde1fd0-eca1-4510-86ab-3c743b65fdfc</t>
        </is>
      </c>
      <c r="D6329" t="n">
        <v>55.81373</v>
      </c>
      <c r="E6329" t="n">
        <v>37.63095</v>
      </c>
      <c r="F6329" t="inlineStr"/>
      <c r="G6329" t="inlineStr"/>
      <c r="H6329" t="inlineStr"/>
    </row>
    <row r="6330">
      <c r="A6330" t="inlineStr">
        <is>
          <t>a4e09b39-1cb6-4439-ad6f-f419bcf395a6.jpg</t>
        </is>
      </c>
      <c r="B6330">
        <f>HYPERLINK("Объекты недвижимости, не соответствующие градостроительным нормам_00-022_Август/a4e09b39-1cb6-4439-ad6f-f419bcf395a6.jpg","open")</f>
        <v/>
      </c>
      <c r="C6330" t="inlineStr">
        <is>
          <t>8cde1fd0-eca1-4510-86ab-3c743b65fdfc</t>
        </is>
      </c>
      <c r="D6330" t="n">
        <v>55.81362</v>
      </c>
      <c r="E6330" t="n">
        <v>37.63109</v>
      </c>
      <c r="F6330" t="inlineStr"/>
      <c r="G6330" t="inlineStr"/>
      <c r="H6330" t="inlineStr"/>
    </row>
    <row r="6331">
      <c r="A6331" t="inlineStr">
        <is>
          <t>12b8455b-720d-4123-ab0c-530079eeeed4.jpg</t>
        </is>
      </c>
      <c r="B6331">
        <f>HYPERLINK("Объекты недвижимости, не соответствующие градостроительным нормам_00-022_Август/12b8455b-720d-4123-ab0c-530079eeeed4.jpg","open")</f>
        <v/>
      </c>
      <c r="C6331" t="inlineStr">
        <is>
          <t>8cde1fd0-eca1-4510-86ab-3c743b65fdfc</t>
        </is>
      </c>
      <c r="D6331" t="n">
        <v>55.81352</v>
      </c>
      <c r="E6331" t="n">
        <v>37.63122</v>
      </c>
      <c r="F6331" t="inlineStr"/>
      <c r="G6331" t="inlineStr"/>
      <c r="H6331" t="inlineStr"/>
    </row>
    <row r="6332">
      <c r="A6332" t="inlineStr">
        <is>
          <t>ba3629ae-67c4-4e43-8eae-752266b480b5.jpg</t>
        </is>
      </c>
      <c r="B6332">
        <f>HYPERLINK("Объекты недвижимости, не соответствующие градостроительным нормам_00-022_Август/ba3629ae-67c4-4e43-8eae-752266b480b5.jpg","open")</f>
        <v/>
      </c>
      <c r="C6332" t="inlineStr">
        <is>
          <t>12e795ad-2aa7-49de-b2da-2c6aa35a4559</t>
        </is>
      </c>
      <c r="D6332" t="n">
        <v>55.68061</v>
      </c>
      <c r="E6332" t="n">
        <v>37.55651</v>
      </c>
      <c r="F6332" t="inlineStr"/>
      <c r="G6332" t="inlineStr"/>
      <c r="H6332" t="inlineStr"/>
    </row>
    <row r="6333">
      <c r="A6333" t="inlineStr">
        <is>
          <t>0fbc251c-b095-4945-a83d-19075d20c1bf.jpg</t>
        </is>
      </c>
      <c r="B6333">
        <f>HYPERLINK("Объекты недвижимости, не соответствующие градостроительным нормам_00-022_Август/0fbc251c-b095-4945-a83d-19075d20c1bf.jpg","open")</f>
        <v/>
      </c>
      <c r="C6333" t="inlineStr">
        <is>
          <t>1c951e11-4940-43c6-a447-394097e5609a</t>
        </is>
      </c>
      <c r="D6333" t="n">
        <v>55.8135</v>
      </c>
      <c r="E6333" t="n">
        <v>37.63124</v>
      </c>
      <c r="F6333" t="inlineStr"/>
      <c r="G6333" t="inlineStr"/>
      <c r="H6333" t="inlineStr"/>
    </row>
    <row r="6334">
      <c r="A6334" t="inlineStr">
        <is>
          <t>b6e3c8ba-7519-483a-b7ed-c51066835851.jpg</t>
        </is>
      </c>
      <c r="B6334">
        <f>HYPERLINK("Объекты недвижимости, не соответствующие градостроительным нормам_00-022_Август/b6e3c8ba-7519-483a-b7ed-c51066835851.jpg","open")</f>
        <v/>
      </c>
      <c r="C6334" t="inlineStr">
        <is>
          <t>8cde1fd0-eca1-4510-86ab-3c743b65fdfc</t>
        </is>
      </c>
      <c r="D6334" t="n">
        <v>55.81346</v>
      </c>
      <c r="E6334" t="n">
        <v>37.63131</v>
      </c>
      <c r="F6334" t="inlineStr"/>
      <c r="G6334" t="inlineStr"/>
      <c r="H6334" t="inlineStr"/>
    </row>
    <row r="6335">
      <c r="A6335" t="inlineStr">
        <is>
          <t>6840ab97-a8ae-467c-b033-158bcf8ea436.jpg</t>
        </is>
      </c>
      <c r="B6335">
        <f>HYPERLINK("Объекты недвижимости, не соответствующие градостроительным нормам_00-022_Август/6840ab97-a8ae-467c-b033-158bcf8ea436.jpg","open")</f>
        <v/>
      </c>
      <c r="C6335" t="inlineStr">
        <is>
          <t>685d9054-b74f-49ab-857b-109fd2cec80d</t>
        </is>
      </c>
      <c r="D6335" t="n">
        <v>55.55081</v>
      </c>
      <c r="E6335" t="n">
        <v>37.55862</v>
      </c>
      <c r="F6335" t="inlineStr"/>
      <c r="G6335" t="inlineStr"/>
      <c r="H6335" t="inlineStr"/>
    </row>
    <row r="6336">
      <c r="A6336" t="inlineStr">
        <is>
          <t>a9af12dd-8fcd-4282-9096-c6f4d975c15a.jpg</t>
        </is>
      </c>
      <c r="B6336">
        <f>HYPERLINK("Объекты недвижимости, не соответствующие градостроительным нормам_00-022_Август/a9af12dd-8fcd-4282-9096-c6f4d975c15a.jpg","open")</f>
        <v/>
      </c>
      <c r="C6336" t="inlineStr">
        <is>
          <t>b0429a31-0c70-4b9f-8ea5-73929d82f89e</t>
        </is>
      </c>
      <c r="D6336" t="n">
        <v>55.65868</v>
      </c>
      <c r="E6336" t="n">
        <v>37.61872</v>
      </c>
      <c r="F6336" t="inlineStr"/>
      <c r="G6336" t="inlineStr"/>
      <c r="H6336" t="inlineStr"/>
    </row>
    <row r="6337">
      <c r="A6337" t="inlineStr">
        <is>
          <t>a9e54aa7-ef05-42a1-9dfb-13e1e56447a8.jpg</t>
        </is>
      </c>
      <c r="B6337">
        <f>HYPERLINK("Объекты недвижимости, не соответствующие градостроительным нормам_00-022_Август/a9e54aa7-ef05-42a1-9dfb-13e1e56447a8.jpg","open")</f>
        <v/>
      </c>
      <c r="C6337" t="inlineStr">
        <is>
          <t>1231bbc5-e64c-4dc7-9acc-77710f47607a</t>
        </is>
      </c>
      <c r="D6337" t="n">
        <v>55.55037</v>
      </c>
      <c r="E6337" t="n">
        <v>37.55687</v>
      </c>
      <c r="F6337" t="inlineStr"/>
      <c r="G6337" t="inlineStr"/>
      <c r="H6337" t="inlineStr"/>
    </row>
    <row r="6338">
      <c r="A6338" t="inlineStr">
        <is>
          <t>8cace19b-4202-4925-bca6-2b2ba2a257d2.jpg</t>
        </is>
      </c>
      <c r="B6338">
        <f>HYPERLINK("Объекты недвижимости, не соответствующие градостроительным нормам_00-022_Август/8cace19b-4202-4925-bca6-2b2ba2a257d2.jpg","open")</f>
        <v/>
      </c>
      <c r="C6338" t="inlineStr">
        <is>
          <t>685d9054-b74f-49ab-857b-109fd2cec80d</t>
        </is>
      </c>
      <c r="D6338" t="n">
        <v>55.55042</v>
      </c>
      <c r="E6338" t="n">
        <v>37.55691</v>
      </c>
      <c r="F6338" t="inlineStr"/>
      <c r="G6338" t="inlineStr"/>
      <c r="H6338" t="inlineStr"/>
    </row>
    <row r="6339">
      <c r="A6339" t="inlineStr">
        <is>
          <t>c45f8fd1-5971-43ff-b4ae-9b7cc3adffaa.jpg</t>
        </is>
      </c>
      <c r="B6339">
        <f>HYPERLINK("Объекты недвижимости, не соответствующие градостроительным нормам_00-022_Август/c45f8fd1-5971-43ff-b4ae-9b7cc3adffaa.jpg","open")</f>
        <v/>
      </c>
      <c r="C6339" t="inlineStr">
        <is>
          <t>99f3abba-c55b-49f0-9de5-9f88e9597cc0</t>
        </is>
      </c>
      <c r="D6339" t="n">
        <v>55.65867</v>
      </c>
      <c r="E6339" t="n">
        <v>37.6184</v>
      </c>
      <c r="F6339" t="inlineStr"/>
      <c r="G6339" t="inlineStr"/>
      <c r="H6339" t="inlineStr"/>
    </row>
    <row r="6340">
      <c r="A6340" t="inlineStr">
        <is>
          <t>e52e9817-ff79-480d-b46c-316ecc7a690a.jpg</t>
        </is>
      </c>
      <c r="B6340">
        <f>HYPERLINK("Объекты недвижимости, не соответствующие градостроительным нормам_00-022_Август/e52e9817-ff79-480d-b46c-316ecc7a690a.jpg","open")</f>
        <v/>
      </c>
      <c r="C6340" t="inlineStr">
        <is>
          <t>0dd30d74-4dbc-46a8-b638-91e1431bb398</t>
        </is>
      </c>
      <c r="D6340" t="n">
        <v>55.76443</v>
      </c>
      <c r="E6340" t="n">
        <v>37.48878</v>
      </c>
      <c r="F6340" t="inlineStr"/>
      <c r="G6340" t="inlineStr"/>
      <c r="H6340" t="inlineStr"/>
    </row>
    <row r="6341">
      <c r="A6341" t="inlineStr">
        <is>
          <t>b71b28c0-0bc6-4166-a803-0907219692e6.jpg</t>
        </is>
      </c>
      <c r="B6341">
        <f>HYPERLINK("Объекты недвижимости, не соответствующие градостроительным нормам_00-022_Август/b71b28c0-0bc6-4166-a803-0907219692e6.jpg","open")</f>
        <v/>
      </c>
      <c r="C6341" t="inlineStr">
        <is>
          <t>b0429a31-0c70-4b9f-8ea5-73929d82f89e</t>
        </is>
      </c>
      <c r="D6341" t="n">
        <v>55.65646</v>
      </c>
      <c r="E6341" t="n">
        <v>37.61888</v>
      </c>
      <c r="F6341" t="inlineStr"/>
      <c r="G6341" t="inlineStr"/>
      <c r="H6341" t="inlineStr"/>
    </row>
    <row r="6342">
      <c r="A6342" t="inlineStr">
        <is>
          <t>642d488d-24b2-4e1b-90e9-abe1ac496601.jpg</t>
        </is>
      </c>
      <c r="B6342">
        <f>HYPERLINK("Объекты недвижимости, не соответствующие градостроительным нормам_00-022_Август/642d488d-24b2-4e1b-90e9-abe1ac496601.jpg","open")</f>
        <v/>
      </c>
      <c r="C6342" t="inlineStr">
        <is>
          <t>b0429a31-0c70-4b9f-8ea5-73929d82f89e</t>
        </is>
      </c>
      <c r="D6342" t="n">
        <v>55.65643</v>
      </c>
      <c r="E6342" t="n">
        <v>37.61816</v>
      </c>
      <c r="F6342" t="inlineStr"/>
      <c r="G6342" t="inlineStr"/>
      <c r="H6342" t="inlineStr"/>
    </row>
    <row r="6343">
      <c r="A6343" t="inlineStr">
        <is>
          <t>5d602673-9bad-4107-a4c5-5535e6fbdae4.jpg</t>
        </is>
      </c>
      <c r="B6343">
        <f>HYPERLINK("Объекты недвижимости, не соответствующие градостроительным нормам_00-022_Август/5d602673-9bad-4107-a4c5-5535e6fbdae4.jpg","open")</f>
        <v/>
      </c>
      <c r="C6343" t="inlineStr">
        <is>
          <t>1231bbc5-e64c-4dc7-9acc-77710f47607a</t>
        </is>
      </c>
      <c r="D6343" t="n">
        <v>55.55053</v>
      </c>
      <c r="E6343" t="n">
        <v>37.55656</v>
      </c>
      <c r="F6343" t="inlineStr"/>
      <c r="G6343" t="inlineStr"/>
      <c r="H6343" t="inlineStr"/>
    </row>
    <row r="6344">
      <c r="A6344" t="inlineStr">
        <is>
          <t>57c68c3d-f784-4660-a367-5f7d2fcb8f8c.jpg</t>
        </is>
      </c>
      <c r="B6344">
        <f>HYPERLINK("Объекты недвижимости, не соответствующие градостроительным нормам_00-022_Август/57c68c3d-f784-4660-a367-5f7d2fcb8f8c.jpg","open")</f>
        <v/>
      </c>
      <c r="C6344" t="inlineStr">
        <is>
          <t>b0429a31-0c70-4b9f-8ea5-73929d82f89e</t>
        </is>
      </c>
      <c r="D6344" t="n">
        <v>55.65637</v>
      </c>
      <c r="E6344" t="n">
        <v>37.61852</v>
      </c>
      <c r="F6344" t="inlineStr"/>
      <c r="G6344" t="inlineStr"/>
      <c r="H6344" t="inlineStr"/>
    </row>
    <row r="6345">
      <c r="A6345" t="inlineStr">
        <is>
          <t>ac6ead9f-6086-498f-a609-ce3eca621847.jpg</t>
        </is>
      </c>
      <c r="B6345">
        <f>HYPERLINK("Объекты недвижимости, не соответствующие градостроительным нормам_00-022_Август/ac6ead9f-6086-498f-a609-ce3eca621847.jpg","open")</f>
        <v/>
      </c>
      <c r="C6345" t="inlineStr">
        <is>
          <t>685d9054-b74f-49ab-857b-109fd2cec80d</t>
        </is>
      </c>
      <c r="D6345" t="n">
        <v>55.55012</v>
      </c>
      <c r="E6345" t="n">
        <v>37.55601</v>
      </c>
      <c r="F6345" t="inlineStr"/>
      <c r="G6345" t="inlineStr"/>
      <c r="H6345" t="inlineStr"/>
    </row>
    <row r="6346">
      <c r="A6346" t="inlineStr">
        <is>
          <t>cadaa0a5-2dfc-4413-acc8-2813edb286c2.jpg</t>
        </is>
      </c>
      <c r="B6346">
        <f>HYPERLINK("Объекты недвижимости, не соответствующие градостроительным нормам_00-022_Август/cadaa0a5-2dfc-4413-acc8-2813edb286c2.jpg","open")</f>
        <v/>
      </c>
      <c r="C6346" t="inlineStr">
        <is>
          <t>f60286ac-55e7-4099-85bd-cc599a7a0c65</t>
        </is>
      </c>
      <c r="D6346" t="n">
        <v>55.74292</v>
      </c>
      <c r="E6346" t="n">
        <v>37.76477</v>
      </c>
      <c r="F6346" t="inlineStr"/>
      <c r="G6346" t="inlineStr"/>
      <c r="H6346" t="inlineStr"/>
    </row>
    <row r="6347">
      <c r="A6347" t="inlineStr">
        <is>
          <t>74bd66a6-5dc8-4035-9998-ea81084fb69c.jpg</t>
        </is>
      </c>
      <c r="B6347">
        <f>HYPERLINK("Объекты недвижимости, не соответствующие градостроительным нормам_00-022_Август/74bd66a6-5dc8-4035-9998-ea81084fb69c.jpg","open")</f>
        <v/>
      </c>
      <c r="C6347" t="inlineStr">
        <is>
          <t>ffd931da-542f-43e9-979f-5552b17fe3dc</t>
        </is>
      </c>
      <c r="D6347" t="n">
        <v>55.74291</v>
      </c>
      <c r="E6347" t="n">
        <v>37.76479</v>
      </c>
      <c r="F6347" t="inlineStr"/>
      <c r="G6347" t="inlineStr"/>
      <c r="H6347" t="inlineStr"/>
    </row>
    <row r="6348">
      <c r="A6348" t="inlineStr">
        <is>
          <t>9ef52ddd-45f0-4a56-8bb6-c787a74c2e1d.jpg</t>
        </is>
      </c>
      <c r="B6348">
        <f>HYPERLINK("Объекты недвижимости, не соответствующие градостроительным нормам_00-022_Август/9ef52ddd-45f0-4a56-8bb6-c787a74c2e1d.jpg","open")</f>
        <v/>
      </c>
      <c r="C6348" t="inlineStr">
        <is>
          <t>b0429a31-0c70-4b9f-8ea5-73929d82f89e</t>
        </is>
      </c>
      <c r="D6348" t="n">
        <v>55.65782</v>
      </c>
      <c r="E6348" t="n">
        <v>37.61769</v>
      </c>
      <c r="F6348" t="inlineStr"/>
      <c r="G6348" t="inlineStr"/>
      <c r="H6348" t="inlineStr"/>
    </row>
    <row r="6349">
      <c r="A6349" t="inlineStr">
        <is>
          <t>bc87586c-781f-4fb0-a8a5-c1e4e7ffd3e6.jpg</t>
        </is>
      </c>
      <c r="B6349">
        <f>HYPERLINK("Объекты недвижимости, не соответствующие градостроительным нормам_00-022_Август/bc87586c-781f-4fb0-a8a5-c1e4e7ffd3e6.jpg","open")</f>
        <v/>
      </c>
      <c r="C6349" t="inlineStr">
        <is>
          <t>8cde1fd0-eca1-4510-86ab-3c743b65fdfc</t>
        </is>
      </c>
      <c r="D6349" t="n">
        <v>55.8099</v>
      </c>
      <c r="E6349" t="n">
        <v>37.6307</v>
      </c>
      <c r="F6349" t="inlineStr"/>
      <c r="G6349" t="inlineStr"/>
      <c r="H6349" t="inlineStr"/>
    </row>
    <row r="6350">
      <c r="A6350" t="inlineStr">
        <is>
          <t>4d9120fd-607e-44be-b0c1-48b7c866353c.jpg</t>
        </is>
      </c>
      <c r="B6350">
        <f>HYPERLINK("Объекты недвижимости, не соответствующие градостроительным нормам_00-022_Август/4d9120fd-607e-44be-b0c1-48b7c866353c.jpg","open")</f>
        <v/>
      </c>
      <c r="C6350" t="inlineStr">
        <is>
          <t>8b2675e2-7f40-47a9-a462-7c9feecd299c</t>
        </is>
      </c>
      <c r="D6350" t="n">
        <v>55.734</v>
      </c>
      <c r="E6350" t="n">
        <v>37.3957</v>
      </c>
      <c r="F6350" t="inlineStr"/>
      <c r="G6350" t="inlineStr"/>
      <c r="H6350" t="inlineStr"/>
    </row>
    <row r="6351">
      <c r="A6351" t="inlineStr">
        <is>
          <t>bdb3e090-745c-412a-83e2-80cd371923c4.jpg</t>
        </is>
      </c>
      <c r="B6351">
        <f>HYPERLINK("Объекты недвижимости, не соответствующие градостроительным нормам_00-022_Август/bdb3e090-745c-412a-83e2-80cd371923c4.jpg","open")</f>
        <v/>
      </c>
      <c r="C6351" t="inlineStr">
        <is>
          <t>8b2675e2-7f40-47a9-a462-7c9feecd299c</t>
        </is>
      </c>
      <c r="D6351" t="n">
        <v>55.734</v>
      </c>
      <c r="E6351" t="n">
        <v>37.40048</v>
      </c>
      <c r="F6351" t="inlineStr"/>
      <c r="G6351" t="inlineStr"/>
      <c r="H6351" t="inlineStr"/>
    </row>
    <row r="6352">
      <c r="A6352" t="inlineStr">
        <is>
          <t>848a8d0a-8a1b-475f-bc64-dfd91817bc90.jpg</t>
        </is>
      </c>
      <c r="B6352">
        <f>HYPERLINK("Объекты недвижимости, не соответствующие градостроительным нормам_00-022_Август/848a8d0a-8a1b-475f-bc64-dfd91817bc90.jpg","open")</f>
        <v/>
      </c>
      <c r="C6352" t="inlineStr">
        <is>
          <t>cbf95b01-f708-45a3-9ec0-3603469b538e</t>
        </is>
      </c>
      <c r="D6352" t="n">
        <v>55.82425</v>
      </c>
      <c r="E6352" t="n">
        <v>37.76497</v>
      </c>
      <c r="F6352" t="inlineStr"/>
      <c r="G6352" t="inlineStr"/>
      <c r="H6352" t="inlineStr"/>
    </row>
    <row r="6353">
      <c r="A6353" t="inlineStr">
        <is>
          <t>6d6a90d0-19ae-4b02-af82-cf4285674a17.jpg</t>
        </is>
      </c>
      <c r="B6353">
        <f>HYPERLINK("Объекты недвижимости, не соответствующие градостроительным нормам_00-022_Август/6d6a90d0-19ae-4b02-af82-cf4285674a17.jpg","open")</f>
        <v/>
      </c>
      <c r="C6353" t="inlineStr">
        <is>
          <t>8cde1fd0-eca1-4510-86ab-3c743b65fdfc</t>
        </is>
      </c>
      <c r="D6353" t="n">
        <v>55.81342</v>
      </c>
      <c r="E6353" t="n">
        <v>37.63126</v>
      </c>
      <c r="F6353" t="inlineStr"/>
      <c r="G6353" t="inlineStr"/>
      <c r="H6353" t="inlineStr"/>
    </row>
    <row r="6354">
      <c r="A6354" t="inlineStr">
        <is>
          <t>6716c2c9-a362-4bfd-9edb-fbc921b262a5.jpg</t>
        </is>
      </c>
      <c r="B6354">
        <f>HYPERLINK("Объекты недвижимости, не соответствующие градостроительным нормам_00-022_Август/6716c2c9-a362-4bfd-9edb-fbc921b262a5.jpg","open")</f>
        <v/>
      </c>
      <c r="C6354" t="inlineStr">
        <is>
          <t>cbf95b01-f708-45a3-9ec0-3603469b538e</t>
        </is>
      </c>
      <c r="D6354" t="n">
        <v>55.76701</v>
      </c>
      <c r="E6354" t="n">
        <v>37.67313</v>
      </c>
      <c r="F6354" t="inlineStr"/>
      <c r="G6354" t="inlineStr"/>
      <c r="H6354" t="inlineStr"/>
    </row>
    <row r="6355">
      <c r="A6355" t="inlineStr">
        <is>
          <t>37a11ef5-1c89-4924-83c4-b6da1cfaed6d.jpg</t>
        </is>
      </c>
      <c r="B6355">
        <f>HYPERLINK("Объекты недвижимости, не соответствующие градостроительным нормам_00-022_Август/37a11ef5-1c89-4924-83c4-b6da1cfaed6d.jpg","open")</f>
        <v/>
      </c>
      <c r="C6355" t="inlineStr">
        <is>
          <t>cbf95b01-f708-45a3-9ec0-3603469b538e</t>
        </is>
      </c>
      <c r="D6355" t="n">
        <v>55.76773</v>
      </c>
      <c r="E6355" t="n">
        <v>37.67247</v>
      </c>
      <c r="F6355" t="inlineStr"/>
      <c r="G6355" t="inlineStr"/>
      <c r="H6355" t="inlineStr"/>
    </row>
    <row r="6356">
      <c r="A6356" t="inlineStr">
        <is>
          <t>39c809aa-a83f-4e53-90e6-e853ba5c625b.jpg</t>
        </is>
      </c>
      <c r="B6356">
        <f>HYPERLINK("Объекты недвижимости, не соответствующие градостроительным нормам_00-022_Август/39c809aa-a83f-4e53-90e6-e853ba5c625b.jpg","open")</f>
        <v/>
      </c>
      <c r="C6356" t="inlineStr">
        <is>
          <t>cbf95b01-f708-45a3-9ec0-3603469b538e</t>
        </is>
      </c>
      <c r="D6356" t="n">
        <v>55.76836</v>
      </c>
      <c r="E6356" t="n">
        <v>37.67191</v>
      </c>
      <c r="F6356" t="inlineStr"/>
      <c r="G6356" t="inlineStr"/>
      <c r="H6356" t="inlineStr"/>
    </row>
    <row r="6357">
      <c r="A6357" t="inlineStr">
        <is>
          <t>21a7d8ab-89ce-45f6-9995-42ba769f8515.jpg</t>
        </is>
      </c>
      <c r="B6357">
        <f>HYPERLINK("Объекты недвижимости, не соответствующие градостроительным нормам_00-022_Август/21a7d8ab-89ce-45f6-9995-42ba769f8515.jpg","open")</f>
        <v/>
      </c>
      <c r="C6357" t="inlineStr">
        <is>
          <t>cbf95b01-f708-45a3-9ec0-3603469b538e</t>
        </is>
      </c>
      <c r="D6357" t="n">
        <v>55.76847</v>
      </c>
      <c r="E6357" t="n">
        <v>37.67184</v>
      </c>
      <c r="F6357" t="inlineStr"/>
      <c r="G6357" t="inlineStr"/>
      <c r="H6357" t="inlineStr"/>
    </row>
    <row r="6358">
      <c r="A6358" t="inlineStr">
        <is>
          <t>3afd495f-d2a0-4768-9bb1-b7f6dcd314a4.jpg</t>
        </is>
      </c>
      <c r="B6358">
        <f>HYPERLINK("Объекты недвижимости, не соответствующие градостроительным нормам_00-022_Август/3afd495f-d2a0-4768-9bb1-b7f6dcd314a4.jpg","open")</f>
        <v/>
      </c>
      <c r="C6358" t="inlineStr">
        <is>
          <t>a1a9db89-3f74-42ef-8fad-ad69705102cd</t>
        </is>
      </c>
      <c r="D6358" t="n">
        <v>55.76817</v>
      </c>
      <c r="E6358" t="n">
        <v>37.67198</v>
      </c>
      <c r="F6358" t="inlineStr"/>
      <c r="G6358" t="inlineStr"/>
      <c r="H6358" t="inlineStr"/>
    </row>
    <row r="6359">
      <c r="A6359" t="inlineStr">
        <is>
          <t>f9ab2069-8ec4-45d4-ac63-27d36a8b0b50.jpg</t>
        </is>
      </c>
      <c r="B6359">
        <f>HYPERLINK("Объекты недвижимости, не соответствующие градостроительным нормам_00-022_Август/f9ab2069-8ec4-45d4-ac63-27d36a8b0b50.jpg","open")</f>
        <v/>
      </c>
      <c r="C6359" t="inlineStr">
        <is>
          <t>a1a9db89-3f74-42ef-8fad-ad69705102cd</t>
        </is>
      </c>
      <c r="D6359" t="n">
        <v>55.76869</v>
      </c>
      <c r="E6359" t="n">
        <v>37.67171</v>
      </c>
      <c r="F6359" t="inlineStr"/>
      <c r="G6359" t="inlineStr"/>
      <c r="H6359" t="inlineStr"/>
    </row>
    <row r="6360">
      <c r="A6360" t="inlineStr">
        <is>
          <t>d197927a-f694-4798-bf2f-b196a14a1b27.jpg</t>
        </is>
      </c>
      <c r="B6360">
        <f>HYPERLINK("Объекты недвижимости, не соответствующие градостроительным нормам_00-022_Август/d197927a-f694-4798-bf2f-b196a14a1b27.jpg","open")</f>
        <v/>
      </c>
      <c r="C6360" t="inlineStr">
        <is>
          <t>a1a9db89-3f74-42ef-8fad-ad69705102cd</t>
        </is>
      </c>
      <c r="D6360" t="n">
        <v>55.76883</v>
      </c>
      <c r="E6360" t="n">
        <v>37.67167</v>
      </c>
      <c r="F6360" t="inlineStr"/>
      <c r="G6360" t="inlineStr"/>
      <c r="H6360" t="inlineStr"/>
    </row>
    <row r="6361">
      <c r="A6361" t="inlineStr">
        <is>
          <t>9252e680-d30a-44c6-b132-7b92bde500ea.jpg</t>
        </is>
      </c>
      <c r="B6361">
        <f>HYPERLINK("Объекты недвижимости, не соответствующие градостроительным нормам_00-022_Август/9252e680-d30a-44c6-b132-7b92bde500ea.jpg","open")</f>
        <v/>
      </c>
      <c r="C6361" t="inlineStr">
        <is>
          <t>cbf95b01-f708-45a3-9ec0-3603469b538e</t>
        </is>
      </c>
      <c r="D6361" t="n">
        <v>55.76869</v>
      </c>
      <c r="E6361" t="n">
        <v>37.67171</v>
      </c>
      <c r="F6361" t="inlineStr"/>
      <c r="G6361" t="inlineStr"/>
      <c r="H6361" t="inlineStr"/>
    </row>
    <row r="6362">
      <c r="A6362" t="inlineStr">
        <is>
          <t>41807806-f147-4e0a-8a03-b7303ca981ea.jpg</t>
        </is>
      </c>
      <c r="B6362">
        <f>HYPERLINK("Объекты недвижимости, не соответствующие градостроительным нормам_00-022_Август/41807806-f147-4e0a-8a03-b7303ca981ea.jpg","open")</f>
        <v/>
      </c>
      <c r="C6362" t="inlineStr">
        <is>
          <t>a1a9db89-3f74-42ef-8fad-ad69705102cd</t>
        </is>
      </c>
      <c r="D6362" t="n">
        <v>55.76889</v>
      </c>
      <c r="E6362" t="n">
        <v>37.67164</v>
      </c>
      <c r="F6362" t="inlineStr"/>
      <c r="G6362" t="inlineStr"/>
      <c r="H6362" t="inlineStr"/>
    </row>
    <row r="6363">
      <c r="A6363" t="inlineStr">
        <is>
          <t>904cb2aa-e0f8-41de-a457-1f0d5493e01b.jpg</t>
        </is>
      </c>
      <c r="B6363">
        <f>HYPERLINK("Объекты недвижимости, не соответствующие градостроительным нормам_00-022_Август/904cb2aa-e0f8-41de-a457-1f0d5493e01b.jpg","open")</f>
        <v/>
      </c>
      <c r="C6363" t="inlineStr">
        <is>
          <t>a1a9db89-3f74-42ef-8fad-ad69705102cd</t>
        </is>
      </c>
      <c r="D6363" t="n">
        <v>55.76897</v>
      </c>
      <c r="E6363" t="n">
        <v>37.67153</v>
      </c>
      <c r="F6363" t="inlineStr"/>
      <c r="G6363" t="inlineStr"/>
      <c r="H6363" t="inlineStr"/>
    </row>
    <row r="6364">
      <c r="A6364" t="inlineStr">
        <is>
          <t>3320e07a-37f8-41da-a7fd-963f5b7f66f9.jpg</t>
        </is>
      </c>
      <c r="B6364">
        <f>HYPERLINK("Объекты недвижимости, не соответствующие градостроительным нормам_00-022_Август/3320e07a-37f8-41da-a7fd-963f5b7f66f9.jpg","open")</f>
        <v/>
      </c>
      <c r="C6364" t="inlineStr">
        <is>
          <t>a1a9db89-3f74-42ef-8fad-ad69705102cd</t>
        </is>
      </c>
      <c r="D6364" t="n">
        <v>55.76915</v>
      </c>
      <c r="E6364" t="n">
        <v>37.67137</v>
      </c>
      <c r="F6364" t="inlineStr"/>
      <c r="G6364" t="inlineStr"/>
      <c r="H6364" t="inlineStr"/>
    </row>
    <row r="6365">
      <c r="A6365" t="inlineStr">
        <is>
          <t>0a58a663-be8c-4b34-a7d3-d5a8d0f8b06f.jpg</t>
        </is>
      </c>
      <c r="B6365">
        <f>HYPERLINK("Объекты недвижимости, не соответствующие градостроительным нормам_00-022_Август/0a58a663-be8c-4b34-a7d3-d5a8d0f8b06f.jpg","open")</f>
        <v/>
      </c>
      <c r="C6365" t="inlineStr">
        <is>
          <t>685d9054-b74f-49ab-857b-109fd2cec80d</t>
        </is>
      </c>
      <c r="D6365" t="n">
        <v>55.54903</v>
      </c>
      <c r="E6365" t="n">
        <v>37.55416</v>
      </c>
      <c r="F6365" t="inlineStr"/>
      <c r="G6365" t="inlineStr"/>
      <c r="H6365" t="inlineStr"/>
    </row>
    <row r="6366">
      <c r="A6366" t="inlineStr">
        <is>
          <t>f8186fae-378f-4e5e-8c32-e6da0a4b063a.jpg</t>
        </is>
      </c>
      <c r="B6366">
        <f>HYPERLINK("Объекты недвижимости, не соответствующие градостроительным нормам_00-022_Август/f8186fae-378f-4e5e-8c32-e6da0a4b063a.jpg","open")</f>
        <v/>
      </c>
      <c r="C6366" t="inlineStr">
        <is>
          <t>a1a9db89-3f74-42ef-8fad-ad69705102cd</t>
        </is>
      </c>
      <c r="D6366" t="n">
        <v>55.76917</v>
      </c>
      <c r="E6366" t="n">
        <v>37.67133</v>
      </c>
      <c r="F6366" t="inlineStr"/>
      <c r="G6366" t="inlineStr"/>
      <c r="H6366" t="inlineStr"/>
    </row>
    <row r="6367">
      <c r="A6367" t="inlineStr">
        <is>
          <t>92eea50a-bb4c-4a7a-bb37-f61ce5d8cd79.jpg</t>
        </is>
      </c>
      <c r="B6367">
        <f>HYPERLINK("Объекты недвижимости, не соответствующие градостроительным нормам_00-022_Август/92eea50a-bb4c-4a7a-bb37-f61ce5d8cd79.jpg","open")</f>
        <v/>
      </c>
      <c r="C6367" t="inlineStr">
        <is>
          <t>cbf95b01-f708-45a3-9ec0-3603469b538e</t>
        </is>
      </c>
      <c r="D6367" t="n">
        <v>55.7692</v>
      </c>
      <c r="E6367" t="n">
        <v>37.67128</v>
      </c>
      <c r="F6367" t="inlineStr"/>
      <c r="G6367" t="inlineStr"/>
      <c r="H6367" t="inlineStr"/>
    </row>
    <row r="6368">
      <c r="A6368" t="inlineStr">
        <is>
          <t>02e93858-352d-421b-b21e-2faf42d6c925.jpg</t>
        </is>
      </c>
      <c r="B6368">
        <f>HYPERLINK("Объекты недвижимости, не соответствующие градостроительным нормам_00-022_Август/02e93858-352d-421b-b21e-2faf42d6c925.jpg","open")</f>
        <v/>
      </c>
      <c r="C6368" t="inlineStr">
        <is>
          <t>cbf95b01-f708-45a3-9ec0-3603469b538e</t>
        </is>
      </c>
      <c r="D6368" t="n">
        <v>55.76937</v>
      </c>
      <c r="E6368" t="n">
        <v>37.67071</v>
      </c>
      <c r="F6368" t="inlineStr"/>
      <c r="G6368" t="inlineStr"/>
      <c r="H6368" t="inlineStr"/>
    </row>
    <row r="6369">
      <c r="A6369" t="inlineStr">
        <is>
          <t>ecd733cf-5636-4dfc-a754-4473e6ac4110.jpg</t>
        </is>
      </c>
      <c r="B6369">
        <f>HYPERLINK("Объекты недвижимости, не соответствующие градостроительным нормам_00-022_Август/ecd733cf-5636-4dfc-a754-4473e6ac4110.jpg","open")</f>
        <v/>
      </c>
      <c r="C6369" t="inlineStr">
        <is>
          <t>f6f80c84-5569-48fd-b627-6f41ce4c61c4</t>
        </is>
      </c>
      <c r="D6369" t="n">
        <v>55.80598</v>
      </c>
      <c r="E6369" t="n">
        <v>37.83483</v>
      </c>
      <c r="F6369" t="inlineStr"/>
      <c r="G6369" t="inlineStr"/>
      <c r="H6369" t="inlineStr"/>
    </row>
    <row r="6370">
      <c r="A6370" t="inlineStr">
        <is>
          <t>15f01e3a-387b-426c-94f1-077eab48d48f.jpg</t>
        </is>
      </c>
      <c r="B6370">
        <f>HYPERLINK("Объекты недвижимости, не соответствующие градостроительным нормам_00-022_Август/15f01e3a-387b-426c-94f1-077eab48d48f.jpg","open")</f>
        <v/>
      </c>
      <c r="C6370" t="inlineStr">
        <is>
          <t>8cde1fd0-eca1-4510-86ab-3c743b65fdfc</t>
        </is>
      </c>
      <c r="D6370" t="n">
        <v>55.817</v>
      </c>
      <c r="E6370" t="n">
        <v>37.63828</v>
      </c>
      <c r="F6370" t="inlineStr"/>
      <c r="G6370" t="inlineStr"/>
      <c r="H6370" t="inlineStr"/>
    </row>
    <row r="6371">
      <c r="A6371" t="inlineStr">
        <is>
          <t>9621f9ce-01ed-49de-bef0-e413da23b1a5.jpg</t>
        </is>
      </c>
      <c r="B6371">
        <f>HYPERLINK("Объекты недвижимости, не соответствующие градостроительным нормам_00-022_Август/9621f9ce-01ed-49de-bef0-e413da23b1a5.jpg","open")</f>
        <v/>
      </c>
      <c r="C6371" t="inlineStr">
        <is>
          <t>cbf95b01-f708-45a3-9ec0-3603469b538e</t>
        </is>
      </c>
      <c r="D6371" t="n">
        <v>55.76871</v>
      </c>
      <c r="E6371" t="n">
        <v>37.6678</v>
      </c>
      <c r="F6371" t="inlineStr"/>
      <c r="G6371" t="inlineStr"/>
      <c r="H6371" t="inlineStr"/>
    </row>
    <row r="6372">
      <c r="A6372" t="inlineStr">
        <is>
          <t>b2e0cde2-609a-4bfe-b2dc-5b3152cf9657.jpg</t>
        </is>
      </c>
      <c r="B6372">
        <f>HYPERLINK("Объекты недвижимости, не соответствующие градостроительным нормам_00-022_Август/b2e0cde2-609a-4bfe-b2dc-5b3152cf9657.jpg","open")</f>
        <v/>
      </c>
      <c r="C6372" t="inlineStr">
        <is>
          <t>cbf95b01-f708-45a3-9ec0-3603469b538e</t>
        </is>
      </c>
      <c r="D6372" t="n">
        <v>55.76871</v>
      </c>
      <c r="E6372" t="n">
        <v>37.6678</v>
      </c>
      <c r="F6372" t="inlineStr"/>
      <c r="G6372" t="inlineStr"/>
      <c r="H6372" t="inlineStr"/>
    </row>
    <row r="6373">
      <c r="A6373" t="inlineStr">
        <is>
          <t>b426f632-289b-439d-9b7a-3061e794c4f0.jpg</t>
        </is>
      </c>
      <c r="B6373">
        <f>HYPERLINK("Объекты недвижимости, не соответствующие градостроительным нормам_00-022_Август/b426f632-289b-439d-9b7a-3061e794c4f0.jpg","open")</f>
        <v/>
      </c>
      <c r="C6373" t="inlineStr">
        <is>
          <t>cbf95b01-f708-45a3-9ec0-3603469b538e</t>
        </is>
      </c>
      <c r="D6373" t="n">
        <v>55.7687</v>
      </c>
      <c r="E6373" t="n">
        <v>37.6678</v>
      </c>
      <c r="F6373" t="inlineStr"/>
      <c r="G6373" t="inlineStr"/>
      <c r="H6373" t="inlineStr"/>
    </row>
    <row r="6374">
      <c r="A6374" t="inlineStr">
        <is>
          <t>fd037fd7-1309-4bd6-a5ad-4d7a39533b52.jpg</t>
        </is>
      </c>
      <c r="B6374">
        <f>HYPERLINK("Объекты недвижимости, не соответствующие градостроительным нормам_00-022_Август/fd037fd7-1309-4bd6-a5ad-4d7a39533b52.jpg","open")</f>
        <v/>
      </c>
      <c r="C6374" t="inlineStr">
        <is>
          <t>cbf95b01-f708-45a3-9ec0-3603469b538e</t>
        </is>
      </c>
      <c r="D6374" t="n">
        <v>55.7687</v>
      </c>
      <c r="E6374" t="n">
        <v>37.6678</v>
      </c>
      <c r="F6374" t="inlineStr"/>
      <c r="G6374" t="inlineStr"/>
      <c r="H6374" t="inlineStr"/>
    </row>
    <row r="6375">
      <c r="A6375" t="inlineStr">
        <is>
          <t>440c9e4a-d529-44d1-b682-ff33d1afef1e.jpg</t>
        </is>
      </c>
      <c r="B6375">
        <f>HYPERLINK("Объекты недвижимости, не соответствующие градостроительным нормам_00-022_Август/440c9e4a-d529-44d1-b682-ff33d1afef1e.jpg","open")</f>
        <v/>
      </c>
      <c r="C6375" t="inlineStr">
        <is>
          <t>cbf95b01-f708-45a3-9ec0-3603469b538e</t>
        </is>
      </c>
      <c r="D6375" t="n">
        <v>55.76867</v>
      </c>
      <c r="E6375" t="n">
        <v>37.6678</v>
      </c>
      <c r="F6375" t="inlineStr"/>
      <c r="G6375" t="inlineStr"/>
      <c r="H6375" t="inlineStr"/>
    </row>
    <row r="6376">
      <c r="A6376" t="inlineStr">
        <is>
          <t>49cbb122-16e7-4e0e-9502-c42cc91e820d.jpg</t>
        </is>
      </c>
      <c r="B6376">
        <f>HYPERLINK("Объекты недвижимости, не соответствующие градостроительным нормам_00-022_Август/49cbb122-16e7-4e0e-9502-c42cc91e820d.jpg","open")</f>
        <v/>
      </c>
      <c r="C6376" t="inlineStr">
        <is>
          <t>cbf95b01-f708-45a3-9ec0-3603469b538e</t>
        </is>
      </c>
      <c r="D6376" t="n">
        <v>55.76867</v>
      </c>
      <c r="E6376" t="n">
        <v>37.6678</v>
      </c>
      <c r="F6376" t="inlineStr"/>
      <c r="G6376" t="inlineStr"/>
      <c r="H6376" t="inlineStr"/>
    </row>
    <row r="6377">
      <c r="A6377" t="inlineStr">
        <is>
          <t>a8d27fcc-ffa8-4a49-ae45-8bf8d9de9b0b.jpg</t>
        </is>
      </c>
      <c r="B6377">
        <f>HYPERLINK("Объекты недвижимости, не соответствующие градостроительным нормам_00-022_Август/a8d27fcc-ffa8-4a49-ae45-8bf8d9de9b0b.jpg","open")</f>
        <v/>
      </c>
      <c r="C6377" t="inlineStr">
        <is>
          <t>8cde1fd0-eca1-4510-86ab-3c743b65fdfc</t>
        </is>
      </c>
      <c r="D6377" t="n">
        <v>55.81345</v>
      </c>
      <c r="E6377" t="n">
        <v>37.61998</v>
      </c>
      <c r="F6377" t="inlineStr"/>
      <c r="G6377" t="inlineStr"/>
      <c r="H6377" t="inlineStr"/>
    </row>
    <row r="6378">
      <c r="A6378" t="inlineStr">
        <is>
          <t>a6083449-5e79-4244-9758-b9fcde18bd83.jpg</t>
        </is>
      </c>
      <c r="B6378">
        <f>HYPERLINK("Объекты недвижимости, не соответствующие градостроительным нормам_00-022_Август/a6083449-5e79-4244-9758-b9fcde18bd83.jpg","open")</f>
        <v/>
      </c>
      <c r="C6378" t="inlineStr">
        <is>
          <t>50e4626c-a80e-42ab-b999-b5092c2c063f</t>
        </is>
      </c>
      <c r="D6378" t="n">
        <v>55.96562</v>
      </c>
      <c r="E6378" t="n">
        <v>37.42369</v>
      </c>
      <c r="F6378" t="inlineStr"/>
      <c r="G6378" t="inlineStr"/>
      <c r="H6378" t="inlineStr"/>
    </row>
    <row r="6379">
      <c r="A6379" t="inlineStr">
        <is>
          <t>38ea2472-0a15-4fc1-848e-7580e854acf2.jpg</t>
        </is>
      </c>
      <c r="B6379">
        <f>HYPERLINK("Объекты недвижимости, не соответствующие градостроительным нормам_00-022_Август/38ea2472-0a15-4fc1-848e-7580e854acf2.jpg","open")</f>
        <v/>
      </c>
      <c r="C6379" t="inlineStr">
        <is>
          <t>cbf95b01-f708-45a3-9ec0-3603469b538e</t>
        </is>
      </c>
      <c r="D6379" t="n">
        <v>55.76866</v>
      </c>
      <c r="E6379" t="n">
        <v>37.66779</v>
      </c>
      <c r="F6379" t="inlineStr"/>
      <c r="G6379" t="inlineStr"/>
      <c r="H6379" t="inlineStr"/>
    </row>
    <row r="6380">
      <c r="A6380" t="inlineStr">
        <is>
          <t>b4408b3e-23b2-409c-864c-27b7248ecb4c.jpg</t>
        </is>
      </c>
      <c r="B6380">
        <f>HYPERLINK("Объекты недвижимости, не соответствующие градостроительным нормам_00-022_Август/b4408b3e-23b2-409c-864c-27b7248ecb4c.jpg","open")</f>
        <v/>
      </c>
      <c r="C6380" t="inlineStr">
        <is>
          <t>a1a9db89-3f74-42ef-8fad-ad69705102cd</t>
        </is>
      </c>
      <c r="D6380" t="n">
        <v>55.76867</v>
      </c>
      <c r="E6380" t="n">
        <v>37.6678</v>
      </c>
      <c r="F6380" t="inlineStr"/>
      <c r="G6380" t="inlineStr"/>
      <c r="H6380" t="inlineStr"/>
    </row>
    <row r="6381">
      <c r="A6381" t="inlineStr">
        <is>
          <t>9d741188-5877-4a50-9d37-fcfe984b9a85.jpg</t>
        </is>
      </c>
      <c r="B6381">
        <f>HYPERLINK("Объекты недвижимости, не соответствующие градостроительным нормам_00-022_Август/9d741188-5877-4a50-9d37-fcfe984b9a85.jpg","open")</f>
        <v/>
      </c>
      <c r="C6381" t="inlineStr">
        <is>
          <t>8cde1fd0-eca1-4510-86ab-3c743b65fdfc</t>
        </is>
      </c>
      <c r="D6381" t="n">
        <v>55.81638</v>
      </c>
      <c r="E6381" t="n">
        <v>37.62206</v>
      </c>
      <c r="F6381" t="inlineStr"/>
      <c r="G6381" t="inlineStr"/>
      <c r="H6381" t="inlineStr"/>
    </row>
    <row r="6382">
      <c r="A6382" t="inlineStr">
        <is>
          <t>29de91e3-2a4d-4c83-890a-0994b7fe31cf.jpg</t>
        </is>
      </c>
      <c r="B6382">
        <f>HYPERLINK("Объекты недвижимости, не соответствующие градостроительным нормам_00-022_Август/29de91e3-2a4d-4c83-890a-0994b7fe31cf.jpg","open")</f>
        <v/>
      </c>
      <c r="C6382" t="inlineStr">
        <is>
          <t>cbf95b01-f708-45a3-9ec0-3603469b538e</t>
        </is>
      </c>
      <c r="D6382" t="n">
        <v>55.76793</v>
      </c>
      <c r="E6382" t="n">
        <v>37.65195</v>
      </c>
      <c r="F6382" t="inlineStr"/>
      <c r="G6382" t="inlineStr"/>
      <c r="H6382" t="inlineStr"/>
    </row>
    <row r="6383">
      <c r="A6383" t="inlineStr">
        <is>
          <t>863021c4-1609-49ed-8035-af1da6836eea.jpg</t>
        </is>
      </c>
      <c r="B6383">
        <f>HYPERLINK("Объекты недвижимости, не соответствующие градостроительным нормам_00-022_Август/863021c4-1609-49ed-8035-af1da6836eea.jpg","open")</f>
        <v/>
      </c>
      <c r="C6383" t="inlineStr">
        <is>
          <t>685d9054-b74f-49ab-857b-109fd2cec80d</t>
        </is>
      </c>
      <c r="D6383" t="n">
        <v>55.54835</v>
      </c>
      <c r="E6383" t="n">
        <v>37.54957</v>
      </c>
      <c r="F6383" t="inlineStr"/>
      <c r="G6383" t="inlineStr"/>
      <c r="H6383" t="inlineStr"/>
    </row>
    <row r="6384">
      <c r="A6384" t="inlineStr">
        <is>
          <t>dde646e2-b48b-45fc-b906-74b7a552cf42.jpg</t>
        </is>
      </c>
      <c r="B6384">
        <f>HYPERLINK("Объекты недвижимости, не соответствующие градостроительным нормам_00-022_Август/dde646e2-b48b-45fc-b906-74b7a552cf42.jpg","open")</f>
        <v/>
      </c>
      <c r="C6384" t="inlineStr">
        <is>
          <t>8b2675e2-7f40-47a9-a462-7c9feecd299c</t>
        </is>
      </c>
      <c r="D6384" t="n">
        <v>55.74462</v>
      </c>
      <c r="E6384" t="n">
        <v>37.42236</v>
      </c>
      <c r="F6384" t="inlineStr"/>
      <c r="G6384" t="inlineStr"/>
      <c r="H6384" t="inlineStr"/>
    </row>
    <row r="6385">
      <c r="A6385" t="inlineStr">
        <is>
          <t>b3450da7-6c0b-4375-a220-ecea02309c6a.jpg</t>
        </is>
      </c>
      <c r="B6385">
        <f>HYPERLINK("Объекты недвижимости, не соответствующие градостроительным нормам_00-022_Август/b3450da7-6c0b-4375-a220-ecea02309c6a.jpg","open")</f>
        <v/>
      </c>
      <c r="C6385" t="inlineStr">
        <is>
          <t>685d9054-b74f-49ab-857b-109fd2cec80d</t>
        </is>
      </c>
      <c r="D6385" t="n">
        <v>55.54824</v>
      </c>
      <c r="E6385" t="n">
        <v>37.54958</v>
      </c>
      <c r="F6385" t="inlineStr"/>
      <c r="G6385" t="inlineStr"/>
      <c r="H6385" t="inlineStr"/>
    </row>
    <row r="6386">
      <c r="A6386" t="inlineStr">
        <is>
          <t>2187b28e-e20e-458a-b8db-9104f3f65281.jpg</t>
        </is>
      </c>
      <c r="B6386">
        <f>HYPERLINK("Объекты недвижимости, не соответствующие градостроительным нормам_00-022_Август/2187b28e-e20e-458a-b8db-9104f3f65281.jpg","open")</f>
        <v/>
      </c>
      <c r="C6386" t="inlineStr">
        <is>
          <t>1231bbc5-e64c-4dc7-9acc-77710f47607a</t>
        </is>
      </c>
      <c r="D6386" t="n">
        <v>55.54826</v>
      </c>
      <c r="E6386" t="n">
        <v>37.54959</v>
      </c>
      <c r="F6386" t="inlineStr"/>
      <c r="G6386" t="inlineStr"/>
      <c r="H6386" t="inlineStr"/>
    </row>
    <row r="6387">
      <c r="A6387" t="inlineStr">
        <is>
          <t>66ee8e5d-518e-4b1b-a318-b9bc6765cb71.jpg</t>
        </is>
      </c>
      <c r="B6387">
        <f>HYPERLINK("Объекты недвижимости, не соответствующие градостроительным нормам_00-022_Август/66ee8e5d-518e-4b1b-a318-b9bc6765cb71.jpg","open")</f>
        <v/>
      </c>
      <c r="C6387" t="inlineStr">
        <is>
          <t>cbf95b01-f708-45a3-9ec0-3603469b538e</t>
        </is>
      </c>
      <c r="D6387" t="n">
        <v>55.76793</v>
      </c>
      <c r="E6387" t="n">
        <v>37.65195</v>
      </c>
      <c r="F6387" t="inlineStr"/>
      <c r="G6387" t="inlineStr"/>
      <c r="H6387" t="inlineStr"/>
    </row>
    <row r="6388">
      <c r="A6388" t="inlineStr">
        <is>
          <t>63c3b736-fb8a-49aa-a47c-da11147f7e14.jpg</t>
        </is>
      </c>
      <c r="B6388">
        <f>HYPERLINK("Объекты недвижимости, не соответствующие градостроительным нормам_00-022_Август/63c3b736-fb8a-49aa-a47c-da11147f7e14.jpg","open")</f>
        <v/>
      </c>
      <c r="C6388" t="inlineStr">
        <is>
          <t>4cd87d14-7440-44b7-a5b2-a738e10006f7</t>
        </is>
      </c>
      <c r="D6388" t="n">
        <v>55.78685</v>
      </c>
      <c r="E6388" t="n">
        <v>37.66274</v>
      </c>
      <c r="F6388" t="inlineStr"/>
      <c r="G6388" t="inlineStr"/>
      <c r="H6388" t="inlineStr"/>
    </row>
    <row r="6389">
      <c r="A6389" t="inlineStr">
        <is>
          <t>70589278-71a0-40ae-8dde-8784e0c1a5f5.jpg</t>
        </is>
      </c>
      <c r="B6389">
        <f>HYPERLINK("Объекты недвижимости, не соответствующие градостроительным нормам_00-022_Август/70589278-71a0-40ae-8dde-8784e0c1a5f5.jpg","open")</f>
        <v/>
      </c>
      <c r="C6389" t="inlineStr">
        <is>
          <t>cbf95b01-f708-45a3-9ec0-3603469b538e</t>
        </is>
      </c>
      <c r="D6389" t="n">
        <v>55.76793</v>
      </c>
      <c r="E6389" t="n">
        <v>37.65195</v>
      </c>
      <c r="F6389" t="inlineStr"/>
      <c r="G6389" t="inlineStr"/>
      <c r="H6389" t="inlineStr"/>
    </row>
    <row r="6390">
      <c r="A6390" t="inlineStr">
        <is>
          <t>fbbd459c-3deb-4a16-a16e-4857a01d95ea.jpg</t>
        </is>
      </c>
      <c r="B6390">
        <f>HYPERLINK("Объекты недвижимости, не соответствующие градостроительным нормам_00-022_Август/fbbd459c-3deb-4a16-a16e-4857a01d95ea.jpg","open")</f>
        <v/>
      </c>
      <c r="C6390" t="inlineStr">
        <is>
          <t>cbf95b01-f708-45a3-9ec0-3603469b538e</t>
        </is>
      </c>
      <c r="D6390" t="n">
        <v>55.76793</v>
      </c>
      <c r="E6390" t="n">
        <v>37.65195</v>
      </c>
      <c r="F6390" t="inlineStr"/>
      <c r="G6390" t="inlineStr"/>
      <c r="H6390" t="inlineStr"/>
    </row>
    <row r="6391">
      <c r="A6391" t="inlineStr">
        <is>
          <t>af329c68-0bc2-476b-ac47-c4c04b389a08.jpg</t>
        </is>
      </c>
      <c r="B6391">
        <f>HYPERLINK("Объекты недвижимости, не соответствующие градостроительным нормам_00-022_Август/af329c68-0bc2-476b-ac47-c4c04b389a08.jpg","open")</f>
        <v/>
      </c>
      <c r="C6391" t="inlineStr">
        <is>
          <t>cbf95b01-f708-45a3-9ec0-3603469b538e</t>
        </is>
      </c>
      <c r="D6391" t="n">
        <v>55.76793</v>
      </c>
      <c r="E6391" t="n">
        <v>37.65195</v>
      </c>
      <c r="F6391" t="inlineStr"/>
      <c r="G6391" t="inlineStr"/>
      <c r="H6391" t="inlineStr"/>
    </row>
    <row r="6392">
      <c r="A6392" t="inlineStr">
        <is>
          <t>f4b62f2c-4f6f-4326-a83c-82a4f9f63a0c.jpg</t>
        </is>
      </c>
      <c r="B6392">
        <f>HYPERLINK("Объекты недвижимости, не соответствующие градостроительным нормам_00-022_Август/f4b62f2c-4f6f-4326-a83c-82a4f9f63a0c.jpg","open")</f>
        <v/>
      </c>
      <c r="C6392" t="inlineStr">
        <is>
          <t>caa4772d-6278-4484-a046-ee25514bf521</t>
        </is>
      </c>
      <c r="D6392" t="n">
        <v>55.81453</v>
      </c>
      <c r="E6392" t="n">
        <v>37.84312</v>
      </c>
      <c r="F6392" t="inlineStr"/>
      <c r="G6392" t="inlineStr"/>
      <c r="H6392" t="inlineStr"/>
    </row>
    <row r="6393">
      <c r="A6393" t="inlineStr">
        <is>
          <t>9bcc0b5a-2959-4e45-bd4c-aef9de55e33f.jpg</t>
        </is>
      </c>
      <c r="B6393">
        <f>HYPERLINK("Объекты недвижимости, не соответствующие градостроительным нормам_00-022_Август/9bcc0b5a-2959-4e45-bd4c-aef9de55e33f.jpg","open")</f>
        <v/>
      </c>
      <c r="C6393" t="inlineStr">
        <is>
          <t>1231bbc5-e64c-4dc7-9acc-77710f47607a</t>
        </is>
      </c>
      <c r="D6393" t="n">
        <v>55.54855</v>
      </c>
      <c r="E6393" t="n">
        <v>37.55074</v>
      </c>
      <c r="F6393" t="inlineStr"/>
      <c r="G6393" t="inlineStr"/>
      <c r="H6393" t="inlineStr"/>
    </row>
    <row r="6394">
      <c r="A6394" t="inlineStr">
        <is>
          <t>4ebd6d21-6055-4b46-8fda-dd010f9bcd7b.jpg</t>
        </is>
      </c>
      <c r="B6394">
        <f>HYPERLINK("Объекты недвижимости, не соответствующие градостроительным нормам_00-022_Август/4ebd6d21-6055-4b46-8fda-dd010f9bcd7b.jpg","open")</f>
        <v/>
      </c>
      <c r="C6394" t="inlineStr">
        <is>
          <t>cbf95b01-f708-45a3-9ec0-3603469b538e</t>
        </is>
      </c>
      <c r="D6394" t="n">
        <v>55.76793</v>
      </c>
      <c r="E6394" t="n">
        <v>37.65195</v>
      </c>
      <c r="F6394" t="inlineStr"/>
      <c r="G6394" t="inlineStr"/>
      <c r="H6394" t="inlineStr"/>
    </row>
    <row r="6395">
      <c r="A6395" t="inlineStr">
        <is>
          <t>9d57a3d6-4776-4f37-9ec1-6b745fad7d6f.jpg</t>
        </is>
      </c>
      <c r="B6395">
        <f>HYPERLINK("Объекты недвижимости, не соответствующие градостроительным нормам_00-022_Август/9d57a3d6-4776-4f37-9ec1-6b745fad7d6f.jpg","open")</f>
        <v/>
      </c>
      <c r="C6395" t="inlineStr">
        <is>
          <t>cbf95b01-f708-45a3-9ec0-3603469b538e</t>
        </is>
      </c>
      <c r="D6395" t="n">
        <v>55.76793</v>
      </c>
      <c r="E6395" t="n">
        <v>37.65195</v>
      </c>
      <c r="F6395" t="inlineStr"/>
      <c r="G6395" t="inlineStr"/>
      <c r="H6395" t="inlineStr"/>
    </row>
    <row r="6396">
      <c r="A6396" t="inlineStr">
        <is>
          <t>5ac420b5-a70f-47bd-94df-34f9ee9904a6.jpg</t>
        </is>
      </c>
      <c r="B6396">
        <f>HYPERLINK("Объекты недвижимости, не соответствующие градостроительным нормам_00-022_Август/5ac420b5-a70f-47bd-94df-34f9ee9904a6.jpg","open")</f>
        <v/>
      </c>
      <c r="C6396" t="inlineStr">
        <is>
          <t>cbf95b01-f708-45a3-9ec0-3603469b538e</t>
        </is>
      </c>
      <c r="D6396" t="n">
        <v>55.77297</v>
      </c>
      <c r="E6396" t="n">
        <v>37.63257</v>
      </c>
      <c r="F6396" t="inlineStr"/>
      <c r="G6396" t="inlineStr"/>
      <c r="H6396" t="inlineStr"/>
    </row>
    <row r="6397">
      <c r="A6397" t="inlineStr">
        <is>
          <t>cda40f8c-0ee1-4f44-874c-8d3b52dc2e42.jpg</t>
        </is>
      </c>
      <c r="B6397">
        <f>HYPERLINK("Объекты недвижимости, не соответствующие градостроительным нормам_00-022_Август/cda40f8c-0ee1-4f44-874c-8d3b52dc2e42.jpg","open")</f>
        <v/>
      </c>
      <c r="C6397" t="inlineStr">
        <is>
          <t>cbf95b01-f708-45a3-9ec0-3603469b538e</t>
        </is>
      </c>
      <c r="D6397" t="n">
        <v>55.77372</v>
      </c>
      <c r="E6397" t="n">
        <v>37.63239</v>
      </c>
      <c r="F6397" t="inlineStr"/>
      <c r="G6397" t="inlineStr"/>
      <c r="H6397" t="inlineStr"/>
    </row>
    <row r="6398">
      <c r="A6398" t="inlineStr">
        <is>
          <t>4f2d85f0-45ab-4503-90ae-70c84a904f81.jpg</t>
        </is>
      </c>
      <c r="B6398">
        <f>HYPERLINK("Объекты недвижимости, не соответствующие градостроительным нормам_00-022_Август/4f2d85f0-45ab-4503-90ae-70c84a904f81.jpg","open")</f>
        <v/>
      </c>
      <c r="C6398" t="inlineStr">
        <is>
          <t>cbf95b01-f708-45a3-9ec0-3603469b538e</t>
        </is>
      </c>
      <c r="D6398" t="n">
        <v>55.77303</v>
      </c>
      <c r="E6398" t="n">
        <v>37.63246</v>
      </c>
      <c r="F6398" t="inlineStr"/>
      <c r="G6398" t="inlineStr"/>
      <c r="H6398" t="inlineStr"/>
    </row>
    <row r="6399">
      <c r="A6399" t="inlineStr">
        <is>
          <t>60640adf-e54b-41c2-8681-edd29537c931.jpg</t>
        </is>
      </c>
      <c r="B6399">
        <f>HYPERLINK("Объекты недвижимости, не соответствующие градостроительным нормам_00-022_Август/60640adf-e54b-41c2-8681-edd29537c931.jpg","open")</f>
        <v/>
      </c>
      <c r="C6399" t="inlineStr">
        <is>
          <t>a1a9db89-3f74-42ef-8fad-ad69705102cd</t>
        </is>
      </c>
      <c r="D6399" t="n">
        <v>55.77349</v>
      </c>
      <c r="E6399" t="n">
        <v>37.63243</v>
      </c>
      <c r="F6399" t="inlineStr"/>
      <c r="G6399" t="inlineStr"/>
      <c r="H6399" t="inlineStr"/>
    </row>
    <row r="6400">
      <c r="A6400" t="inlineStr">
        <is>
          <t>80e79f71-3d0c-4cd0-a073-1e868f3f85dd.jpg</t>
        </is>
      </c>
      <c r="B6400">
        <f>HYPERLINK("Объекты недвижимости, не соответствующие градостроительным нормам_00-022_Август/80e79f71-3d0c-4cd0-a073-1e868f3f85dd.jpg","open")</f>
        <v/>
      </c>
      <c r="C6400" t="inlineStr">
        <is>
          <t>cbf95b01-f708-45a3-9ec0-3603469b538e</t>
        </is>
      </c>
      <c r="D6400" t="n">
        <v>55.7753</v>
      </c>
      <c r="E6400" t="n">
        <v>37.63235</v>
      </c>
      <c r="F6400" t="inlineStr"/>
      <c r="G6400" t="inlineStr"/>
      <c r="H6400" t="inlineStr"/>
    </row>
    <row r="6401">
      <c r="A6401" t="inlineStr">
        <is>
          <t>1419d2c3-dac2-45f1-85a7-a1162ef5b79f.jpg</t>
        </is>
      </c>
      <c r="B6401">
        <f>HYPERLINK("Объекты недвижимости, не соответствующие градостроительным нормам_00-022_Август/1419d2c3-dac2-45f1-85a7-a1162ef5b79f.jpg","open")</f>
        <v/>
      </c>
      <c r="C6401" t="inlineStr">
        <is>
          <t>cbf95b01-f708-45a3-9ec0-3603469b538e</t>
        </is>
      </c>
      <c r="D6401" t="n">
        <v>55.77554</v>
      </c>
      <c r="E6401" t="n">
        <v>37.63239</v>
      </c>
      <c r="F6401" t="inlineStr"/>
      <c r="G6401" t="inlineStr"/>
      <c r="H6401" t="inlineStr"/>
    </row>
    <row r="6402">
      <c r="A6402" t="inlineStr">
        <is>
          <t>3555adab-a378-4f5e-ab4b-b3280b05799f.jpg</t>
        </is>
      </c>
      <c r="B6402">
        <f>HYPERLINK("Объекты недвижимости, не соответствующие градостроительным нормам_00-022_Август/3555adab-a378-4f5e-ab4b-b3280b05799f.jpg","open")</f>
        <v/>
      </c>
      <c r="C6402" t="inlineStr">
        <is>
          <t>cbf95b01-f708-45a3-9ec0-3603469b538e</t>
        </is>
      </c>
      <c r="D6402" t="n">
        <v>55.77579</v>
      </c>
      <c r="E6402" t="n">
        <v>37.63244</v>
      </c>
      <c r="F6402" t="inlineStr"/>
      <c r="G6402" t="inlineStr"/>
      <c r="H6402" t="inlineStr"/>
    </row>
    <row r="6403">
      <c r="A6403" t="inlineStr">
        <is>
          <t>3b752685-a8fe-4161-b57f-83b766568a7b.jpg</t>
        </is>
      </c>
      <c r="B6403">
        <f>HYPERLINK("Объекты недвижимости, не соответствующие градостроительным нормам_00-022_Август/3b752685-a8fe-4161-b57f-83b766568a7b.jpg","open")</f>
        <v/>
      </c>
      <c r="C6403" t="inlineStr">
        <is>
          <t>a1a9db89-3f74-42ef-8fad-ad69705102cd</t>
        </is>
      </c>
      <c r="D6403" t="n">
        <v>55.77554</v>
      </c>
      <c r="E6403" t="n">
        <v>37.63239</v>
      </c>
      <c r="F6403" t="inlineStr"/>
      <c r="G6403" t="inlineStr"/>
      <c r="H6403" t="inlineStr"/>
    </row>
    <row r="6404">
      <c r="A6404" t="inlineStr">
        <is>
          <t>2dee891c-479e-4f4f-8d69-73033d915efb.jpg</t>
        </is>
      </c>
      <c r="B6404">
        <f>HYPERLINK("Объекты недвижимости, не соответствующие градостроительным нормам_00-022_Август/2dee891c-479e-4f4f-8d69-73033d915efb.jpg","open")</f>
        <v/>
      </c>
      <c r="C6404" t="inlineStr">
        <is>
          <t>cbf95b01-f708-45a3-9ec0-3603469b538e</t>
        </is>
      </c>
      <c r="D6404" t="n">
        <v>55.77606</v>
      </c>
      <c r="E6404" t="n">
        <v>37.63246</v>
      </c>
      <c r="F6404" t="inlineStr"/>
      <c r="G6404" t="inlineStr"/>
      <c r="H6404" t="inlineStr"/>
    </row>
    <row r="6405">
      <c r="A6405" t="inlineStr">
        <is>
          <t>a84c477b-24ab-4bbb-bfc1-0e1da81578c8.jpg</t>
        </is>
      </c>
      <c r="B6405">
        <f>HYPERLINK("Объекты недвижимости, не соответствующие градостроительным нормам_00-022_Август/a84c477b-24ab-4bbb-bfc1-0e1da81578c8.jpg","open")</f>
        <v/>
      </c>
      <c r="C6405" t="inlineStr">
        <is>
          <t>750bf7e4-0f0f-4f1a-96af-607dc8c1f1c9</t>
        </is>
      </c>
      <c r="D6405" t="n">
        <v>55.80861</v>
      </c>
      <c r="E6405" t="n">
        <v>37.80483</v>
      </c>
      <c r="F6405" t="inlineStr"/>
      <c r="G6405" t="inlineStr"/>
      <c r="H6405" t="inlineStr"/>
    </row>
    <row r="6406">
      <c r="A6406" t="inlineStr">
        <is>
          <t>4bb5674a-ae51-49e1-be94-534790053d0d.jpg</t>
        </is>
      </c>
      <c r="B6406">
        <f>HYPERLINK("Объекты недвижимости, не соответствующие градостроительным нормам_00-022_Август/4bb5674a-ae51-49e1-be94-534790053d0d.jpg","open")</f>
        <v/>
      </c>
      <c r="C6406" t="inlineStr">
        <is>
          <t>1c951e11-4940-43c6-a447-394097e5609a</t>
        </is>
      </c>
      <c r="D6406" t="n">
        <v>55.81843</v>
      </c>
      <c r="E6406" t="n">
        <v>37.63509</v>
      </c>
      <c r="F6406" t="inlineStr"/>
      <c r="G6406" t="inlineStr"/>
      <c r="H6406" t="inlineStr"/>
    </row>
    <row r="6407">
      <c r="A6407" t="inlineStr">
        <is>
          <t>fe39799f-6431-4111-9ac4-4a9e0ea2e930.jpg</t>
        </is>
      </c>
      <c r="B6407">
        <f>HYPERLINK("Объекты недвижимости, не соответствующие градостроительным нормам_00-022_Август/fe39799f-6431-4111-9ac4-4a9e0ea2e930.jpg","open")</f>
        <v/>
      </c>
      <c r="C6407" t="inlineStr">
        <is>
          <t>8cde1fd0-eca1-4510-86ab-3c743b65fdfc</t>
        </is>
      </c>
      <c r="D6407" t="n">
        <v>55.8184</v>
      </c>
      <c r="E6407" t="n">
        <v>37.63493</v>
      </c>
      <c r="F6407" t="inlineStr"/>
      <c r="G6407" t="inlineStr"/>
      <c r="H6407" t="inlineStr"/>
    </row>
    <row r="6408">
      <c r="A6408" t="inlineStr">
        <is>
          <t>dc009ba8-55a5-445e-ad00-a954de3c826b.jpg</t>
        </is>
      </c>
      <c r="B6408">
        <f>HYPERLINK("Объекты недвижимости, не соответствующие градостроительным нормам_00-022_Август/dc009ba8-55a5-445e-ad00-a954de3c826b.jpg","open")</f>
        <v/>
      </c>
      <c r="C6408" t="inlineStr">
        <is>
          <t>12e795ad-2aa7-49de-b2da-2c6aa35a4559</t>
        </is>
      </c>
      <c r="D6408" t="n">
        <v>55.67774</v>
      </c>
      <c r="E6408" t="n">
        <v>37.55822</v>
      </c>
      <c r="F6408" t="inlineStr"/>
      <c r="G6408" t="inlineStr"/>
      <c r="H6408" t="inlineStr"/>
    </row>
    <row r="6409">
      <c r="A6409" t="inlineStr">
        <is>
          <t>74818427-df18-4816-bd51-2f4b181d5c36.jpg</t>
        </is>
      </c>
      <c r="B6409">
        <f>HYPERLINK("Объекты недвижимости, не соответствующие градостроительным нормам_00-022_Август/74818427-df18-4816-bd51-2f4b181d5c36.jpg","open")</f>
        <v/>
      </c>
      <c r="C6409" t="inlineStr">
        <is>
          <t>8cde1fd0-eca1-4510-86ab-3c743b65fdfc</t>
        </is>
      </c>
      <c r="D6409" t="n">
        <v>55.81858</v>
      </c>
      <c r="E6409" t="n">
        <v>37.63142</v>
      </c>
      <c r="F6409" t="inlineStr"/>
      <c r="G6409" t="inlineStr"/>
      <c r="H6409" t="inlineStr"/>
    </row>
    <row r="6410">
      <c r="A6410" t="inlineStr">
        <is>
          <t>5348ace9-beed-4437-9fff-6bdc4ec25abc.jpg</t>
        </is>
      </c>
      <c r="B6410">
        <f>HYPERLINK("Объекты недвижимости, не соответствующие градостроительным нормам_00-022_Август/5348ace9-beed-4437-9fff-6bdc4ec25abc.jpg","open")</f>
        <v/>
      </c>
      <c r="C6410" t="inlineStr">
        <is>
          <t>cbf95b01-f708-45a3-9ec0-3603469b538e</t>
        </is>
      </c>
      <c r="D6410" t="n">
        <v>55.78135</v>
      </c>
      <c r="E6410" t="n">
        <v>37.63372</v>
      </c>
      <c r="F6410" t="inlineStr"/>
      <c r="G6410" t="inlineStr"/>
      <c r="H6410" t="inlineStr"/>
    </row>
    <row r="6411">
      <c r="A6411" t="inlineStr">
        <is>
          <t>47518b2d-2387-40de-bd9c-db71471cfabf.jpg</t>
        </is>
      </c>
      <c r="B6411">
        <f>HYPERLINK("Объекты недвижимости, не соответствующие градостроительным нормам_00-022_Август/47518b2d-2387-40de-bd9c-db71471cfabf.jpg","open")</f>
        <v/>
      </c>
      <c r="C6411" t="inlineStr">
        <is>
          <t>8cde1fd0-eca1-4510-86ab-3c743b65fdfc</t>
        </is>
      </c>
      <c r="D6411" t="n">
        <v>55.81696</v>
      </c>
      <c r="E6411" t="n">
        <v>37.62975</v>
      </c>
      <c r="F6411" t="inlineStr"/>
      <c r="G6411" t="inlineStr"/>
      <c r="H6411" t="inlineStr"/>
    </row>
    <row r="6412">
      <c r="A6412" t="inlineStr">
        <is>
          <t>0c0cea25-ccdd-493d-9fb1-c2b0c6ea3491.jpg</t>
        </is>
      </c>
      <c r="B6412">
        <f>HYPERLINK("Объекты недвижимости, не соответствующие градостроительным нормам_00-022_Август/0c0cea25-ccdd-493d-9fb1-c2b0c6ea3491.jpg","open")</f>
        <v/>
      </c>
      <c r="C6412" t="inlineStr">
        <is>
          <t>1c951e11-4940-43c6-a447-394097e5609a</t>
        </is>
      </c>
      <c r="D6412" t="n">
        <v>55.81706</v>
      </c>
      <c r="E6412" t="n">
        <v>37.6296</v>
      </c>
      <c r="F6412" t="inlineStr"/>
      <c r="G6412" t="inlineStr"/>
      <c r="H6412" t="inlineStr"/>
    </row>
    <row r="6413">
      <c r="A6413" t="inlineStr">
        <is>
          <t>caf6f345-259b-405e-88fa-9c975dc1384f.jpg</t>
        </is>
      </c>
      <c r="B6413">
        <f>HYPERLINK("Объекты недвижимости, не соответствующие градостроительным нормам_00-022_Август/caf6f345-259b-405e-88fa-9c975dc1384f.jpg","open")</f>
        <v/>
      </c>
      <c r="C6413" t="inlineStr">
        <is>
          <t>cbf95b01-f708-45a3-9ec0-3603469b538e</t>
        </is>
      </c>
      <c r="D6413" t="n">
        <v>55.78175</v>
      </c>
      <c r="E6413" t="n">
        <v>37.63499</v>
      </c>
      <c r="F6413" t="inlineStr"/>
      <c r="G6413" t="inlineStr"/>
      <c r="H6413" t="inlineStr"/>
    </row>
    <row r="6414">
      <c r="A6414" t="inlineStr">
        <is>
          <t>4ad55eb8-f090-465f-bd0a-83a7c0daf2fd.jpg</t>
        </is>
      </c>
      <c r="B6414">
        <f>HYPERLINK("Объекты недвижимости, не соответствующие градостроительным нормам_00-022_Август/4ad55eb8-f090-465f-bd0a-83a7c0daf2fd.jpg","open")</f>
        <v/>
      </c>
      <c r="C6414" t="inlineStr">
        <is>
          <t>a1a9db89-3f74-42ef-8fad-ad69705102cd</t>
        </is>
      </c>
      <c r="D6414" t="n">
        <v>55.78175</v>
      </c>
      <c r="E6414" t="n">
        <v>37.63499</v>
      </c>
      <c r="F6414" t="inlineStr"/>
      <c r="G6414" t="inlineStr"/>
      <c r="H6414" t="inlineStr"/>
    </row>
    <row r="6415">
      <c r="A6415" t="inlineStr">
        <is>
          <t>d0d24e5e-27d5-4fc7-a683-c97fadd68bdb.jpg</t>
        </is>
      </c>
      <c r="B6415">
        <f>HYPERLINK("Объекты недвижимости, не соответствующие градостроительным нормам_00-022_Август/d0d24e5e-27d5-4fc7-a683-c97fadd68bdb.jpg","open")</f>
        <v/>
      </c>
      <c r="C6415" t="inlineStr">
        <is>
          <t>cbf95b01-f708-45a3-9ec0-3603469b538e</t>
        </is>
      </c>
      <c r="D6415" t="n">
        <v>55.78291</v>
      </c>
      <c r="E6415" t="n">
        <v>37.6352</v>
      </c>
      <c r="F6415" t="inlineStr"/>
      <c r="G6415" t="inlineStr"/>
      <c r="H6415" t="inlineStr"/>
    </row>
    <row r="6416">
      <c r="A6416" t="inlineStr">
        <is>
          <t>d7662033-f04b-454c-a4b6-c7f59111dfca.jpg</t>
        </is>
      </c>
      <c r="B6416">
        <f>HYPERLINK("Объекты недвижимости, не соответствующие градостроительным нормам_00-022_Август/d7662033-f04b-454c-a4b6-c7f59111dfca.jpg","open")</f>
        <v/>
      </c>
      <c r="C6416" t="inlineStr">
        <is>
          <t>a1a9db89-3f74-42ef-8fad-ad69705102cd</t>
        </is>
      </c>
      <c r="D6416" t="n">
        <v>55.78377</v>
      </c>
      <c r="E6416" t="n">
        <v>37.63535</v>
      </c>
      <c r="F6416" t="inlineStr"/>
      <c r="G6416" t="inlineStr"/>
      <c r="H6416" t="inlineStr"/>
    </row>
    <row r="6417">
      <c r="A6417" t="inlineStr">
        <is>
          <t>57898acb-105d-494b-aad5-583a1563ff7f.jpg</t>
        </is>
      </c>
      <c r="B6417">
        <f>HYPERLINK("Объекты недвижимости, не соответствующие градостроительным нормам_00-022_Август/57898acb-105d-494b-aad5-583a1563ff7f.jpg","open")</f>
        <v/>
      </c>
      <c r="C6417" t="inlineStr">
        <is>
          <t>cbf95b01-f708-45a3-9ec0-3603469b538e</t>
        </is>
      </c>
      <c r="D6417" t="n">
        <v>55.78408</v>
      </c>
      <c r="E6417" t="n">
        <v>37.63537</v>
      </c>
      <c r="F6417" t="inlineStr"/>
      <c r="G6417" t="inlineStr"/>
      <c r="H6417" t="inlineStr"/>
    </row>
    <row r="6418">
      <c r="A6418" t="inlineStr">
        <is>
          <t>93dfaf78-aee2-4ddd-abca-a26522536434.jpg</t>
        </is>
      </c>
      <c r="B6418">
        <f>HYPERLINK("Объекты недвижимости, не соответствующие градостроительным нормам_00-022_Август/93dfaf78-aee2-4ddd-abca-a26522536434.jpg","open")</f>
        <v/>
      </c>
      <c r="C6418" t="inlineStr">
        <is>
          <t>cbf95b01-f708-45a3-9ec0-3603469b538e</t>
        </is>
      </c>
      <c r="D6418" t="n">
        <v>55.78439</v>
      </c>
      <c r="E6418" t="n">
        <v>37.63538</v>
      </c>
      <c r="F6418" t="inlineStr"/>
      <c r="G6418" t="inlineStr"/>
      <c r="H6418" t="inlineStr"/>
    </row>
    <row r="6419">
      <c r="A6419" t="inlineStr">
        <is>
          <t>c7a23268-6068-4f5d-ba9b-db5cd6329b78.jpg</t>
        </is>
      </c>
      <c r="B6419">
        <f>HYPERLINK("Объекты недвижимости, не соответствующие градостроительным нормам_00-022_Август/c7a23268-6068-4f5d-ba9b-db5cd6329b78.jpg","open")</f>
        <v/>
      </c>
      <c r="C6419" t="inlineStr">
        <is>
          <t>a1a9db89-3f74-42ef-8fad-ad69705102cd</t>
        </is>
      </c>
      <c r="D6419" t="n">
        <v>55.78408</v>
      </c>
      <c r="E6419" t="n">
        <v>37.63537</v>
      </c>
      <c r="F6419" t="inlineStr"/>
      <c r="G6419" t="inlineStr"/>
      <c r="H6419" t="inlineStr"/>
    </row>
    <row r="6420">
      <c r="A6420" t="inlineStr">
        <is>
          <t>bcca9983-cfe8-4274-a434-fd1ec50db860.jpg</t>
        </is>
      </c>
      <c r="B6420">
        <f>HYPERLINK("Объекты недвижимости, не соответствующие градостроительным нормам_00-022_Август/bcca9983-cfe8-4274-a434-fd1ec50db860.jpg","open")</f>
        <v/>
      </c>
      <c r="C6420" t="inlineStr">
        <is>
          <t>cbf95b01-f708-45a3-9ec0-3603469b538e</t>
        </is>
      </c>
      <c r="D6420" t="n">
        <v>55.7847</v>
      </c>
      <c r="E6420" t="n">
        <v>37.6354</v>
      </c>
      <c r="F6420" t="inlineStr"/>
      <c r="G6420" t="inlineStr"/>
      <c r="H6420" t="inlineStr"/>
    </row>
    <row r="6421">
      <c r="A6421" t="inlineStr">
        <is>
          <t>d0b3c56c-0c77-40a4-9f3a-790db2b4c19f.jpg</t>
        </is>
      </c>
      <c r="B6421">
        <f>HYPERLINK("Объекты недвижимости, не соответствующие градостроительным нормам_00-022_Август/d0b3c56c-0c77-40a4-9f3a-790db2b4c19f.jpg","open")</f>
        <v/>
      </c>
      <c r="C6421" t="inlineStr">
        <is>
          <t>750bf7e4-0f0f-4f1a-96af-607dc8c1f1c9</t>
        </is>
      </c>
      <c r="D6421" t="n">
        <v>55.80885</v>
      </c>
      <c r="E6421" t="n">
        <v>37.80493</v>
      </c>
      <c r="F6421" t="inlineStr"/>
      <c r="G6421" t="inlineStr"/>
      <c r="H6421" t="inlineStr"/>
    </row>
    <row r="6422">
      <c r="A6422" t="inlineStr">
        <is>
          <t>79e41889-bd19-4966-8d68-9939e546c6f6.jpg</t>
        </is>
      </c>
      <c r="B6422">
        <f>HYPERLINK("Объекты недвижимости, не соответствующие градостроительным нормам_00-022_Август/79e41889-bd19-4966-8d68-9939e546c6f6.jpg","open")</f>
        <v/>
      </c>
      <c r="C6422" t="inlineStr">
        <is>
          <t>cbf95b01-f708-45a3-9ec0-3603469b538e</t>
        </is>
      </c>
      <c r="D6422" t="n">
        <v>55.78619</v>
      </c>
      <c r="E6422" t="n">
        <v>37.63651</v>
      </c>
      <c r="F6422" t="inlineStr"/>
      <c r="G6422" t="inlineStr"/>
      <c r="H6422" t="inlineStr"/>
    </row>
    <row r="6423">
      <c r="A6423" t="inlineStr">
        <is>
          <t>e190e0fc-2a9f-4bce-ac5c-58c6c7dba423.jpg</t>
        </is>
      </c>
      <c r="B6423">
        <f>HYPERLINK("Объекты недвижимости, не соответствующие градостроительным нормам_00-022_Август/e190e0fc-2a9f-4bce-ac5c-58c6c7dba423.jpg","open")</f>
        <v/>
      </c>
      <c r="C6423" t="inlineStr">
        <is>
          <t>cbf95b01-f708-45a3-9ec0-3603469b538e</t>
        </is>
      </c>
      <c r="D6423" t="n">
        <v>55.78629</v>
      </c>
      <c r="E6423" t="n">
        <v>37.63596</v>
      </c>
      <c r="F6423" t="inlineStr"/>
      <c r="G6423" t="inlineStr"/>
      <c r="H6423" t="inlineStr"/>
    </row>
    <row r="6424">
      <c r="A6424" t="inlineStr">
        <is>
          <t>8cb4a1de-a6e1-4fd4-a60e-3743479f059c.jpg</t>
        </is>
      </c>
      <c r="B6424">
        <f>HYPERLINK("Объекты недвижимости, не соответствующие градостроительным нормам_00-022_Август/8cb4a1de-a6e1-4fd4-a60e-3743479f059c.jpg","open")</f>
        <v/>
      </c>
      <c r="C6424" t="inlineStr">
        <is>
          <t>50e4626c-a80e-42ab-b999-b5092c2c063f</t>
        </is>
      </c>
      <c r="D6424" t="n">
        <v>55.97046</v>
      </c>
      <c r="E6424" t="n">
        <v>37.43018</v>
      </c>
      <c r="F6424" t="inlineStr"/>
      <c r="G6424" t="inlineStr"/>
      <c r="H6424" t="inlineStr"/>
    </row>
    <row r="6425">
      <c r="A6425" t="inlineStr">
        <is>
          <t>eace7dab-74af-4a04-883f-c217043a6db2.jpg</t>
        </is>
      </c>
      <c r="B6425">
        <f>HYPERLINK("Объекты недвижимости, не соответствующие градостроительным нормам_00-022_Август/eace7dab-74af-4a04-883f-c217043a6db2.jpg","open")</f>
        <v/>
      </c>
      <c r="C6425" t="inlineStr">
        <is>
          <t>8cde1fd0-eca1-4510-86ab-3c743b65fdfc</t>
        </is>
      </c>
      <c r="D6425" t="n">
        <v>55.82273</v>
      </c>
      <c r="E6425" t="n">
        <v>37.62061</v>
      </c>
      <c r="F6425" t="inlineStr"/>
      <c r="G6425" t="inlineStr"/>
      <c r="H6425" t="inlineStr"/>
    </row>
    <row r="6426">
      <c r="A6426" t="inlineStr">
        <is>
          <t>34f13bd0-553e-44dd-8810-2ec1ca34f7f2.jpg</t>
        </is>
      </c>
      <c r="B6426">
        <f>HYPERLINK("Объекты недвижимости, не соответствующие градостроительным нормам_00-022_Август/34f13bd0-553e-44dd-8810-2ec1ca34f7f2.jpg","open")</f>
        <v/>
      </c>
      <c r="C6426" t="inlineStr">
        <is>
          <t>1c951e11-4940-43c6-a447-394097e5609a</t>
        </is>
      </c>
      <c r="D6426" t="n">
        <v>55.82267</v>
      </c>
      <c r="E6426" t="n">
        <v>37.6207</v>
      </c>
      <c r="F6426" t="inlineStr"/>
      <c r="G6426" t="inlineStr"/>
      <c r="H6426" t="inlineStr"/>
    </row>
    <row r="6427">
      <c r="A6427" t="inlineStr">
        <is>
          <t>3532b67e-0fa0-47e2-b684-4b7b4ed83502.jpg</t>
        </is>
      </c>
      <c r="B6427">
        <f>HYPERLINK("Объекты недвижимости, не соответствующие градостроительным нормам_00-022_Август/3532b67e-0fa0-47e2-b684-4b7b4ed83502.jpg","open")</f>
        <v/>
      </c>
      <c r="C6427" t="inlineStr">
        <is>
          <t>8cde1fd0-eca1-4510-86ab-3c743b65fdfc</t>
        </is>
      </c>
      <c r="D6427" t="n">
        <v>55.82266</v>
      </c>
      <c r="E6427" t="n">
        <v>37.6207</v>
      </c>
      <c r="F6427" t="inlineStr"/>
      <c r="G6427" t="inlineStr"/>
      <c r="H6427" t="inlineStr"/>
    </row>
    <row r="6428">
      <c r="A6428" t="inlineStr">
        <is>
          <t>48dd928a-7033-4263-b469-b03871d777ae.jpg</t>
        </is>
      </c>
      <c r="B6428">
        <f>HYPERLINK("Объекты недвижимости, не соответствующие градостроительным нормам_00-022_Август/48dd928a-7033-4263-b469-b03871d777ae.jpg","open")</f>
        <v/>
      </c>
      <c r="C6428" t="inlineStr">
        <is>
          <t>1c951e11-4940-43c6-a447-394097e5609a</t>
        </is>
      </c>
      <c r="D6428" t="n">
        <v>55.82265</v>
      </c>
      <c r="E6428" t="n">
        <v>37.6207</v>
      </c>
      <c r="F6428" t="inlineStr"/>
      <c r="G6428" t="inlineStr"/>
      <c r="H6428" t="inlineStr"/>
    </row>
    <row r="6429">
      <c r="A6429" t="inlineStr">
        <is>
          <t>f3c9cf9a-c2f4-4a5d-8d51-ab344a921e8d.jpg</t>
        </is>
      </c>
      <c r="B6429">
        <f>HYPERLINK("Объекты недвижимости, не соответствующие градостроительным нормам_00-022_Август/f3c9cf9a-c2f4-4a5d-8d51-ab344a921e8d.jpg","open")</f>
        <v/>
      </c>
      <c r="C6429" t="inlineStr">
        <is>
          <t>1c951e11-4940-43c6-a447-394097e5609a</t>
        </is>
      </c>
      <c r="D6429" t="n">
        <v>55.82267</v>
      </c>
      <c r="E6429" t="n">
        <v>37.62069</v>
      </c>
      <c r="F6429" t="inlineStr"/>
      <c r="G6429" t="inlineStr"/>
      <c r="H6429" t="inlineStr"/>
    </row>
    <row r="6430">
      <c r="A6430" t="inlineStr">
        <is>
          <t>b95e0034-e9a6-4904-8aed-5e4297ab1e2f.jpg</t>
        </is>
      </c>
      <c r="B6430">
        <f>HYPERLINK("Объекты недвижимости, не соответствующие градостроительным нормам_00-022_Август/b95e0034-e9a6-4904-8aed-5e4297ab1e2f.jpg","open")</f>
        <v/>
      </c>
      <c r="C6430" t="inlineStr">
        <is>
          <t>8cde1fd0-eca1-4510-86ab-3c743b65fdfc</t>
        </is>
      </c>
      <c r="D6430" t="n">
        <v>55.82269</v>
      </c>
      <c r="E6430" t="n">
        <v>37.62035</v>
      </c>
      <c r="F6430" t="inlineStr"/>
      <c r="G6430" t="inlineStr"/>
      <c r="H6430" t="inlineStr"/>
    </row>
    <row r="6431">
      <c r="A6431" t="inlineStr">
        <is>
          <t>b6113518-9238-483b-8216-244544014b52.jpg</t>
        </is>
      </c>
      <c r="B6431">
        <f>HYPERLINK("Объекты недвижимости, не соответствующие градостроительным нормам_00-022_Август/b6113518-9238-483b-8216-244544014b52.jpg","open")</f>
        <v/>
      </c>
      <c r="C6431" t="inlineStr">
        <is>
          <t>ffd931da-542f-43e9-979f-5552b17fe3dc</t>
        </is>
      </c>
      <c r="D6431" t="n">
        <v>55.74596</v>
      </c>
      <c r="E6431" t="n">
        <v>37.76216</v>
      </c>
      <c r="F6431" t="inlineStr"/>
      <c r="G6431" t="inlineStr"/>
      <c r="H6431" t="inlineStr"/>
    </row>
    <row r="6432">
      <c r="A6432" t="inlineStr">
        <is>
          <t>8f439080-d8da-40f8-9ca2-f2c051eec858.jpg</t>
        </is>
      </c>
      <c r="B6432">
        <f>HYPERLINK("Объекты недвижимости, не соответствующие градостроительным нормам_00-022_Август/8f439080-d8da-40f8-9ca2-f2c051eec858.jpg","open")</f>
        <v/>
      </c>
      <c r="C6432" t="inlineStr">
        <is>
          <t>12e795ad-2aa7-49de-b2da-2c6aa35a4559</t>
        </is>
      </c>
      <c r="D6432" t="n">
        <v>55.67361</v>
      </c>
      <c r="E6432" t="n">
        <v>37.55538</v>
      </c>
      <c r="F6432" t="inlineStr"/>
      <c r="G6432" t="inlineStr"/>
      <c r="H6432" t="inlineStr"/>
    </row>
    <row r="6433">
      <c r="A6433" t="inlineStr">
        <is>
          <t>4c44d093-9db5-48ff-ac5b-fe031a23a27a.jpg</t>
        </is>
      </c>
      <c r="B6433">
        <f>HYPERLINK("Объекты недвижимости, не соответствующие градостроительным нормам_00-022_Август/4c44d093-9db5-48ff-ac5b-fe031a23a27a.jpg","open")</f>
        <v/>
      </c>
      <c r="C6433" t="inlineStr">
        <is>
          <t>9c930d0e-e445-452d-a046-325646b21ab7</t>
        </is>
      </c>
      <c r="D6433" t="n">
        <v>55.92285</v>
      </c>
      <c r="E6433" t="n">
        <v>37.3896</v>
      </c>
      <c r="F6433" t="inlineStr"/>
      <c r="G6433" t="inlineStr"/>
      <c r="H6433" t="inlineStr"/>
    </row>
    <row r="6434">
      <c r="A6434" t="inlineStr">
        <is>
          <t>ce11b829-d8b4-4815-bdc0-76d00674b199.jpg</t>
        </is>
      </c>
      <c r="B6434">
        <f>HYPERLINK("Объекты недвижимости, не соответствующие градостроительным нормам_00-022_Август/ce11b829-d8b4-4815-bdc0-76d00674b199.jpg","open")</f>
        <v/>
      </c>
      <c r="C6434" t="inlineStr">
        <is>
          <t>9c930d0e-e445-452d-a046-325646b21ab7</t>
        </is>
      </c>
      <c r="D6434" t="n">
        <v>55.92562</v>
      </c>
      <c r="E6434" t="n">
        <v>37.38574</v>
      </c>
      <c r="F6434" t="inlineStr"/>
      <c r="G6434" t="inlineStr"/>
      <c r="H6434" t="inlineStr"/>
    </row>
    <row r="6435">
      <c r="A6435" t="inlineStr">
        <is>
          <t>8f618480-0b48-49a1-aec5-35a54e1221cc.jpg</t>
        </is>
      </c>
      <c r="B6435">
        <f>HYPERLINK("Объекты недвижимости, не соответствующие градостроительным нормам_00-022_Август/8f618480-0b48-49a1-aec5-35a54e1221cc.jpg","open")</f>
        <v/>
      </c>
      <c r="C6435" t="inlineStr">
        <is>
          <t>caa4772d-6278-4484-a046-ee25514bf521</t>
        </is>
      </c>
      <c r="D6435" t="n">
        <v>55.80295</v>
      </c>
      <c r="E6435" t="n">
        <v>37.78499</v>
      </c>
      <c r="F6435" t="inlineStr"/>
      <c r="G6435" t="inlineStr"/>
      <c r="H6435" t="inlineStr"/>
    </row>
    <row r="6436">
      <c r="A6436" t="inlineStr">
        <is>
          <t>16efce33-8152-4fef-9c5e-b50908847523.jpg</t>
        </is>
      </c>
      <c r="B6436">
        <f>HYPERLINK("Объекты недвижимости, не соответствующие градостроительным нормам_00-022_Август/16efce33-8152-4fef-9c5e-b50908847523.jpg","open")</f>
        <v/>
      </c>
      <c r="C6436" t="inlineStr">
        <is>
          <t>b0429a31-0c70-4b9f-8ea5-73929d82f89e</t>
        </is>
      </c>
      <c r="D6436" t="n">
        <v>55.65712</v>
      </c>
      <c r="E6436" t="n">
        <v>37.61123</v>
      </c>
      <c r="F6436" t="inlineStr"/>
      <c r="G6436" t="inlineStr"/>
      <c r="H6436" t="inlineStr"/>
    </row>
    <row r="6437">
      <c r="A6437" t="inlineStr">
        <is>
          <t>a1d8b322-54c9-4fe0-b97b-245acde738ec.jpg</t>
        </is>
      </c>
      <c r="B6437">
        <f>HYPERLINK("Объекты недвижимости, не соответствующие градостроительным нормам_00-022_Август/a1d8b322-54c9-4fe0-b97b-245acde738ec.jpg","open")</f>
        <v/>
      </c>
      <c r="C6437" t="inlineStr">
        <is>
          <t>93848fc8-17e7-4748-9ebc-c7e379e11d2f</t>
        </is>
      </c>
      <c r="D6437" t="n">
        <v>55.76192</v>
      </c>
      <c r="E6437" t="n">
        <v>37.47923</v>
      </c>
      <c r="F6437" t="inlineStr"/>
      <c r="G6437" t="inlineStr"/>
      <c r="H6437" t="inlineStr"/>
    </row>
    <row r="6438">
      <c r="A6438" t="inlineStr">
        <is>
          <t>a2f4acd1-3b79-4450-9b62-c29f42e59126.jpg</t>
        </is>
      </c>
      <c r="B6438">
        <f>HYPERLINK("Объекты недвижимости, не соответствующие градостроительным нормам_00-022_Август/a2f4acd1-3b79-4450-9b62-c29f42e59126.jpg","open")</f>
        <v/>
      </c>
      <c r="C6438" t="inlineStr">
        <is>
          <t>8cde1fd0-eca1-4510-86ab-3c743b65fdfc</t>
        </is>
      </c>
      <c r="D6438" t="n">
        <v>55.81884</v>
      </c>
      <c r="E6438" t="n">
        <v>37.60576</v>
      </c>
      <c r="F6438" t="inlineStr"/>
      <c r="G6438" t="inlineStr"/>
      <c r="H6438" t="inlineStr"/>
    </row>
    <row r="6439">
      <c r="A6439" t="inlineStr">
        <is>
          <t>adedd07d-e173-47df-8f13-f2a5ffa65444.jpg</t>
        </is>
      </c>
      <c r="B6439">
        <f>HYPERLINK("Объекты недвижимости, не соответствующие градостроительным нормам_00-022_Август/adedd07d-e173-47df-8f13-f2a5ffa65444.jpg","open")</f>
        <v/>
      </c>
      <c r="C6439" t="inlineStr">
        <is>
          <t>1c951e11-4940-43c6-a447-394097e5609a</t>
        </is>
      </c>
      <c r="D6439" t="n">
        <v>55.81635</v>
      </c>
      <c r="E6439" t="n">
        <v>37.6061</v>
      </c>
      <c r="F6439" t="inlineStr"/>
      <c r="G6439" t="inlineStr"/>
      <c r="H6439" t="inlineStr"/>
    </row>
    <row r="6440">
      <c r="A6440" t="inlineStr">
        <is>
          <t>12172327-ea26-4c43-a9cd-5a4284c1cd51.jpg</t>
        </is>
      </c>
      <c r="B6440">
        <f>HYPERLINK("Объекты недвижимости, не соответствующие градостроительным нормам_00-022_Август/12172327-ea26-4c43-a9cd-5a4284c1cd51.jpg","open")</f>
        <v/>
      </c>
      <c r="C6440" t="inlineStr">
        <is>
          <t>8cde1fd0-eca1-4510-86ab-3c743b65fdfc</t>
        </is>
      </c>
      <c r="D6440" t="n">
        <v>55.81626</v>
      </c>
      <c r="E6440" t="n">
        <v>37.60624</v>
      </c>
      <c r="F6440" t="inlineStr"/>
      <c r="G6440" t="inlineStr"/>
      <c r="H6440" t="inlineStr"/>
    </row>
    <row r="6441">
      <c r="A6441" t="inlineStr">
        <is>
          <t>4ca46513-5228-420f-9a8e-975d9094014e.jpg</t>
        </is>
      </c>
      <c r="B6441">
        <f>HYPERLINK("Объекты недвижимости, не соответствующие градостроительным нормам_00-022_Август/4ca46513-5228-420f-9a8e-975d9094014e.jpg","open")</f>
        <v/>
      </c>
      <c r="C6441" t="inlineStr">
        <is>
          <t>61936922-4d4b-458e-80ea-6d4c450aa1d5</t>
        </is>
      </c>
      <c r="D6441" t="n">
        <v>55.67311</v>
      </c>
      <c r="E6441" t="n">
        <v>37.47458</v>
      </c>
      <c r="F6441" t="inlineStr"/>
      <c r="G6441" t="inlineStr"/>
      <c r="H6441" t="inlineStr"/>
    </row>
    <row r="6442">
      <c r="A6442" t="inlineStr">
        <is>
          <t>55a4ff7a-5641-4eb8-990e-3ed49cc83678.jpg</t>
        </is>
      </c>
      <c r="B6442">
        <f>HYPERLINK("Объекты недвижимости, не соответствующие градостроительным нормам_00-022_Август/55a4ff7a-5641-4eb8-990e-3ed49cc83678.jpg","open")</f>
        <v/>
      </c>
      <c r="C6442" t="inlineStr">
        <is>
          <t>8cde1fd0-eca1-4510-86ab-3c743b65fdfc</t>
        </is>
      </c>
      <c r="D6442" t="n">
        <v>55.81492</v>
      </c>
      <c r="E6442" t="n">
        <v>37.60842</v>
      </c>
      <c r="F6442" t="inlineStr"/>
      <c r="G6442" t="inlineStr"/>
      <c r="H6442" t="inlineStr"/>
    </row>
    <row r="6443">
      <c r="A6443" t="inlineStr">
        <is>
          <t>37cbc64f-91f9-400c-ba64-b2e13fa50d85.jpg</t>
        </is>
      </c>
      <c r="B6443">
        <f>HYPERLINK("Объекты недвижимости, не соответствующие градостроительным нормам_00-022_Август/37cbc64f-91f9-400c-ba64-b2e13fa50d85.jpg","open")</f>
        <v/>
      </c>
      <c r="C6443" t="inlineStr">
        <is>
          <t>8cde1fd0-eca1-4510-86ab-3c743b65fdfc</t>
        </is>
      </c>
      <c r="D6443" t="n">
        <v>55.81667</v>
      </c>
      <c r="E6443" t="n">
        <v>37.60606</v>
      </c>
      <c r="F6443" t="inlineStr"/>
      <c r="G6443" t="inlineStr"/>
      <c r="H6443" t="inlineStr"/>
    </row>
    <row r="6444">
      <c r="A6444" t="inlineStr">
        <is>
          <t>66977629-af11-4a27-b0c9-a7a4bdaf5c80.jpg</t>
        </is>
      </c>
      <c r="B6444">
        <f>HYPERLINK("Объекты недвижимости, не соответствующие градостроительным нормам_00-022_Август/66977629-af11-4a27-b0c9-a7a4bdaf5c80.jpg","open")</f>
        <v/>
      </c>
      <c r="C6444" t="inlineStr">
        <is>
          <t>8cde1fd0-eca1-4510-86ab-3c743b65fdfc</t>
        </is>
      </c>
      <c r="D6444" t="n">
        <v>55.81687</v>
      </c>
      <c r="E6444" t="n">
        <v>37.60608</v>
      </c>
      <c r="F6444" t="inlineStr"/>
      <c r="G6444" t="inlineStr"/>
      <c r="H6444" t="inlineStr"/>
    </row>
    <row r="6445">
      <c r="A6445" t="inlineStr">
        <is>
          <t>a084acf2-d91d-41b4-bf5f-54428e745f02.jpg</t>
        </is>
      </c>
      <c r="B6445">
        <f>HYPERLINK("Объекты недвижимости, не соответствующие градостроительным нормам_00-022_Август/a084acf2-d91d-41b4-bf5f-54428e745f02.jpg","open")</f>
        <v/>
      </c>
      <c r="C6445" t="inlineStr">
        <is>
          <t>8cde1fd0-eca1-4510-86ab-3c743b65fdfc</t>
        </is>
      </c>
      <c r="D6445" t="n">
        <v>55.81751</v>
      </c>
      <c r="E6445" t="n">
        <v>37.6061</v>
      </c>
      <c r="F6445" t="inlineStr"/>
      <c r="G6445" t="inlineStr"/>
      <c r="H6445" t="inlineStr"/>
    </row>
    <row r="6446">
      <c r="A6446" t="inlineStr">
        <is>
          <t>020acec3-78fc-4bf3-b34a-aa0f00cf9eaf.jpg</t>
        </is>
      </c>
      <c r="B6446">
        <f>HYPERLINK("Объекты недвижимости, не соответствующие градостроительным нормам_00-022_Август/020acec3-78fc-4bf3-b34a-aa0f00cf9eaf.jpg","open")</f>
        <v/>
      </c>
      <c r="C6446" t="inlineStr">
        <is>
          <t>61936922-4d4b-458e-80ea-6d4c450aa1d5</t>
        </is>
      </c>
      <c r="D6446" t="n">
        <v>55.67134</v>
      </c>
      <c r="E6446" t="n">
        <v>37.47669</v>
      </c>
      <c r="F6446" t="inlineStr"/>
      <c r="G6446" t="inlineStr"/>
      <c r="H6446" t="inlineStr"/>
    </row>
    <row r="6447">
      <c r="A6447" t="inlineStr">
        <is>
          <t>238bc44b-bea0-4b03-86c6-5e66886bc9c7.jpg</t>
        </is>
      </c>
      <c r="B6447">
        <f>HYPERLINK("Объекты недвижимости, не соответствующие градостроительным нормам_00-022_Август/238bc44b-bea0-4b03-86c6-5e66886bc9c7.jpg","open")</f>
        <v/>
      </c>
      <c r="C6447" t="inlineStr">
        <is>
          <t>61936922-4d4b-458e-80ea-6d4c450aa1d5</t>
        </is>
      </c>
      <c r="D6447" t="n">
        <v>55.67129</v>
      </c>
      <c r="E6447" t="n">
        <v>37.47674</v>
      </c>
      <c r="F6447" t="inlineStr"/>
      <c r="G6447" t="inlineStr"/>
      <c r="H6447" t="inlineStr"/>
    </row>
    <row r="6448">
      <c r="A6448" t="inlineStr">
        <is>
          <t>8d3aff44-0f87-4f90-9154-78f2a803b1c1.jpg</t>
        </is>
      </c>
      <c r="B6448">
        <f>HYPERLINK("Объекты недвижимости, не соответствующие градостроительным нормам_00-022_Август/8d3aff44-0f87-4f90-9154-78f2a803b1c1.jpg","open")</f>
        <v/>
      </c>
      <c r="C6448" t="inlineStr">
        <is>
          <t>9fb3d110-951f-48da-9d90-cfd7e1b5800d</t>
        </is>
      </c>
      <c r="D6448" t="n">
        <v>55.67142</v>
      </c>
      <c r="E6448" t="n">
        <v>37.47665</v>
      </c>
      <c r="F6448" t="inlineStr"/>
      <c r="G6448" t="inlineStr"/>
      <c r="H6448" t="inlineStr"/>
    </row>
    <row r="6449">
      <c r="A6449" t="inlineStr">
        <is>
          <t>f546068e-e851-43ee-9045-49bbd5660513.jpg</t>
        </is>
      </c>
      <c r="B6449">
        <f>HYPERLINK("Объекты недвижимости, не соответствующие градостроительным нормам_00-022_Август/f546068e-e851-43ee-9045-49bbd5660513.jpg","open")</f>
        <v/>
      </c>
      <c r="C6449" t="inlineStr">
        <is>
          <t>ffd931da-542f-43e9-979f-5552b17fe3dc</t>
        </is>
      </c>
      <c r="D6449" t="n">
        <v>55.74176</v>
      </c>
      <c r="E6449" t="n">
        <v>37.7716</v>
      </c>
      <c r="F6449" t="inlineStr"/>
      <c r="G6449" t="inlineStr"/>
      <c r="H6449" t="inlineStr"/>
    </row>
    <row r="6450">
      <c r="A6450" t="inlineStr">
        <is>
          <t>5cb6b168-07f5-4a15-8d04-af3aa1b4ca9c.jpg</t>
        </is>
      </c>
      <c r="B6450">
        <f>HYPERLINK("Объекты недвижимости, не соответствующие градостроительным нормам_00-022_Август/5cb6b168-07f5-4a15-8d04-af3aa1b4ca9c.jpg","open")</f>
        <v/>
      </c>
      <c r="C6450" t="inlineStr">
        <is>
          <t>31a713a9-b910-424b-b847-e0eaa2f70c70</t>
        </is>
      </c>
      <c r="D6450" t="n">
        <v>55.8089</v>
      </c>
      <c r="E6450" t="n">
        <v>37.81851</v>
      </c>
      <c r="F6450" t="inlineStr"/>
      <c r="G6450" t="inlineStr"/>
      <c r="H6450" t="inlineStr"/>
    </row>
    <row r="6451">
      <c r="A6451" t="inlineStr">
        <is>
          <t>b4fa1ef6-2029-4b14-9df1-2d4bf518136d.jpg</t>
        </is>
      </c>
      <c r="B6451">
        <f>HYPERLINK("Объекты недвижимости, не соответствующие градостроительным нормам_00-022_Август/b4fa1ef6-2029-4b14-9df1-2d4bf518136d.jpg","open")</f>
        <v/>
      </c>
      <c r="C6451" t="inlineStr">
        <is>
          <t>750bf7e4-0f0f-4f1a-96af-607dc8c1f1c9</t>
        </is>
      </c>
      <c r="D6451" t="n">
        <v>55.80536</v>
      </c>
      <c r="E6451" t="n">
        <v>37.81853</v>
      </c>
      <c r="F6451" t="inlineStr"/>
      <c r="G6451" t="inlineStr"/>
      <c r="H6451" t="inlineStr"/>
    </row>
    <row r="6452">
      <c r="A6452" t="inlineStr">
        <is>
          <t>937dd8df-c9ea-420a-84c7-4e571c600afd.jpg</t>
        </is>
      </c>
      <c r="B6452">
        <f>HYPERLINK("Объекты недвижимости, не соответствующие градостроительным нормам_00-022_Август/937dd8df-c9ea-420a-84c7-4e571c600afd.jpg","open")</f>
        <v/>
      </c>
      <c r="C6452" t="inlineStr">
        <is>
          <t>99f3abba-c55b-49f0-9de5-9f88e9597cc0</t>
        </is>
      </c>
      <c r="D6452" t="n">
        <v>55.6437</v>
      </c>
      <c r="E6452" t="n">
        <v>37.61262</v>
      </c>
      <c r="F6452" t="inlineStr"/>
      <c r="G6452" t="inlineStr"/>
      <c r="H6452" t="inlineStr"/>
    </row>
    <row r="6453">
      <c r="A6453" t="inlineStr">
        <is>
          <t>81462835-3281-42ad-9c71-68db4c5fa247.jpg</t>
        </is>
      </c>
      <c r="B6453">
        <f>HYPERLINK("Объекты недвижимости, не соответствующие градостроительным нормам_00-022_Август/81462835-3281-42ad-9c71-68db4c5fa247.jpg","open")</f>
        <v/>
      </c>
      <c r="C6453" t="inlineStr">
        <is>
          <t>b0429a31-0c70-4b9f-8ea5-73929d82f89e</t>
        </is>
      </c>
      <c r="D6453" t="n">
        <v>55.64359</v>
      </c>
      <c r="E6453" t="n">
        <v>37.61274</v>
      </c>
      <c r="F6453" t="inlineStr"/>
      <c r="G6453" t="inlineStr"/>
      <c r="H6453" t="inlineStr"/>
    </row>
    <row r="6454">
      <c r="A6454" t="inlineStr">
        <is>
          <t>3d99de9c-23d4-4d8f-8063-46d9fc9c24e5.jpg</t>
        </is>
      </c>
      <c r="B6454">
        <f>HYPERLINK("Объекты недвижимости, не соответствующие градостроительным нормам_00-022_Август/3d99de9c-23d4-4d8f-8063-46d9fc9c24e5.jpg","open")</f>
        <v/>
      </c>
      <c r="C6454" t="inlineStr">
        <is>
          <t>b0429a31-0c70-4b9f-8ea5-73929d82f89e</t>
        </is>
      </c>
      <c r="D6454" t="n">
        <v>55.64352</v>
      </c>
      <c r="E6454" t="n">
        <v>37.61361</v>
      </c>
      <c r="F6454" t="inlineStr"/>
      <c r="G6454" t="inlineStr"/>
      <c r="H6454" t="inlineStr"/>
    </row>
    <row r="6455">
      <c r="A6455" t="inlineStr">
        <is>
          <t>62fcbdd3-77db-42a9-bcfc-9b90d79748ac.jpg</t>
        </is>
      </c>
      <c r="B6455">
        <f>HYPERLINK("Объекты недвижимости, не соответствующие градостроительным нормам_00-022_Август/62fcbdd3-77db-42a9-bcfc-9b90d79748ac.jpg","open")</f>
        <v/>
      </c>
      <c r="C6455" t="inlineStr">
        <is>
          <t>48b533d5-d106-4175-ac9b-d5ce8d90cccf</t>
        </is>
      </c>
      <c r="D6455" t="n">
        <v>55.67271</v>
      </c>
      <c r="E6455" t="n">
        <v>37.60719</v>
      </c>
      <c r="F6455" t="inlineStr"/>
      <c r="G6455" t="inlineStr"/>
      <c r="H6455" t="inlineStr"/>
    </row>
    <row r="6456">
      <c r="A6456" t="inlineStr">
        <is>
          <t>dda19b60-8e77-46c3-839c-795e53787951.jpg</t>
        </is>
      </c>
      <c r="B6456">
        <f>HYPERLINK("Объекты недвижимости, не соответствующие градостроительным нормам_00-022_Август/dda19b60-8e77-46c3-839c-795e53787951.jpg","open")</f>
        <v/>
      </c>
      <c r="C6456" t="inlineStr">
        <is>
          <t>b0429a31-0c70-4b9f-8ea5-73929d82f89e</t>
        </is>
      </c>
      <c r="D6456" t="n">
        <v>55.64445</v>
      </c>
      <c r="E6456" t="n">
        <v>37.61737</v>
      </c>
      <c r="F6456" t="inlineStr"/>
      <c r="G6456" t="inlineStr"/>
      <c r="H6456" t="inlineStr"/>
    </row>
    <row r="6457">
      <c r="A6457" t="inlineStr">
        <is>
          <t>b3086842-8fa1-4b23-a7a9-5364e5049cd3.jpg</t>
        </is>
      </c>
      <c r="B6457">
        <f>HYPERLINK("Объекты недвижимости, не соответствующие градостроительным нормам_00-022_Август/b3086842-8fa1-4b23-a7a9-5364e5049cd3.jpg","open")</f>
        <v/>
      </c>
      <c r="C6457" t="inlineStr">
        <is>
          <t>cbf95b01-f708-45a3-9ec0-3603469b538e</t>
        </is>
      </c>
      <c r="D6457" t="n">
        <v>55.77669</v>
      </c>
      <c r="E6457" t="n">
        <v>37.6317</v>
      </c>
      <c r="F6457" t="inlineStr"/>
      <c r="G6457" t="inlineStr"/>
      <c r="H6457" t="inlineStr"/>
    </row>
    <row r="6458">
      <c r="A6458" t="inlineStr">
        <is>
          <t>6bec5e80-30ec-4588-a3dc-6968d506c08c.jpg</t>
        </is>
      </c>
      <c r="B6458">
        <f>HYPERLINK("Объекты недвижимости, не соответствующие градостроительным нормам_00-022_Август/6bec5e80-30ec-4588-a3dc-6968d506c08c.jpg","open")</f>
        <v/>
      </c>
      <c r="C6458" t="inlineStr">
        <is>
          <t>cbf95b01-f708-45a3-9ec0-3603469b538e</t>
        </is>
      </c>
      <c r="D6458" t="n">
        <v>55.77584</v>
      </c>
      <c r="E6458" t="n">
        <v>37.63211</v>
      </c>
      <c r="F6458" t="inlineStr"/>
      <c r="G6458" t="inlineStr"/>
      <c r="H6458" t="inlineStr"/>
    </row>
    <row r="6459">
      <c r="A6459" t="inlineStr">
        <is>
          <t>aa6cbc60-fab3-409f-a903-3f4476523602.jpg</t>
        </is>
      </c>
      <c r="B6459">
        <f>HYPERLINK("Объекты недвижимости, не соответствующие градостроительным нормам_00-022_Август/aa6cbc60-fab3-409f-a903-3f4476523602.jpg","open")</f>
        <v/>
      </c>
      <c r="C6459" t="inlineStr">
        <is>
          <t>cbf95b01-f708-45a3-9ec0-3603469b538e</t>
        </is>
      </c>
      <c r="D6459" t="n">
        <v>55.77579</v>
      </c>
      <c r="E6459" t="n">
        <v>37.6321</v>
      </c>
      <c r="F6459" t="inlineStr"/>
      <c r="G6459" t="inlineStr"/>
      <c r="H6459" t="inlineStr"/>
    </row>
    <row r="6460">
      <c r="A6460" t="inlineStr">
        <is>
          <t>04daaa55-dca9-4065-a817-dcc96c742861.jpg</t>
        </is>
      </c>
      <c r="B6460">
        <f>HYPERLINK("Объекты недвижимости, не соответствующие градостроительным нормам_00-022_Август/04daaa55-dca9-4065-a817-dcc96c742861.jpg","open")</f>
        <v/>
      </c>
      <c r="C6460" t="inlineStr">
        <is>
          <t>61936922-4d4b-458e-80ea-6d4c450aa1d5</t>
        </is>
      </c>
      <c r="D6460" t="n">
        <v>55.66766</v>
      </c>
      <c r="E6460" t="n">
        <v>37.47061</v>
      </c>
      <c r="F6460" t="inlineStr"/>
      <c r="G6460" t="inlineStr"/>
      <c r="H6460" t="inlineStr"/>
    </row>
    <row r="6461">
      <c r="A6461" t="inlineStr">
        <is>
          <t>120327ce-351d-4db7-88ea-05ec58a25ddf.jpg</t>
        </is>
      </c>
      <c r="B6461">
        <f>HYPERLINK("Объекты недвижимости, не соответствующие градостроительным нормам_00-022_Август/120327ce-351d-4db7-88ea-05ec58a25ddf.jpg","open")</f>
        <v/>
      </c>
      <c r="C6461" t="inlineStr">
        <is>
          <t>cbf95b01-f708-45a3-9ec0-3603469b538e</t>
        </is>
      </c>
      <c r="D6461" t="n">
        <v>55.77577</v>
      </c>
      <c r="E6461" t="n">
        <v>37.63207</v>
      </c>
      <c r="F6461" t="inlineStr"/>
      <c r="G6461" t="inlineStr"/>
      <c r="H6461" t="inlineStr"/>
    </row>
    <row r="6462">
      <c r="A6462" t="inlineStr">
        <is>
          <t>6d4bdca0-eda3-46b0-92bd-5e623fb0f56e.jpg</t>
        </is>
      </c>
      <c r="B6462">
        <f>HYPERLINK("Объекты недвижимости, не соответствующие градостроительным нормам_00-022_Август/6d4bdca0-eda3-46b0-92bd-5e623fb0f56e.jpg","open")</f>
        <v/>
      </c>
      <c r="C6462" t="inlineStr">
        <is>
          <t>cbf95b01-f708-45a3-9ec0-3603469b538e</t>
        </is>
      </c>
      <c r="D6462" t="n">
        <v>55.77577</v>
      </c>
      <c r="E6462" t="n">
        <v>37.63205</v>
      </c>
      <c r="F6462" t="inlineStr"/>
      <c r="G6462" t="inlineStr"/>
      <c r="H6462" t="inlineStr"/>
    </row>
    <row r="6463">
      <c r="A6463" t="inlineStr">
        <is>
          <t>74f4fca0-393c-4696-b935-d05ef624009e.jpg</t>
        </is>
      </c>
      <c r="B6463">
        <f>HYPERLINK("Объекты недвижимости, не соответствующие градостроительным нормам_00-022_Август/74f4fca0-393c-4696-b935-d05ef624009e.jpg","open")</f>
        <v/>
      </c>
      <c r="C6463" t="inlineStr">
        <is>
          <t>cbf95b01-f708-45a3-9ec0-3603469b538e</t>
        </is>
      </c>
      <c r="D6463" t="n">
        <v>55.77577</v>
      </c>
      <c r="E6463" t="n">
        <v>37.63204</v>
      </c>
      <c r="F6463" t="inlineStr"/>
      <c r="G6463" t="inlineStr"/>
      <c r="H6463" t="inlineStr"/>
    </row>
    <row r="6464">
      <c r="A6464" t="inlineStr">
        <is>
          <t>d7491c66-a7a2-42ad-a8b2-a1bd683432d9.jpg</t>
        </is>
      </c>
      <c r="B6464">
        <f>HYPERLINK("Объекты недвижимости, не соответствующие градостроительным нормам_00-022_Август/d7491c66-a7a2-42ad-a8b2-a1bd683432d9.jpg","open")</f>
        <v/>
      </c>
      <c r="C6464" t="inlineStr">
        <is>
          <t>cbf95b01-f708-45a3-9ec0-3603469b538e</t>
        </is>
      </c>
      <c r="D6464" t="n">
        <v>55.77577</v>
      </c>
      <c r="E6464" t="n">
        <v>37.63202</v>
      </c>
      <c r="F6464" t="inlineStr"/>
      <c r="G6464" t="inlineStr"/>
      <c r="H6464" t="inlineStr"/>
    </row>
    <row r="6465">
      <c r="A6465" t="inlineStr">
        <is>
          <t>13fe357e-b352-4623-944e-598ff490811c.jpg</t>
        </is>
      </c>
      <c r="B6465">
        <f>HYPERLINK("Объекты недвижимости, не соответствующие градостроительным нормам_00-022_Август/13fe357e-b352-4623-944e-598ff490811c.jpg","open")</f>
        <v/>
      </c>
      <c r="C6465" t="inlineStr">
        <is>
          <t>6e2567a0-1fb9-40d5-a0e7-0adb480d2965</t>
        </is>
      </c>
      <c r="D6465" t="n">
        <v>55.78225</v>
      </c>
      <c r="E6465" t="n">
        <v>37.67161</v>
      </c>
      <c r="F6465" t="inlineStr"/>
      <c r="G6465" t="inlineStr"/>
      <c r="H6465" t="inlineStr"/>
    </row>
    <row r="6466">
      <c r="A6466" t="inlineStr">
        <is>
          <t>2ec1db83-7fe9-459d-9af0-559d1ff06fb6.jpg</t>
        </is>
      </c>
      <c r="B6466">
        <f>HYPERLINK("Объекты недвижимости, не соответствующие градостроительным нормам_00-022_Август/2ec1db83-7fe9-459d-9af0-559d1ff06fb6.jpg","open")</f>
        <v/>
      </c>
      <c r="C6466" t="inlineStr">
        <is>
          <t>9fb3d110-951f-48da-9d90-cfd7e1b5800d</t>
        </is>
      </c>
      <c r="D6466" t="n">
        <v>55.66721</v>
      </c>
      <c r="E6466" t="n">
        <v>37.46875</v>
      </c>
      <c r="F6466" t="inlineStr"/>
      <c r="G6466" t="inlineStr"/>
      <c r="H6466" t="inlineStr"/>
    </row>
    <row r="6467">
      <c r="A6467" t="inlineStr">
        <is>
          <t>c72615da-554a-4c09-b14e-4ddc7cedc315.jpg</t>
        </is>
      </c>
      <c r="B6467">
        <f>HYPERLINK("Объекты недвижимости, не соответствующие градостроительным нормам_00-022_Август/c72615da-554a-4c09-b14e-4ddc7cedc315.jpg","open")</f>
        <v/>
      </c>
      <c r="C6467" t="inlineStr">
        <is>
          <t>6e2567a0-1fb9-40d5-a0e7-0adb480d2965</t>
        </is>
      </c>
      <c r="D6467" t="n">
        <v>55.78225</v>
      </c>
      <c r="E6467" t="n">
        <v>37.67161</v>
      </c>
      <c r="F6467" t="inlineStr"/>
      <c r="G6467" t="inlineStr"/>
      <c r="H6467" t="inlineStr"/>
    </row>
    <row r="6468">
      <c r="A6468" t="inlineStr">
        <is>
          <t>e671cec6-a117-4bb7-838f-43f6dd298d87.jpg</t>
        </is>
      </c>
      <c r="B6468">
        <f>HYPERLINK("Объекты недвижимости, не соответствующие градостроительным нормам_00-022_Август/e671cec6-a117-4bb7-838f-43f6dd298d87.jpg","open")</f>
        <v/>
      </c>
      <c r="C6468" t="inlineStr">
        <is>
          <t>030e8755-17c1-44eb-9530-707d0d3121cb</t>
        </is>
      </c>
      <c r="D6468" t="n">
        <v>55.67751</v>
      </c>
      <c r="E6468" t="n">
        <v>37.6676</v>
      </c>
      <c r="F6468" t="inlineStr"/>
      <c r="G6468" t="inlineStr"/>
      <c r="H6468" t="inlineStr"/>
    </row>
    <row r="6469">
      <c r="A6469" t="inlineStr">
        <is>
          <t>c0caeb0f-3149-4b27-bb65-9ba5c2348f64.jpg</t>
        </is>
      </c>
      <c r="B6469">
        <f>HYPERLINK("Объекты недвижимости, не соответствующие градостроительным нормам_00-022_Август/c0caeb0f-3149-4b27-bb65-9ba5c2348f64.jpg","open")</f>
        <v/>
      </c>
      <c r="C6469" t="inlineStr">
        <is>
          <t>936502dd-24a4-4256-9fdf-0d8fb72af3ed</t>
        </is>
      </c>
      <c r="D6469" t="n">
        <v>55.67751</v>
      </c>
      <c r="E6469" t="n">
        <v>37.6676</v>
      </c>
      <c r="F6469" t="inlineStr"/>
      <c r="G6469" t="inlineStr"/>
      <c r="H6469" t="inlineStr"/>
    </row>
    <row r="6470">
      <c r="A6470" t="inlineStr">
        <is>
          <t>8c644f27-1d59-4e3c-bea1-c77ad8cf07cf.jpg</t>
        </is>
      </c>
      <c r="B6470">
        <f>HYPERLINK("Объекты недвижимости, не соответствующие градостроительным нормам_00-022_Август/8c644f27-1d59-4e3c-bea1-c77ad8cf07cf.jpg","open")</f>
        <v/>
      </c>
      <c r="C6470" t="inlineStr">
        <is>
          <t>936502dd-24a4-4256-9fdf-0d8fb72af3ed</t>
        </is>
      </c>
      <c r="D6470" t="n">
        <v>55.67542</v>
      </c>
      <c r="E6470" t="n">
        <v>37.66619</v>
      </c>
      <c r="F6470" t="inlineStr"/>
      <c r="G6470" t="inlineStr"/>
      <c r="H6470" t="inlineStr"/>
    </row>
    <row r="6471">
      <c r="A6471" t="inlineStr">
        <is>
          <t>110477c7-45e3-4dd9-9e7a-29a9d1541c94.jpg</t>
        </is>
      </c>
      <c r="B6471">
        <f>HYPERLINK("Объекты недвижимости, не соответствующие градостроительным нормам_00-022_Август/110477c7-45e3-4dd9-9e7a-29a9d1541c94.jpg","open")</f>
        <v/>
      </c>
      <c r="C6471" t="inlineStr">
        <is>
          <t>1231bbc5-e64c-4dc7-9acc-77710f47607a</t>
        </is>
      </c>
      <c r="D6471" t="n">
        <v>55.55087</v>
      </c>
      <c r="E6471" t="n">
        <v>37.53803</v>
      </c>
      <c r="F6471" t="inlineStr"/>
      <c r="G6471" t="inlineStr"/>
      <c r="H6471" t="inlineStr"/>
    </row>
    <row r="6472">
      <c r="A6472" t="inlineStr">
        <is>
          <t>1331666b-e541-4c97-a281-1eeba8027886.jpg</t>
        </is>
      </c>
      <c r="B6472">
        <f>HYPERLINK("Объекты недвижимости, не соответствующие градостроительным нормам_00-022_Август/1331666b-e541-4c97-a281-1eeba8027886.jpg","open")</f>
        <v/>
      </c>
      <c r="C6472" t="inlineStr">
        <is>
          <t>b0429a31-0c70-4b9f-8ea5-73929d82f89e</t>
        </is>
      </c>
      <c r="D6472" t="n">
        <v>55.6422</v>
      </c>
      <c r="E6472" t="n">
        <v>37.61735</v>
      </c>
      <c r="F6472" t="inlineStr"/>
      <c r="G6472" t="inlineStr"/>
      <c r="H6472" t="inlineStr"/>
    </row>
    <row r="6473">
      <c r="A6473" t="inlineStr">
        <is>
          <t>b96d8376-722a-4780-ba27-1d0b5957b843.jpg</t>
        </is>
      </c>
      <c r="B6473">
        <f>HYPERLINK("Объекты недвижимости, не соответствующие градостроительным нормам_00-022_Август/b96d8376-722a-4780-ba27-1d0b5957b843.jpg","open")</f>
        <v/>
      </c>
      <c r="C6473" t="inlineStr">
        <is>
          <t>6e2567a0-1fb9-40d5-a0e7-0adb480d2965</t>
        </is>
      </c>
      <c r="D6473" t="n">
        <v>55.57599</v>
      </c>
      <c r="E6473" t="n">
        <v>37.52589</v>
      </c>
      <c r="F6473" t="inlineStr"/>
      <c r="G6473" t="inlineStr"/>
      <c r="H6473" t="inlineStr"/>
    </row>
    <row r="6474">
      <c r="A6474" t="inlineStr">
        <is>
          <t>ebc9d75f-78a5-44dd-b953-3e9b55092b56.jpg</t>
        </is>
      </c>
      <c r="B6474">
        <f>HYPERLINK("Объекты недвижимости, не соответствующие градостроительным нормам_00-022_Август/ebc9d75f-78a5-44dd-b953-3e9b55092b56.jpg","open")</f>
        <v/>
      </c>
      <c r="C6474" t="inlineStr">
        <is>
          <t>b0429a31-0c70-4b9f-8ea5-73929d82f89e</t>
        </is>
      </c>
      <c r="D6474" t="n">
        <v>55.64208</v>
      </c>
      <c r="E6474" t="n">
        <v>37.61733</v>
      </c>
      <c r="F6474" t="inlineStr"/>
      <c r="G6474" t="inlineStr"/>
      <c r="H6474" t="inlineStr"/>
    </row>
    <row r="6475">
      <c r="A6475" t="inlineStr">
        <is>
          <t>08fd2912-a19c-49ec-83d5-bee4b1ed1fbc.jpg</t>
        </is>
      </c>
      <c r="B6475">
        <f>HYPERLINK("Объекты недвижимости, не соответствующие градостроительным нормам_00-022_Август/08fd2912-a19c-49ec-83d5-bee4b1ed1fbc.jpg","open")</f>
        <v/>
      </c>
      <c r="C6475" t="inlineStr">
        <is>
          <t>5adecbcf-6742-48b8-951f-8e3abc9509e4</t>
        </is>
      </c>
      <c r="D6475" t="n">
        <v>55.57456</v>
      </c>
      <c r="E6475" t="n">
        <v>37.57745</v>
      </c>
      <c r="F6475" t="inlineStr"/>
      <c r="G6475" t="inlineStr"/>
      <c r="H6475" t="inlineStr"/>
    </row>
    <row r="6476">
      <c r="A6476" t="inlineStr">
        <is>
          <t>3e5e6f87-e534-4e3f-b318-95034dbcef5f.jpg</t>
        </is>
      </c>
      <c r="B6476">
        <f>HYPERLINK("Объекты недвижимости, не соответствующие градостроительным нормам_00-022_Август/3e5e6f87-e534-4e3f-b318-95034dbcef5f.jpg","open")</f>
        <v/>
      </c>
      <c r="C6476" t="inlineStr">
        <is>
          <t>5e5b9944-4f9e-4223-bf96-0bc0c8a93dfa</t>
        </is>
      </c>
      <c r="D6476" t="n">
        <v>55.5746</v>
      </c>
      <c r="E6476" t="n">
        <v>37.57748</v>
      </c>
      <c r="F6476" t="inlineStr"/>
      <c r="G6476" t="inlineStr"/>
      <c r="H6476" t="inlineStr"/>
    </row>
    <row r="6477">
      <c r="A6477" t="inlineStr">
        <is>
          <t>2fd9625a-7a17-4633-954c-e07bca4b9fa6.jpg</t>
        </is>
      </c>
      <c r="B6477">
        <f>HYPERLINK("Объекты недвижимости, не соответствующие градостроительным нормам_00-022_Август/2fd9625a-7a17-4633-954c-e07bca4b9fa6.jpg","open")</f>
        <v/>
      </c>
      <c r="C6477" t="inlineStr">
        <is>
          <t>1231bbc5-e64c-4dc7-9acc-77710f47607a</t>
        </is>
      </c>
      <c r="D6477" t="n">
        <v>55.54944</v>
      </c>
      <c r="E6477" t="n">
        <v>37.53915</v>
      </c>
      <c r="F6477" t="inlineStr"/>
      <c r="G6477" t="inlineStr"/>
      <c r="H6477" t="inlineStr"/>
    </row>
    <row r="6478">
      <c r="A6478" t="inlineStr">
        <is>
          <t>fc44ca10-6f4e-40e2-9ccb-9d8aa8d8f8f2.jpg</t>
        </is>
      </c>
      <c r="B6478">
        <f>HYPERLINK("Объекты недвижимости, не соответствующие градостроительным нормам_00-022_Август/fc44ca10-6f4e-40e2-9ccb-9d8aa8d8f8f2.jpg","open")</f>
        <v/>
      </c>
      <c r="C6478" t="inlineStr">
        <is>
          <t>685d9054-b74f-49ab-857b-109fd2cec80d</t>
        </is>
      </c>
      <c r="D6478" t="n">
        <v>55.54953</v>
      </c>
      <c r="E6478" t="n">
        <v>37.53902</v>
      </c>
      <c r="F6478" t="inlineStr"/>
      <c r="G6478" t="inlineStr"/>
      <c r="H6478" t="inlineStr"/>
    </row>
    <row r="6479">
      <c r="A6479" t="inlineStr">
        <is>
          <t>471e55c8-8529-4595-b30b-6765ffde344a.jpg</t>
        </is>
      </c>
      <c r="B6479">
        <f>HYPERLINK("Объекты недвижимости, не соответствующие градостроительным нормам_00-022_Август/471e55c8-8529-4595-b30b-6765ffde344a.jpg","open")</f>
        <v/>
      </c>
      <c r="C6479" t="inlineStr">
        <is>
          <t>ed2bf0f1-3a66-4913-896e-4420a9796c0b</t>
        </is>
      </c>
      <c r="D6479" t="n">
        <v>55.73085</v>
      </c>
      <c r="E6479" t="n">
        <v>37.70974</v>
      </c>
      <c r="F6479" t="inlineStr"/>
      <c r="G6479" t="inlineStr"/>
      <c r="H6479" t="inlineStr"/>
    </row>
    <row r="6480">
      <c r="A6480" t="inlineStr">
        <is>
          <t>056e3649-cb43-4e88-a438-57f4c9af0981.jpg</t>
        </is>
      </c>
      <c r="B6480">
        <f>HYPERLINK("Объекты недвижимости, не соответствующие градостроительным нормам_00-022_Август/056e3649-cb43-4e88-a438-57f4c9af0981.jpg","open")</f>
        <v/>
      </c>
      <c r="C6480" t="inlineStr">
        <is>
          <t>99f3abba-c55b-49f0-9de5-9f88e9597cc0</t>
        </is>
      </c>
      <c r="D6480" t="n">
        <v>55.64371</v>
      </c>
      <c r="E6480" t="n">
        <v>37.61256</v>
      </c>
      <c r="F6480" t="inlineStr"/>
      <c r="G6480" t="inlineStr"/>
      <c r="H6480" t="inlineStr"/>
    </row>
    <row r="6481">
      <c r="A6481" t="inlineStr">
        <is>
          <t>356d6da9-eb90-4cba-8ad0-da02561f1648.jpg</t>
        </is>
      </c>
      <c r="B6481">
        <f>HYPERLINK("Объекты недвижимости, не соответствующие градостроительным нормам_00-022_Август/356d6da9-eb90-4cba-8ad0-da02561f1648.jpg","open")</f>
        <v/>
      </c>
      <c r="C6481" t="inlineStr">
        <is>
          <t>b0429a31-0c70-4b9f-8ea5-73929d82f89e</t>
        </is>
      </c>
      <c r="D6481" t="n">
        <v>55.64353</v>
      </c>
      <c r="E6481" t="n">
        <v>37.61272</v>
      </c>
      <c r="F6481" t="inlineStr"/>
      <c r="G6481" t="inlineStr"/>
      <c r="H6481" t="inlineStr"/>
    </row>
    <row r="6482">
      <c r="A6482" t="inlineStr">
        <is>
          <t>675d5d1f-7e27-45c8-b9bc-afd6b4b58284.jpg</t>
        </is>
      </c>
      <c r="B6482">
        <f>HYPERLINK("Объекты недвижимости, не соответствующие градостроительным нормам_00-022_Август/675d5d1f-7e27-45c8-b9bc-afd6b4b58284.jpg","open")</f>
        <v/>
      </c>
      <c r="C6482" t="inlineStr">
        <is>
          <t>030e8755-17c1-44eb-9530-707d0d3121cb</t>
        </is>
      </c>
      <c r="D6482" t="n">
        <v>55.67351</v>
      </c>
      <c r="E6482" t="n">
        <v>37.66509</v>
      </c>
      <c r="F6482" t="inlineStr"/>
      <c r="G6482" t="inlineStr"/>
      <c r="H6482" t="inlineStr"/>
    </row>
    <row r="6483">
      <c r="A6483" t="inlineStr">
        <is>
          <t>68f3b622-ef4a-4666-bb29-0eac4b67dd40.jpg</t>
        </is>
      </c>
      <c r="B6483">
        <f>HYPERLINK("Объекты недвижимости, не соответствующие градостроительным нормам_00-022_Август/68f3b622-ef4a-4666-bb29-0eac4b67dd40.jpg","open")</f>
        <v/>
      </c>
      <c r="C6483" t="inlineStr">
        <is>
          <t>ed2bf0f1-3a66-4913-896e-4420a9796c0b</t>
        </is>
      </c>
      <c r="D6483" t="n">
        <v>55.72373</v>
      </c>
      <c r="E6483" t="n">
        <v>37.71486</v>
      </c>
      <c r="F6483" t="inlineStr"/>
      <c r="G6483" t="inlineStr"/>
      <c r="H6483" t="inlineStr"/>
    </row>
    <row r="6484">
      <c r="A6484" t="inlineStr">
        <is>
          <t>dbfe1abf-cb8f-4175-8d05-53b8950450c9.jpg</t>
        </is>
      </c>
      <c r="B6484">
        <f>HYPERLINK("Объекты недвижимости, не соответствующие градостроительным нормам_00-022_Август/dbfe1abf-cb8f-4175-8d05-53b8950450c9.jpg","open")</f>
        <v/>
      </c>
      <c r="C6484" t="inlineStr">
        <is>
          <t>1a55986c-2c3f-40c0-b3d1-014dce77832e</t>
        </is>
      </c>
      <c r="D6484" t="n">
        <v>55.7237</v>
      </c>
      <c r="E6484" t="n">
        <v>37.71491</v>
      </c>
      <c r="F6484" t="inlineStr"/>
      <c r="G6484" t="inlineStr"/>
      <c r="H6484" t="inlineStr"/>
    </row>
    <row r="6485">
      <c r="A6485" t="inlineStr">
        <is>
          <t>ff752e40-2f14-4817-9b78-d815e117624f.jpg</t>
        </is>
      </c>
      <c r="B6485">
        <f>HYPERLINK("Объекты недвижимости, не соответствующие градостроительным нормам_00-022_Август/ff752e40-2f14-4817-9b78-d815e117624f.jpg","open")</f>
        <v/>
      </c>
      <c r="C6485" t="inlineStr">
        <is>
          <t>cbf95b01-f708-45a3-9ec0-3603469b538e</t>
        </is>
      </c>
      <c r="D6485" t="n">
        <v>55.77577</v>
      </c>
      <c r="E6485" t="n">
        <v>37.63202</v>
      </c>
      <c r="F6485" t="inlineStr"/>
      <c r="G6485" t="inlineStr"/>
      <c r="H6485" t="inlineStr"/>
    </row>
    <row r="6486">
      <c r="A6486" t="inlineStr">
        <is>
          <t>ea666d7a-3c65-4d2a-8c7f-3d8f0fb8943b.jpg</t>
        </is>
      </c>
      <c r="B6486">
        <f>HYPERLINK("Объекты недвижимости, не соответствующие градостроительным нормам_00-022_Август/ea666d7a-3c65-4d2a-8c7f-3d8f0fb8943b.jpg","open")</f>
        <v/>
      </c>
      <c r="C6486" t="inlineStr">
        <is>
          <t>cbf95b01-f708-45a3-9ec0-3603469b538e</t>
        </is>
      </c>
      <c r="D6486" t="n">
        <v>55.77318</v>
      </c>
      <c r="E6486" t="n">
        <v>37.61065</v>
      </c>
      <c r="F6486" t="inlineStr"/>
      <c r="G6486" t="inlineStr"/>
      <c r="H6486" t="inlineStr"/>
    </row>
    <row r="6487">
      <c r="A6487" t="inlineStr">
        <is>
          <t>7e9babc8-46c8-4f3d-8bef-3269d58133e0.jpg</t>
        </is>
      </c>
      <c r="B6487">
        <f>HYPERLINK("Объекты недвижимости, не соответствующие градостроительным нормам_00-022_Август/7e9babc8-46c8-4f3d-8bef-3269d58133e0.jpg","open")</f>
        <v/>
      </c>
      <c r="C6487" t="inlineStr">
        <is>
          <t>cbf95b01-f708-45a3-9ec0-3603469b538e</t>
        </is>
      </c>
      <c r="D6487" t="n">
        <v>55.77341</v>
      </c>
      <c r="E6487" t="n">
        <v>37.60915</v>
      </c>
      <c r="F6487" t="inlineStr"/>
      <c r="G6487" t="inlineStr"/>
      <c r="H6487" t="inlineStr"/>
    </row>
    <row r="6488">
      <c r="A6488" t="inlineStr">
        <is>
          <t>18fc295b-7c73-414e-8609-26a28ff67e87.jpg</t>
        </is>
      </c>
      <c r="B6488">
        <f>HYPERLINK("Объекты недвижимости, не соответствующие градостроительным нормам_00-022_Август/18fc295b-7c73-414e-8609-26a28ff67e87.jpg","open")</f>
        <v/>
      </c>
      <c r="C6488" t="inlineStr">
        <is>
          <t>a1a9db89-3f74-42ef-8fad-ad69705102cd</t>
        </is>
      </c>
      <c r="D6488" t="n">
        <v>55.77341</v>
      </c>
      <c r="E6488" t="n">
        <v>37.60915</v>
      </c>
      <c r="F6488" t="inlineStr"/>
      <c r="G6488" t="inlineStr"/>
      <c r="H6488" t="inlineStr"/>
    </row>
    <row r="6489">
      <c r="A6489" t="inlineStr">
        <is>
          <t>459b00b0-b03f-4950-980e-c33f5e38c061.jpg</t>
        </is>
      </c>
      <c r="B6489">
        <f>HYPERLINK("Объекты недвижимости, не соответствующие градостроительным нормам_00-022_Август/459b00b0-b03f-4950-980e-c33f5e38c061.jpg","open")</f>
        <v/>
      </c>
      <c r="C6489" t="inlineStr">
        <is>
          <t>cbf95b01-f708-45a3-9ec0-3603469b538e</t>
        </is>
      </c>
      <c r="D6489" t="n">
        <v>55.77341</v>
      </c>
      <c r="E6489" t="n">
        <v>37.60915</v>
      </c>
      <c r="F6489" t="inlineStr"/>
      <c r="G6489" t="inlineStr"/>
      <c r="H6489" t="inlineStr"/>
    </row>
    <row r="6490">
      <c r="A6490" t="inlineStr">
        <is>
          <t>5fa38179-a0a3-4d64-8443-a0ba76127ae4.jpg</t>
        </is>
      </c>
      <c r="B6490">
        <f>HYPERLINK("Объекты недвижимости, не соответствующие градостроительным нормам_00-022_Август/5fa38179-a0a3-4d64-8443-a0ba76127ae4.jpg","open")</f>
        <v/>
      </c>
      <c r="C6490" t="inlineStr">
        <is>
          <t>cbf95b01-f708-45a3-9ec0-3603469b538e</t>
        </is>
      </c>
      <c r="D6490" t="n">
        <v>55.77341</v>
      </c>
      <c r="E6490" t="n">
        <v>37.60915</v>
      </c>
      <c r="F6490" t="inlineStr"/>
      <c r="G6490" t="inlineStr"/>
      <c r="H6490" t="inlineStr"/>
    </row>
    <row r="6491">
      <c r="A6491" t="inlineStr">
        <is>
          <t>515bb244-fa27-40f4-846c-a4f8a6dde5bb.jpg</t>
        </is>
      </c>
      <c r="B6491">
        <f>HYPERLINK("Объекты недвижимости, не соответствующие градостроительным нормам_00-022_Август/515bb244-fa27-40f4-846c-a4f8a6dde5bb.jpg","open")</f>
        <v/>
      </c>
      <c r="C6491" t="inlineStr">
        <is>
          <t>cbf95b01-f708-45a3-9ec0-3603469b538e</t>
        </is>
      </c>
      <c r="D6491" t="n">
        <v>55.77341</v>
      </c>
      <c r="E6491" t="n">
        <v>37.60915</v>
      </c>
      <c r="F6491" t="inlineStr"/>
      <c r="G6491" t="inlineStr"/>
      <c r="H6491" t="inlineStr"/>
    </row>
    <row r="6492">
      <c r="A6492" t="inlineStr">
        <is>
          <t>0bd338b5-633f-4357-bb91-595b66a1bc3b.jpg</t>
        </is>
      </c>
      <c r="B6492">
        <f>HYPERLINK("Объекты недвижимости, не соответствующие градостроительным нормам_00-022_Август/0bd338b5-633f-4357-bb91-595b66a1bc3b.jpg","open")</f>
        <v/>
      </c>
      <c r="C6492" t="inlineStr">
        <is>
          <t>cbf95b01-f708-45a3-9ec0-3603469b538e</t>
        </is>
      </c>
      <c r="D6492" t="n">
        <v>55.77341</v>
      </c>
      <c r="E6492" t="n">
        <v>37.60915</v>
      </c>
      <c r="F6492" t="inlineStr"/>
      <c r="G6492" t="inlineStr"/>
      <c r="H6492" t="inlineStr"/>
    </row>
    <row r="6493">
      <c r="A6493" t="inlineStr">
        <is>
          <t>888408a2-c704-4a1f-a92b-23b1098e9f89.jpg</t>
        </is>
      </c>
      <c r="B6493">
        <f>HYPERLINK("Объекты недвижимости, не соответствующие градостроительным нормам_00-022_Август/888408a2-c704-4a1f-a92b-23b1098e9f89.jpg","open")</f>
        <v/>
      </c>
      <c r="C6493" t="inlineStr">
        <is>
          <t>cbf95b01-f708-45a3-9ec0-3603469b538e</t>
        </is>
      </c>
      <c r="D6493" t="n">
        <v>55.77341</v>
      </c>
      <c r="E6493" t="n">
        <v>37.60915</v>
      </c>
      <c r="F6493" t="inlineStr"/>
      <c r="G6493" t="inlineStr"/>
      <c r="H6493" t="inlineStr"/>
    </row>
    <row r="6494">
      <c r="A6494" t="inlineStr">
        <is>
          <t>0efc3b1e-7294-4489-bb91-fc46af51193a.jpg</t>
        </is>
      </c>
      <c r="B6494">
        <f>HYPERLINK("Объекты недвижимости, не соответствующие градостроительным нормам_00-022_Август/0efc3b1e-7294-4489-bb91-fc46af51193a.jpg","open")</f>
        <v/>
      </c>
      <c r="C6494" t="inlineStr">
        <is>
          <t>cbf95b01-f708-45a3-9ec0-3603469b538e</t>
        </is>
      </c>
      <c r="D6494" t="n">
        <v>55.77341</v>
      </c>
      <c r="E6494" t="n">
        <v>37.60915</v>
      </c>
      <c r="F6494" t="inlineStr"/>
      <c r="G6494" t="inlineStr"/>
      <c r="H6494" t="inlineStr"/>
    </row>
    <row r="6495">
      <c r="A6495" t="inlineStr">
        <is>
          <t>7250b176-3312-4527-975f-8f67f4ab316d.jpg</t>
        </is>
      </c>
      <c r="B6495">
        <f>HYPERLINK("Объекты недвижимости, не соответствующие градостроительным нормам_00-022_Август/7250b176-3312-4527-975f-8f67f4ab316d.jpg","open")</f>
        <v/>
      </c>
      <c r="C6495" t="inlineStr">
        <is>
          <t>cbf95b01-f708-45a3-9ec0-3603469b538e</t>
        </is>
      </c>
      <c r="D6495" t="n">
        <v>55.77341</v>
      </c>
      <c r="E6495" t="n">
        <v>37.60915</v>
      </c>
      <c r="F6495" t="inlineStr"/>
      <c r="G6495" t="inlineStr"/>
      <c r="H6495" t="inlineStr"/>
    </row>
    <row r="6496">
      <c r="A6496" t="inlineStr">
        <is>
          <t>b293c979-18e5-4427-894d-c5f56d2b55ba.jpg</t>
        </is>
      </c>
      <c r="B6496">
        <f>HYPERLINK("Объекты недвижимости, не соответствующие градостроительным нормам_00-022_Август/b293c979-18e5-4427-894d-c5f56d2b55ba.jpg","open")</f>
        <v/>
      </c>
      <c r="C6496" t="inlineStr">
        <is>
          <t>cbf95b01-f708-45a3-9ec0-3603469b538e</t>
        </is>
      </c>
      <c r="D6496" t="n">
        <v>55.77341</v>
      </c>
      <c r="E6496" t="n">
        <v>37.60915</v>
      </c>
      <c r="F6496" t="inlineStr"/>
      <c r="G6496" t="inlineStr"/>
      <c r="H6496" t="inlineStr"/>
    </row>
    <row r="6497">
      <c r="A6497" t="inlineStr">
        <is>
          <t>1582b661-aa8d-42ca-aa21-f0b40c2a2465.jpg</t>
        </is>
      </c>
      <c r="B6497">
        <f>HYPERLINK("Объекты недвижимости, не соответствующие градостроительным нормам_00-022_Август/1582b661-aa8d-42ca-aa21-f0b40c2a2465.jpg","open")</f>
        <v/>
      </c>
      <c r="C6497" t="inlineStr">
        <is>
          <t>cbf95b01-f708-45a3-9ec0-3603469b538e</t>
        </is>
      </c>
      <c r="D6497" t="n">
        <v>55.77341</v>
      </c>
      <c r="E6497" t="n">
        <v>37.60915</v>
      </c>
      <c r="F6497" t="inlineStr"/>
      <c r="G6497" t="inlineStr"/>
      <c r="H6497" t="inlineStr"/>
    </row>
    <row r="6498">
      <c r="A6498" t="inlineStr">
        <is>
          <t>8278ffbd-b4c6-4efe-9060-63df6e1ee62b.jpg</t>
        </is>
      </c>
      <c r="B6498">
        <f>HYPERLINK("Объекты недвижимости, не соответствующие градостроительным нормам_00-022_Август/8278ffbd-b4c6-4efe-9060-63df6e1ee62b.jpg","open")</f>
        <v/>
      </c>
      <c r="C6498" t="inlineStr">
        <is>
          <t>685d9054-b74f-49ab-857b-109fd2cec80d</t>
        </is>
      </c>
      <c r="D6498" t="n">
        <v>55.54952</v>
      </c>
      <c r="E6498" t="n">
        <v>37.53902</v>
      </c>
      <c r="F6498" t="inlineStr"/>
      <c r="G6498" t="inlineStr"/>
      <c r="H6498" t="inlineStr"/>
    </row>
    <row r="6499">
      <c r="A6499" t="inlineStr">
        <is>
          <t>29315ef8-d9e3-4bb0-b381-6c00e69e1eaf.jpg</t>
        </is>
      </c>
      <c r="B6499">
        <f>HYPERLINK("Объекты недвижимости, не соответствующие градостроительным нормам_00-022_Август/29315ef8-d9e3-4bb0-b381-6c00e69e1eaf.jpg","open")</f>
        <v/>
      </c>
      <c r="C6499" t="inlineStr">
        <is>
          <t>a1a9db89-3f74-42ef-8fad-ad69705102cd</t>
        </is>
      </c>
      <c r="D6499" t="n">
        <v>55.77341</v>
      </c>
      <c r="E6499" t="n">
        <v>37.60915</v>
      </c>
      <c r="F6499" t="inlineStr"/>
      <c r="G6499" t="inlineStr"/>
      <c r="H6499" t="inlineStr"/>
    </row>
    <row r="6500">
      <c r="A6500" t="inlineStr">
        <is>
          <t>51c84e92-76e2-4fc4-8270-bf4364d7a033.jpg</t>
        </is>
      </c>
      <c r="B6500">
        <f>HYPERLINK("Объекты недвижимости, не соответствующие градостроительным нормам_00-022_Август/51c84e92-76e2-4fc4-8270-bf4364d7a033.jpg","open")</f>
        <v/>
      </c>
      <c r="C6500" t="inlineStr">
        <is>
          <t>a28f597e-d1cd-4d3b-b572-c86d033412e9</t>
        </is>
      </c>
      <c r="D6500" t="n">
        <v>55.65029</v>
      </c>
      <c r="E6500" t="n">
        <v>37.41163</v>
      </c>
      <c r="F6500" t="inlineStr"/>
      <c r="G6500" t="inlineStr"/>
      <c r="H6500" t="inlineStr"/>
    </row>
    <row r="6501">
      <c r="A6501" t="inlineStr">
        <is>
          <t>9c0b69a2-75da-47bd-8c5b-61f0dcae5249.jpg</t>
        </is>
      </c>
      <c r="B6501">
        <f>HYPERLINK("Объекты недвижимости, не соответствующие градостроительным нормам_00-022_Август/9c0b69a2-75da-47bd-8c5b-61f0dcae5249.jpg","open")</f>
        <v/>
      </c>
      <c r="C6501" t="inlineStr">
        <is>
          <t>50e4626c-a80e-42ab-b999-b5092c2c063f</t>
        </is>
      </c>
      <c r="D6501" t="n">
        <v>56.01601</v>
      </c>
      <c r="E6501" t="n">
        <v>37.34023</v>
      </c>
      <c r="F6501" t="inlineStr"/>
      <c r="G6501" t="inlineStr"/>
      <c r="H6501" t="inlineStr"/>
    </row>
    <row r="6502">
      <c r="A6502" t="inlineStr">
        <is>
          <t>e4139f13-3a2c-49ef-8053-3b06a23d1a03.jpg</t>
        </is>
      </c>
      <c r="B6502">
        <f>HYPERLINK("Объекты недвижимости, не соответствующие градостроительным нормам_00-022_Август/e4139f13-3a2c-49ef-8053-3b06a23d1a03.jpg","open")</f>
        <v/>
      </c>
      <c r="C6502" t="inlineStr">
        <is>
          <t>a1a9db89-3f74-42ef-8fad-ad69705102cd</t>
        </is>
      </c>
      <c r="D6502" t="n">
        <v>55.78765</v>
      </c>
      <c r="E6502" t="n">
        <v>37.65139</v>
      </c>
      <c r="F6502" t="inlineStr"/>
      <c r="G6502" t="inlineStr"/>
      <c r="H6502" t="inlineStr"/>
    </row>
    <row r="6503">
      <c r="A6503" t="inlineStr">
        <is>
          <t>d220898b-d7e3-4e53-85c6-3d722334bc8f.jpg</t>
        </is>
      </c>
      <c r="B6503">
        <f>HYPERLINK("Объекты недвижимости, не соответствующие градостроительным нормам_00-022_Август/d220898b-d7e3-4e53-85c6-3d722334bc8f.jpg","open")</f>
        <v/>
      </c>
      <c r="C6503" t="inlineStr">
        <is>
          <t>cbf95b01-f708-45a3-9ec0-3603469b538e</t>
        </is>
      </c>
      <c r="D6503" t="n">
        <v>55.78788</v>
      </c>
      <c r="E6503" t="n">
        <v>37.65193</v>
      </c>
      <c r="F6503" t="inlineStr"/>
      <c r="G6503" t="inlineStr"/>
      <c r="H6503" t="inlineStr"/>
    </row>
    <row r="6504">
      <c r="A6504" t="inlineStr">
        <is>
          <t>d168dcd3-78b5-4247-b45e-3af58fbaed5e.jpg</t>
        </is>
      </c>
      <c r="B6504">
        <f>HYPERLINK("Объекты недвижимости, не соответствующие градостроительным нормам_00-022_Август/d168dcd3-78b5-4247-b45e-3af58fbaed5e.jpg","open")</f>
        <v/>
      </c>
      <c r="C6504" t="inlineStr">
        <is>
          <t>ed2bf0f1-3a66-4913-896e-4420a9796c0b</t>
        </is>
      </c>
      <c r="D6504" t="n">
        <v>55.67292</v>
      </c>
      <c r="E6504" t="n">
        <v>37.72681</v>
      </c>
      <c r="F6504" t="inlineStr"/>
      <c r="G6504" t="inlineStr"/>
      <c r="H6504" t="inlineStr"/>
    </row>
    <row r="6505">
      <c r="A6505" t="inlineStr">
        <is>
          <t>7ab957b2-1115-4bd9-a4e7-a9e86728589b.jpg</t>
        </is>
      </c>
      <c r="B6505">
        <f>HYPERLINK("Объекты недвижимости, не соответствующие градостроительным нормам_00-022_Август/7ab957b2-1115-4bd9-a4e7-a9e86728589b.jpg","open")</f>
        <v/>
      </c>
      <c r="C6505" t="inlineStr">
        <is>
          <t>ed2bf0f1-3a66-4913-896e-4420a9796c0b</t>
        </is>
      </c>
      <c r="D6505" t="n">
        <v>55.66666</v>
      </c>
      <c r="E6505" t="n">
        <v>37.72216</v>
      </c>
      <c r="F6505" t="inlineStr"/>
      <c r="G6505" t="inlineStr"/>
      <c r="H6505" t="inlineStr"/>
    </row>
    <row r="6506">
      <c r="A6506" t="inlineStr">
        <is>
          <t>ff5dc70d-5d6d-42b9-9c4c-17a72bac7ea2.jpg</t>
        </is>
      </c>
      <c r="B6506">
        <f>HYPERLINK("Объекты недвижимости, не соответствующие градостроительным нормам_00-022_Август/ff5dc70d-5d6d-42b9-9c4c-17a72bac7ea2.jpg","open")</f>
        <v/>
      </c>
      <c r="C6506" t="inlineStr">
        <is>
          <t>ed2bf0f1-3a66-4913-896e-4420a9796c0b</t>
        </is>
      </c>
      <c r="D6506" t="n">
        <v>55.65833</v>
      </c>
      <c r="E6506" t="n">
        <v>37.71052</v>
      </c>
      <c r="F6506" t="inlineStr"/>
      <c r="G6506" t="inlineStr"/>
      <c r="H6506" t="inlineStr"/>
    </row>
    <row r="6507">
      <c r="A6507" t="inlineStr">
        <is>
          <t>ee34f61d-28da-4837-a103-0c6d83668a9d.jpg</t>
        </is>
      </c>
      <c r="B6507">
        <f>HYPERLINK("Объекты недвижимости, не соответствующие градостроительным нормам_00-022_Август/ee34f61d-28da-4837-a103-0c6d83668a9d.jpg","open")</f>
        <v/>
      </c>
      <c r="C6507" t="inlineStr">
        <is>
          <t>ed2bf0f1-3a66-4913-896e-4420a9796c0b</t>
        </is>
      </c>
      <c r="D6507" t="n">
        <v>55.6559</v>
      </c>
      <c r="E6507" t="n">
        <v>37.70807</v>
      </c>
      <c r="F6507" t="inlineStr"/>
      <c r="G6507" t="inlineStr"/>
      <c r="H6507" t="inlineStr"/>
    </row>
    <row r="6508">
      <c r="A6508" t="inlineStr">
        <is>
          <t>59f95c5e-2f97-43b9-9117-810f2e192dcc.jpg</t>
        </is>
      </c>
      <c r="B6508">
        <f>HYPERLINK("Объекты недвижимости, не соответствующие градостроительным нормам_00-022_Август/59f95c5e-2f97-43b9-9117-810f2e192dcc.jpg","open")</f>
        <v/>
      </c>
      <c r="C6508" t="inlineStr">
        <is>
          <t>2acfb2da-e3f6-464c-bd17-4b713522c142</t>
        </is>
      </c>
      <c r="D6508" t="n">
        <v>55.87952</v>
      </c>
      <c r="E6508" t="n">
        <v>37.61351</v>
      </c>
      <c r="F6508" t="inlineStr"/>
      <c r="G6508" t="inlineStr"/>
      <c r="H6508" t="inlineStr"/>
    </row>
    <row r="6509">
      <c r="A6509" t="inlineStr">
        <is>
          <t>dd5a613e-c6e3-45d6-ab16-db21ed349534.jpg</t>
        </is>
      </c>
      <c r="B6509">
        <f>HYPERLINK("Объекты недвижимости, не соответствующие градостроительным нормам_00-022_Август/dd5a613e-c6e3-45d6-ab16-db21ed349534.jpg","open")</f>
        <v/>
      </c>
      <c r="C6509" t="inlineStr">
        <is>
          <t>1c951e11-4940-43c6-a447-394097e5609a</t>
        </is>
      </c>
      <c r="D6509" t="n">
        <v>55.8215</v>
      </c>
      <c r="E6509" t="n">
        <v>37.63466</v>
      </c>
      <c r="F6509" t="inlineStr"/>
      <c r="G6509" t="inlineStr"/>
      <c r="H6509" t="inlineStr"/>
    </row>
    <row r="6510">
      <c r="A6510" t="inlineStr">
        <is>
          <t>9503dbfd-4bf8-4aba-b62e-316826778d84.jpg</t>
        </is>
      </c>
      <c r="B6510">
        <f>HYPERLINK("Объекты недвижимости, не соответствующие градостроительным нормам_00-022_Август/9503dbfd-4bf8-4aba-b62e-316826778d84.jpg","open")</f>
        <v/>
      </c>
      <c r="C6510" t="inlineStr">
        <is>
          <t>8cde1fd0-eca1-4510-86ab-3c743b65fdfc</t>
        </is>
      </c>
      <c r="D6510" t="n">
        <v>55.8215</v>
      </c>
      <c r="E6510" t="n">
        <v>37.63466</v>
      </c>
      <c r="F6510" t="inlineStr"/>
      <c r="G6510" t="inlineStr"/>
      <c r="H6510" t="inlineStr"/>
    </row>
    <row r="6511">
      <c r="A6511" t="inlineStr">
        <is>
          <t>524bbcfc-42fb-450f-aa25-2afcde9372b5.jpg</t>
        </is>
      </c>
      <c r="B6511">
        <f>HYPERLINK("Объекты недвижимости, не соответствующие градостроительным нормам_00-022_Август/524bbcfc-42fb-450f-aa25-2afcde9372b5.jpg","open")</f>
        <v/>
      </c>
      <c r="C6511" t="inlineStr">
        <is>
          <t>8cde1fd0-eca1-4510-86ab-3c743b65fdfc</t>
        </is>
      </c>
      <c r="D6511" t="n">
        <v>55.82369</v>
      </c>
      <c r="E6511" t="n">
        <v>37.63083</v>
      </c>
      <c r="F6511" t="inlineStr"/>
      <c r="G6511" t="inlineStr"/>
      <c r="H6511" t="inlineStr"/>
    </row>
    <row r="6512">
      <c r="A6512" t="inlineStr">
        <is>
          <t>5c15a2d2-5d3e-4849-81b7-96a27517942c.jpg</t>
        </is>
      </c>
      <c r="B6512">
        <f>HYPERLINK("Объекты недвижимости, не соответствующие градостроительным нормам_00-022_Август/5c15a2d2-5d3e-4849-81b7-96a27517942c.jpg","open")</f>
        <v/>
      </c>
      <c r="C6512" t="inlineStr">
        <is>
          <t>8cde1fd0-eca1-4510-86ab-3c743b65fdfc</t>
        </is>
      </c>
      <c r="D6512" t="n">
        <v>55.82437</v>
      </c>
      <c r="E6512" t="n">
        <v>37.63028</v>
      </c>
      <c r="F6512" t="inlineStr"/>
      <c r="G6512" t="inlineStr"/>
      <c r="H6512" t="inlineStr"/>
    </row>
    <row r="6513">
      <c r="A6513" t="inlineStr">
        <is>
          <t>da3a39ae-3294-4a00-b532-000c44821ba0.jpg</t>
        </is>
      </c>
      <c r="B6513">
        <f>HYPERLINK("Объекты недвижимости, не соответствующие градостроительным нормам_00-022_Август/da3a39ae-3294-4a00-b532-000c44821ba0.jpg","open")</f>
        <v/>
      </c>
      <c r="C6513" t="inlineStr">
        <is>
          <t>936502dd-24a4-4256-9fdf-0d8fb72af3ed</t>
        </is>
      </c>
      <c r="D6513" t="n">
        <v>55.67556</v>
      </c>
      <c r="E6513" t="n">
        <v>37.67828</v>
      </c>
      <c r="F6513" t="inlineStr"/>
      <c r="G6513" t="inlineStr"/>
      <c r="H6513" t="inlineStr"/>
    </row>
    <row r="6514">
      <c r="A6514" t="inlineStr">
        <is>
          <t>6a5a95b2-4d9f-49f2-a117-42811f01fa9d.jpg</t>
        </is>
      </c>
      <c r="B6514">
        <f>HYPERLINK("Объекты недвижимости, не соответствующие градостроительным нормам_00-022_Август/6a5a95b2-4d9f-49f2-a117-42811f01fa9d.jpg","open")</f>
        <v/>
      </c>
      <c r="C6514" t="inlineStr">
        <is>
          <t>030e8755-17c1-44eb-9530-707d0d3121cb</t>
        </is>
      </c>
      <c r="D6514" t="n">
        <v>55.67582</v>
      </c>
      <c r="E6514" t="n">
        <v>37.67809</v>
      </c>
      <c r="F6514" t="inlineStr"/>
      <c r="G6514" t="inlineStr"/>
      <c r="H6514" t="inlineStr"/>
    </row>
    <row r="6515">
      <c r="A6515" t="inlineStr">
        <is>
          <t>0090cbca-a43f-46a6-bb42-cb9428f4b6a8.jpg</t>
        </is>
      </c>
      <c r="B6515">
        <f>HYPERLINK("Объекты недвижимости, не соответствующие градостроительным нормам_00-022_Август/0090cbca-a43f-46a6-bb42-cb9428f4b6a8.jpg","open")</f>
        <v/>
      </c>
      <c r="C6515" t="inlineStr">
        <is>
          <t>936502dd-24a4-4256-9fdf-0d8fb72af3ed</t>
        </is>
      </c>
      <c r="D6515" t="n">
        <v>55.67586</v>
      </c>
      <c r="E6515" t="n">
        <v>37.67807</v>
      </c>
      <c r="F6515" t="inlineStr"/>
      <c r="G6515" t="inlineStr"/>
      <c r="H6515" t="inlineStr"/>
    </row>
    <row r="6516">
      <c r="A6516" t="inlineStr">
        <is>
          <t>66263652-e508-4e27-80c2-6dab16fba4c6.jpg</t>
        </is>
      </c>
      <c r="B6516">
        <f>HYPERLINK("Объекты недвижимости, не соответствующие градостроительным нормам_00-022_Август/66263652-e508-4e27-80c2-6dab16fba4c6.jpg","open")</f>
        <v/>
      </c>
      <c r="C6516" t="inlineStr">
        <is>
          <t>c008bda0-324b-4c90-9c2f-36cfc930e0b5</t>
        </is>
      </c>
      <c r="D6516" t="n">
        <v>55.73742</v>
      </c>
      <c r="E6516" t="n">
        <v>37.64859</v>
      </c>
      <c r="F6516" t="inlineStr"/>
      <c r="G6516" t="inlineStr"/>
      <c r="H6516" t="inlineStr"/>
    </row>
    <row r="6517">
      <c r="A6517" t="inlineStr">
        <is>
          <t>9353220a-cf57-4704-99ab-f5390493c579.jpg</t>
        </is>
      </c>
      <c r="B6517">
        <f>HYPERLINK("Объекты недвижимости, не соответствующие градостроительным нормам_00-022_Август/9353220a-cf57-4704-99ab-f5390493c579.jpg","open")</f>
        <v/>
      </c>
      <c r="C6517" t="inlineStr">
        <is>
          <t>c008bda0-324b-4c90-9c2f-36cfc930e0b5</t>
        </is>
      </c>
      <c r="D6517" t="n">
        <v>55.73742</v>
      </c>
      <c r="E6517" t="n">
        <v>37.64859</v>
      </c>
      <c r="F6517" t="inlineStr"/>
      <c r="G6517" t="inlineStr"/>
      <c r="H6517" t="inlineStr"/>
    </row>
    <row r="6518">
      <c r="A6518" t="inlineStr">
        <is>
          <t>da4ad990-8d14-411a-a663-59c4209a6798.jpg</t>
        </is>
      </c>
      <c r="B6518">
        <f>HYPERLINK("Объекты недвижимости, не соответствующие градостроительным нормам_00-022_Август/da4ad990-8d14-411a-a663-59c4209a6798.jpg","open")</f>
        <v/>
      </c>
      <c r="C6518" t="inlineStr">
        <is>
          <t>936502dd-24a4-4256-9fdf-0d8fb72af3ed</t>
        </is>
      </c>
      <c r="D6518" t="n">
        <v>55.67843</v>
      </c>
      <c r="E6518" t="n">
        <v>37.67806</v>
      </c>
      <c r="F6518" t="inlineStr"/>
      <c r="G6518" t="inlineStr"/>
      <c r="H6518" t="inlineStr"/>
    </row>
    <row r="6519">
      <c r="A6519" t="inlineStr">
        <is>
          <t>7218b9e1-158c-4c5a-8b94-da93dd8040bd.jpg</t>
        </is>
      </c>
      <c r="B6519">
        <f>HYPERLINK("Объекты недвижимости, не соответствующие градостроительным нормам_00-022_Август/7218b9e1-158c-4c5a-8b94-da93dd8040bd.jpg","open")</f>
        <v/>
      </c>
      <c r="C6519" t="inlineStr">
        <is>
          <t>29ad9edb-d533-4272-a986-be24eb004851</t>
        </is>
      </c>
      <c r="D6519" t="n">
        <v>55.73742</v>
      </c>
      <c r="E6519" t="n">
        <v>37.64859</v>
      </c>
      <c r="F6519" t="inlineStr"/>
      <c r="G6519" t="inlineStr"/>
      <c r="H6519" t="inlineStr"/>
    </row>
    <row r="6520">
      <c r="A6520" t="inlineStr">
        <is>
          <t>4d77f5e5-2fb2-49da-af78-6cfdabe35eb5.jpg</t>
        </is>
      </c>
      <c r="B6520">
        <f>HYPERLINK("Объекты недвижимости, не соответствующие градостроительным нормам_00-022_Август/4d77f5e5-2fb2-49da-af78-6cfdabe35eb5.jpg","open")</f>
        <v/>
      </c>
      <c r="C6520" t="inlineStr">
        <is>
          <t>b0429a31-0c70-4b9f-8ea5-73929d82f89e</t>
        </is>
      </c>
      <c r="D6520" t="n">
        <v>55.64375</v>
      </c>
      <c r="E6520" t="n">
        <v>37.61263</v>
      </c>
      <c r="F6520" t="inlineStr"/>
      <c r="G6520" t="inlineStr"/>
      <c r="H6520" t="inlineStr"/>
    </row>
    <row r="6521">
      <c r="A6521" t="inlineStr">
        <is>
          <t>71d629cd-ff12-44f9-8346-d52445e38794.jpg</t>
        </is>
      </c>
      <c r="B6521">
        <f>HYPERLINK("Объекты недвижимости, не соответствующие градостроительным нормам_00-022_Август/71d629cd-ff12-44f9-8346-d52445e38794.jpg","open")</f>
        <v/>
      </c>
      <c r="C6521" t="inlineStr">
        <is>
          <t>99f3abba-c55b-49f0-9de5-9f88e9597cc0</t>
        </is>
      </c>
      <c r="D6521" t="n">
        <v>55.64371</v>
      </c>
      <c r="E6521" t="n">
        <v>37.61261</v>
      </c>
      <c r="F6521" t="inlineStr"/>
      <c r="G6521" t="inlineStr"/>
      <c r="H6521" t="inlineStr"/>
    </row>
    <row r="6522">
      <c r="A6522" t="inlineStr">
        <is>
          <t>644d76b1-96ac-4213-8224-6017fc2a0f7c.jpg</t>
        </is>
      </c>
      <c r="B6522">
        <f>HYPERLINK("Объекты недвижимости, не соответствующие градостроительным нормам_00-022_Август/644d76b1-96ac-4213-8224-6017fc2a0f7c.jpg","open")</f>
        <v/>
      </c>
      <c r="C6522" t="inlineStr">
        <is>
          <t>e26f5fc2-1353-4f29-85f3-87c56419161c</t>
        </is>
      </c>
      <c r="D6522" t="n">
        <v>55.7506</v>
      </c>
      <c r="E6522" t="n">
        <v>37.66988</v>
      </c>
      <c r="F6522" t="inlineStr"/>
      <c r="G6522" t="inlineStr"/>
      <c r="H6522" t="inlineStr"/>
    </row>
    <row r="6523">
      <c r="A6523" t="inlineStr">
        <is>
          <t>aba02c1a-d675-4b22-a113-264659bcaf8a.jpg</t>
        </is>
      </c>
      <c r="B6523">
        <f>HYPERLINK("Объекты недвижимости, не соответствующие градостроительным нормам_00-022_Август/aba02c1a-d675-4b22-a113-264659bcaf8a.jpg","open")</f>
        <v/>
      </c>
      <c r="C6523" t="inlineStr">
        <is>
          <t>1a55986c-2c3f-40c0-b3d1-014dce77832e</t>
        </is>
      </c>
      <c r="D6523" t="n">
        <v>55.65489</v>
      </c>
      <c r="E6523" t="n">
        <v>37.68797</v>
      </c>
      <c r="F6523" t="inlineStr"/>
      <c r="G6523" t="inlineStr"/>
      <c r="H6523" t="inlineStr"/>
    </row>
    <row r="6524">
      <c r="A6524" t="inlineStr">
        <is>
          <t>466eb3e8-cc7c-4c11-b9d2-53ae76f73201.jpg</t>
        </is>
      </c>
      <c r="B6524">
        <f>HYPERLINK("Объекты недвижимости, не соответствующие градостроительным нормам_00-022_Август/466eb3e8-cc7c-4c11-b9d2-53ae76f73201.jpg","open")</f>
        <v/>
      </c>
      <c r="C6524" t="inlineStr">
        <is>
          <t>ed2bf0f1-3a66-4913-896e-4420a9796c0b</t>
        </is>
      </c>
      <c r="D6524" t="n">
        <v>55.65497</v>
      </c>
      <c r="E6524" t="n">
        <v>37.68745</v>
      </c>
      <c r="F6524" t="inlineStr"/>
      <c r="G6524" t="inlineStr"/>
      <c r="H6524" t="inlineStr"/>
    </row>
    <row r="6525">
      <c r="A6525" t="inlineStr">
        <is>
          <t>daf8a621-7bbf-45d3-8248-ab8a69037d46.jpg</t>
        </is>
      </c>
      <c r="B6525">
        <f>HYPERLINK("Объекты недвижимости, не соответствующие градостроительным нормам_00-022_Август/daf8a621-7bbf-45d3-8248-ab8a69037d46.jpg","open")</f>
        <v/>
      </c>
      <c r="C6525" t="inlineStr">
        <is>
          <t>18a5c468-d9e6-4814-8477-1caf4a2e1fe9</t>
        </is>
      </c>
      <c r="D6525" t="n">
        <v>55.72292</v>
      </c>
      <c r="E6525" t="n">
        <v>37.44726</v>
      </c>
      <c r="F6525" t="inlineStr"/>
      <c r="G6525" t="inlineStr"/>
      <c r="H6525" t="inlineStr"/>
    </row>
    <row r="6526">
      <c r="A6526" t="inlineStr">
        <is>
          <t>fdd0905f-4dd2-42a0-b157-d320cfba5a01.jpg</t>
        </is>
      </c>
      <c r="B6526">
        <f>HYPERLINK("Объекты недвижимости, не соответствующие градостроительным нормам_00-022_Август/fdd0905f-4dd2-42a0-b157-d320cfba5a01.jpg","open")</f>
        <v/>
      </c>
      <c r="C6526" t="inlineStr">
        <is>
          <t>1231bbc5-e64c-4dc7-9acc-77710f47607a</t>
        </is>
      </c>
      <c r="D6526" t="n">
        <v>55.54657</v>
      </c>
      <c r="E6526" t="n">
        <v>37.53489</v>
      </c>
      <c r="F6526" t="inlineStr"/>
      <c r="G6526" t="inlineStr"/>
      <c r="H6526" t="inlineStr"/>
    </row>
    <row r="6527">
      <c r="A6527" t="inlineStr">
        <is>
          <t>f0dae3f2-fcec-4200-8d27-795dc33f8726.jpg</t>
        </is>
      </c>
      <c r="B6527">
        <f>HYPERLINK("Объекты недвижимости, не соответствующие градостроительным нормам_00-022_Август/f0dae3f2-fcec-4200-8d27-795dc33f8726.jpg","open")</f>
        <v/>
      </c>
      <c r="C6527" t="inlineStr">
        <is>
          <t>99f3abba-c55b-49f0-9de5-9f88e9597cc0</t>
        </is>
      </c>
      <c r="D6527" t="n">
        <v>55.64218</v>
      </c>
      <c r="E6527" t="n">
        <v>37.61421</v>
      </c>
      <c r="F6527" t="inlineStr"/>
      <c r="G6527" t="inlineStr"/>
      <c r="H6527" t="inlineStr"/>
    </row>
    <row r="6528">
      <c r="A6528" t="inlineStr">
        <is>
          <t>afe7d421-b670-4f45-8606-bbedef113569.jpg</t>
        </is>
      </c>
      <c r="B6528">
        <f>HYPERLINK("Объекты недвижимости, не соответствующие градостроительным нормам_00-022_Август/afe7d421-b670-4f45-8606-bbedef113569.jpg","open")</f>
        <v/>
      </c>
      <c r="C6528" t="inlineStr">
        <is>
          <t>b0429a31-0c70-4b9f-8ea5-73929d82f89e</t>
        </is>
      </c>
      <c r="D6528" t="n">
        <v>55.64285</v>
      </c>
      <c r="E6528" t="n">
        <v>37.60668</v>
      </c>
      <c r="F6528" t="inlineStr"/>
      <c r="G6528" t="inlineStr"/>
      <c r="H6528" t="inlineStr"/>
    </row>
    <row r="6529">
      <c r="A6529" t="inlineStr">
        <is>
          <t>9c6a9afd-2f96-41c9-906f-dbddbd0bfa65.jpg</t>
        </is>
      </c>
      <c r="B6529">
        <f>HYPERLINK("Объекты недвижимости, не соответствующие градостроительным нормам_00-022_Август/9c6a9afd-2f96-41c9-906f-dbddbd0bfa65.jpg","open")</f>
        <v/>
      </c>
      <c r="C6529" t="inlineStr">
        <is>
          <t>c008bda0-324b-4c90-9c2f-36cfc930e0b5</t>
        </is>
      </c>
      <c r="D6529" t="n">
        <v>55.73742</v>
      </c>
      <c r="E6529" t="n">
        <v>37.64859</v>
      </c>
      <c r="F6529" t="inlineStr"/>
      <c r="G6529" t="inlineStr"/>
      <c r="H6529" t="inlineStr"/>
    </row>
    <row r="6530">
      <c r="A6530" t="inlineStr">
        <is>
          <t>58f46f21-14a9-4e04-b4ab-dd957859833d.jpg</t>
        </is>
      </c>
      <c r="B6530">
        <f>HYPERLINK("Объекты недвижимости, не соответствующие градостроительным нормам_00-022_Август/58f46f21-14a9-4e04-b4ab-dd957859833d.jpg","open")</f>
        <v/>
      </c>
      <c r="C6530" t="inlineStr">
        <is>
          <t>5e5b9944-4f9e-4223-bf96-0bc0c8a93dfa</t>
        </is>
      </c>
      <c r="D6530" t="n">
        <v>55.62027</v>
      </c>
      <c r="E6530" t="n">
        <v>37.48155</v>
      </c>
      <c r="F6530" t="inlineStr"/>
      <c r="G6530" t="inlineStr"/>
      <c r="H6530" t="inlineStr"/>
    </row>
    <row r="6531">
      <c r="A6531" t="inlineStr">
        <is>
          <t>dddd6416-f53b-4ccc-8baa-c4f3b58d32e1.jpg</t>
        </is>
      </c>
      <c r="B6531">
        <f>HYPERLINK("Объекты недвижимости, не соответствующие градостроительным нормам_00-022_Август/dddd6416-f53b-4ccc-8baa-c4f3b58d32e1.jpg","open")</f>
        <v/>
      </c>
      <c r="C6531" t="inlineStr">
        <is>
          <t>18a5c468-d9e6-4814-8477-1caf4a2e1fe9</t>
        </is>
      </c>
      <c r="D6531" t="n">
        <v>55.72292</v>
      </c>
      <c r="E6531" t="n">
        <v>37.44726</v>
      </c>
      <c r="F6531" t="inlineStr"/>
      <c r="G6531" t="inlineStr"/>
      <c r="H6531" t="inlineStr"/>
    </row>
    <row r="6532">
      <c r="A6532" t="inlineStr">
        <is>
          <t>bb3525f1-761b-4ac1-b753-cc2cb7580099.jpg</t>
        </is>
      </c>
      <c r="B6532">
        <f>HYPERLINK("Объекты недвижимости, не соответствующие градостроительным нормам_00-022_Август/bb3525f1-761b-4ac1-b753-cc2cb7580099.jpg","open")</f>
        <v/>
      </c>
      <c r="C6532" t="inlineStr">
        <is>
          <t>b0429a31-0c70-4b9f-8ea5-73929d82f89e</t>
        </is>
      </c>
      <c r="D6532" t="n">
        <v>55.64198</v>
      </c>
      <c r="E6532" t="n">
        <v>37.61387</v>
      </c>
      <c r="F6532" t="inlineStr"/>
      <c r="G6532" t="inlineStr"/>
      <c r="H6532" t="inlineStr"/>
    </row>
    <row r="6533">
      <c r="A6533" t="inlineStr">
        <is>
          <t>d468664a-c5da-43b6-8cfe-f0c7c23e54af.jpg</t>
        </is>
      </c>
      <c r="B6533">
        <f>HYPERLINK("Объекты недвижимости, не соответствующие градостроительным нормам_00-022_Август/d468664a-c5da-43b6-8cfe-f0c7c23e54af.jpg","open")</f>
        <v/>
      </c>
      <c r="C6533" t="inlineStr">
        <is>
          <t>e26f5fc2-1353-4f29-85f3-87c56419161c</t>
        </is>
      </c>
      <c r="D6533" t="n">
        <v>55.7506</v>
      </c>
      <c r="E6533" t="n">
        <v>37.66988</v>
      </c>
      <c r="F6533" t="inlineStr"/>
      <c r="G6533" t="inlineStr"/>
      <c r="H6533" t="inlineStr"/>
    </row>
    <row r="6534">
      <c r="A6534" t="inlineStr">
        <is>
          <t>109eb08e-1544-43ac-9902-6e1c040bb007.jpg</t>
        </is>
      </c>
      <c r="B6534">
        <f>HYPERLINK("Объекты недвижимости, не соответствующие градостроительным нормам_00-022_Август/109eb08e-1544-43ac-9902-6e1c040bb007.jpg","open")</f>
        <v/>
      </c>
      <c r="C6534" t="inlineStr">
        <is>
          <t>1a55986c-2c3f-40c0-b3d1-014dce77832e</t>
        </is>
      </c>
      <c r="D6534" t="n">
        <v>55.65135</v>
      </c>
      <c r="E6534" t="n">
        <v>37.70142</v>
      </c>
      <c r="F6534" t="inlineStr"/>
      <c r="G6534" t="inlineStr"/>
      <c r="H6534" t="inlineStr"/>
    </row>
    <row r="6535">
      <c r="A6535" t="inlineStr">
        <is>
          <t>49194f5f-31a4-4234-8cb6-8362bd1c5bd7.jpg</t>
        </is>
      </c>
      <c r="B6535">
        <f>HYPERLINK("Объекты недвижимости, не соответствующие градостроительным нормам_00-022_Август/49194f5f-31a4-4234-8cb6-8362bd1c5bd7.jpg","open")</f>
        <v/>
      </c>
      <c r="C6535" t="inlineStr">
        <is>
          <t>6e2567a0-1fb9-40d5-a0e7-0adb480d2965</t>
        </is>
      </c>
      <c r="D6535" t="n">
        <v>55.6501</v>
      </c>
      <c r="E6535" t="n">
        <v>37.70034</v>
      </c>
      <c r="F6535" t="inlineStr"/>
      <c r="G6535" t="inlineStr"/>
      <c r="H6535" t="inlineStr"/>
    </row>
    <row r="6536">
      <c r="A6536" t="inlineStr">
        <is>
          <t>ab28e376-9932-4e94-bf2c-71d8d3d210ca.jpg</t>
        </is>
      </c>
      <c r="B6536">
        <f>HYPERLINK("Объекты недвижимости, не соответствующие градостроительным нормам_00-022_Август/ab28e376-9932-4e94-bf2c-71d8d3d210ca.jpg","open")</f>
        <v/>
      </c>
      <c r="C6536" t="inlineStr">
        <is>
          <t>1a55986c-2c3f-40c0-b3d1-014dce77832e</t>
        </is>
      </c>
      <c r="D6536" t="n">
        <v>55.65977</v>
      </c>
      <c r="E6536" t="n">
        <v>37.69973</v>
      </c>
      <c r="F6536" t="inlineStr"/>
      <c r="G6536" t="inlineStr"/>
      <c r="H6536" t="inlineStr"/>
    </row>
    <row r="6537">
      <c r="A6537" t="inlineStr">
        <is>
          <t>324357ab-f579-4171-9983-53e6058fbf65.jpg</t>
        </is>
      </c>
      <c r="B6537">
        <f>HYPERLINK("Объекты недвижимости, не соответствующие градостроительным нормам_00-022_Август/324357ab-f579-4171-9983-53e6058fbf65.jpg","open")</f>
        <v/>
      </c>
      <c r="C6537" t="inlineStr">
        <is>
          <t>936502dd-24a4-4256-9fdf-0d8fb72af3ed</t>
        </is>
      </c>
      <c r="D6537" t="n">
        <v>55.68297</v>
      </c>
      <c r="E6537" t="n">
        <v>37.66671</v>
      </c>
      <c r="F6537" t="inlineStr"/>
      <c r="G6537" t="inlineStr"/>
      <c r="H6537" t="inlineStr"/>
    </row>
    <row r="6538">
      <c r="A6538" t="inlineStr">
        <is>
          <t>0361c5ab-d4a8-4a78-a7df-f47d807fa6a6.jpg</t>
        </is>
      </c>
      <c r="B6538">
        <f>HYPERLINK("Объекты недвижимости, не соответствующие градостроительным нормам_00-022_Август/0361c5ab-d4a8-4a78-a7df-f47d807fa6a6.jpg","open")</f>
        <v/>
      </c>
      <c r="C6538" t="inlineStr">
        <is>
          <t>685d9054-b74f-49ab-857b-109fd2cec80d</t>
        </is>
      </c>
      <c r="D6538" t="n">
        <v>55.54847</v>
      </c>
      <c r="E6538" t="n">
        <v>37.53291</v>
      </c>
      <c r="F6538" t="inlineStr"/>
      <c r="G6538" t="inlineStr"/>
      <c r="H6538" t="inlineStr"/>
    </row>
    <row r="6539">
      <c r="A6539" t="inlineStr">
        <is>
          <t>8cdb7373-aca8-43ea-9117-e131f0d29e88.jpg</t>
        </is>
      </c>
      <c r="B6539">
        <f>HYPERLINK("Объекты недвижимости, не соответствующие градостроительным нормам_00-022_Август/8cdb7373-aca8-43ea-9117-e131f0d29e88.jpg","open")</f>
        <v/>
      </c>
      <c r="C6539" t="inlineStr">
        <is>
          <t>f6f80c84-5569-48fd-b627-6f41ce4c61c4</t>
        </is>
      </c>
      <c r="D6539" t="n">
        <v>55.8023</v>
      </c>
      <c r="E6539" t="n">
        <v>37.81988</v>
      </c>
      <c r="F6539" t="inlineStr"/>
      <c r="G6539" t="inlineStr"/>
      <c r="H6539" t="inlineStr"/>
    </row>
    <row r="6540">
      <c r="A6540" t="inlineStr">
        <is>
          <t>ae40b826-16d8-476f-a684-7976ea754b9a.jpg</t>
        </is>
      </c>
      <c r="B6540">
        <f>HYPERLINK("Объекты недвижимости, не соответствующие градостроительным нормам_00-022_Август/ae40b826-16d8-476f-a684-7976ea754b9a.jpg","open")</f>
        <v/>
      </c>
      <c r="C6540" t="inlineStr">
        <is>
          <t>1c951e11-4940-43c6-a447-394097e5609a</t>
        </is>
      </c>
      <c r="D6540" t="n">
        <v>55.82167</v>
      </c>
      <c r="E6540" t="n">
        <v>37.60301</v>
      </c>
      <c r="F6540" t="inlineStr"/>
      <c r="G6540" t="inlineStr"/>
      <c r="H6540" t="inlineStr"/>
    </row>
    <row r="6541">
      <c r="A6541" t="inlineStr">
        <is>
          <t>34b9b6b8-906f-444f-be11-9f3a5ef3a4f4.jpg</t>
        </is>
      </c>
      <c r="B6541">
        <f>HYPERLINK("Объекты недвижимости, не соответствующие градостроительным нормам_00-022_Август/34b9b6b8-906f-444f-be11-9f3a5ef3a4f4.jpg","open")</f>
        <v/>
      </c>
      <c r="C6541" t="inlineStr">
        <is>
          <t>1a55986c-2c3f-40c0-b3d1-014dce77832e</t>
        </is>
      </c>
      <c r="D6541" t="n">
        <v>55.65514</v>
      </c>
      <c r="E6541" t="n">
        <v>37.70221</v>
      </c>
      <c r="F6541" t="inlineStr"/>
      <c r="G6541" t="inlineStr"/>
      <c r="H6541" t="inlineStr"/>
    </row>
    <row r="6542">
      <c r="A6542" t="inlineStr">
        <is>
          <t>e63ee104-525d-4c8e-a425-50a8b29fcff2.jpg</t>
        </is>
      </c>
      <c r="B6542">
        <f>HYPERLINK("Объекты недвижимости, не соответствующие градостроительным нормам_00-022_Август/e63ee104-525d-4c8e-a425-50a8b29fcff2.jpg","open")</f>
        <v/>
      </c>
      <c r="C6542" t="inlineStr">
        <is>
          <t>ed2bf0f1-3a66-4913-896e-4420a9796c0b</t>
        </is>
      </c>
      <c r="D6542" t="n">
        <v>55.65539</v>
      </c>
      <c r="E6542" t="n">
        <v>37.70256</v>
      </c>
      <c r="F6542" t="inlineStr"/>
      <c r="G6542" t="inlineStr"/>
      <c r="H6542" t="inlineStr"/>
    </row>
    <row r="6543">
      <c r="A6543" t="inlineStr">
        <is>
          <t>1d315483-59a4-4806-bfb3-adeb4708c069.jpg</t>
        </is>
      </c>
      <c r="B6543">
        <f>HYPERLINK("Объекты недвижимости, не соответствующие градостроительным нормам_00-022_Август/1d315483-59a4-4806-bfb3-adeb4708c069.jpg","open")</f>
        <v/>
      </c>
      <c r="C6543" t="inlineStr">
        <is>
          <t>685d9054-b74f-49ab-857b-109fd2cec80d</t>
        </is>
      </c>
      <c r="D6543" t="n">
        <v>55.54853</v>
      </c>
      <c r="E6543" t="n">
        <v>37.53299</v>
      </c>
      <c r="F6543" t="inlineStr"/>
      <c r="G6543" t="inlineStr"/>
      <c r="H6543" t="inlineStr"/>
    </row>
    <row r="6544">
      <c r="A6544" t="inlineStr">
        <is>
          <t>6b4d77df-f2f9-49b2-b8e6-6f5f166c47fc.jpg</t>
        </is>
      </c>
      <c r="B6544">
        <f>HYPERLINK("Объекты недвижимости, не соответствующие градостроительным нормам_00-022_Август/6b4d77df-f2f9-49b2-b8e6-6f5f166c47fc.jpg","open")</f>
        <v/>
      </c>
      <c r="C6544" t="inlineStr">
        <is>
          <t>8cde1fd0-eca1-4510-86ab-3c743b65fdfc</t>
        </is>
      </c>
      <c r="D6544" t="n">
        <v>55.81788</v>
      </c>
      <c r="E6544" t="n">
        <v>37.60359</v>
      </c>
      <c r="F6544" t="inlineStr"/>
      <c r="G6544" t="inlineStr"/>
      <c r="H6544" t="inlineStr"/>
    </row>
    <row r="6545">
      <c r="A6545" t="inlineStr">
        <is>
          <t>ae1688e9-6717-41b3-a190-5b6aac128af2.jpg</t>
        </is>
      </c>
      <c r="B6545">
        <f>HYPERLINK("Объекты недвижимости, не соответствующие градостроительным нормам_00-022_Август/ae1688e9-6717-41b3-a190-5b6aac128af2.jpg","open")</f>
        <v/>
      </c>
      <c r="C6545" t="inlineStr">
        <is>
          <t>cbf95b01-f708-45a3-9ec0-3603469b538e</t>
        </is>
      </c>
      <c r="D6545" t="n">
        <v>55.78225</v>
      </c>
      <c r="E6545" t="n">
        <v>37.59335</v>
      </c>
      <c r="F6545" t="inlineStr"/>
      <c r="G6545" t="inlineStr"/>
      <c r="H6545" t="inlineStr"/>
    </row>
    <row r="6546">
      <c r="A6546" t="inlineStr">
        <is>
          <t>982e84c1-5514-47f1-99c4-e9173a096804.jpg</t>
        </is>
      </c>
      <c r="B6546">
        <f>HYPERLINK("Объекты недвижимости, не соответствующие градостроительным нормам_00-022_Август/982e84c1-5514-47f1-99c4-e9173a096804.jpg","open")</f>
        <v/>
      </c>
      <c r="C6546" t="inlineStr">
        <is>
          <t>c008bda0-324b-4c90-9c2f-36cfc930e0b5</t>
        </is>
      </c>
      <c r="D6546" t="n">
        <v>55.73742</v>
      </c>
      <c r="E6546" t="n">
        <v>37.64859</v>
      </c>
      <c r="F6546" t="inlineStr"/>
      <c r="G6546" t="inlineStr"/>
      <c r="H6546" t="inlineStr"/>
    </row>
    <row r="6547">
      <c r="A6547" t="inlineStr">
        <is>
          <t>5d8085b0-c9a2-4766-94e6-8b6bd3b4ce4c.jpg</t>
        </is>
      </c>
      <c r="B6547">
        <f>HYPERLINK("Объекты недвижимости, не соответствующие градостроительным нормам_00-022_Август/5d8085b0-c9a2-4766-94e6-8b6bd3b4ce4c.jpg","open")</f>
        <v/>
      </c>
      <c r="C6547" t="inlineStr">
        <is>
          <t>8cde1fd0-eca1-4510-86ab-3c743b65fdfc</t>
        </is>
      </c>
      <c r="D6547" t="n">
        <v>55.81804</v>
      </c>
      <c r="E6547" t="n">
        <v>37.6155</v>
      </c>
      <c r="F6547" t="inlineStr"/>
      <c r="G6547" t="inlineStr"/>
      <c r="H6547" t="inlineStr"/>
    </row>
    <row r="6548">
      <c r="A6548" t="inlineStr">
        <is>
          <t>dac349e3-8710-43f7-b952-f91c63cd4ce5.jpg</t>
        </is>
      </c>
      <c r="B6548">
        <f>HYPERLINK("Объекты недвижимости, не соответствующие градостроительным нормам_00-022_Август/dac349e3-8710-43f7-b952-f91c63cd4ce5.jpg","open")</f>
        <v/>
      </c>
      <c r="C6548" t="inlineStr">
        <is>
          <t>685d9054-b74f-49ab-857b-109fd2cec80d</t>
        </is>
      </c>
      <c r="D6548" t="n">
        <v>55.54892</v>
      </c>
      <c r="E6548" t="n">
        <v>37.53276</v>
      </c>
      <c r="F6548" t="inlineStr"/>
      <c r="G6548" t="inlineStr"/>
      <c r="H6548" t="inlineStr"/>
    </row>
    <row r="6549">
      <c r="A6549" t="inlineStr">
        <is>
          <t>83343a41-a30b-4683-9549-e6997b15ff6b.jpg</t>
        </is>
      </c>
      <c r="B6549">
        <f>HYPERLINK("Объекты недвижимости, не соответствующие градостроительным нормам_00-022_Август/83343a41-a30b-4683-9549-e6997b15ff6b.jpg","open")</f>
        <v/>
      </c>
      <c r="C6549" t="inlineStr">
        <is>
          <t>1231bbc5-e64c-4dc7-9acc-77710f47607a</t>
        </is>
      </c>
      <c r="D6549" t="n">
        <v>55.54889</v>
      </c>
      <c r="E6549" t="n">
        <v>37.5328</v>
      </c>
      <c r="F6549" t="inlineStr"/>
      <c r="G6549" t="inlineStr"/>
      <c r="H6549" t="inlineStr"/>
    </row>
    <row r="6550">
      <c r="A6550" t="inlineStr">
        <is>
          <t>0c9a12d9-cfaa-4e2f-a25b-f4fd10fd4e21.jpg</t>
        </is>
      </c>
      <c r="B6550">
        <f>HYPERLINK("Объекты недвижимости, не соответствующие градостроительным нормам_00-022_Август/0c9a12d9-cfaa-4e2f-a25b-f4fd10fd4e21.jpg","open")</f>
        <v/>
      </c>
      <c r="C6550" t="inlineStr">
        <is>
          <t>cbf95b01-f708-45a3-9ec0-3603469b538e</t>
        </is>
      </c>
      <c r="D6550" t="n">
        <v>55.78324</v>
      </c>
      <c r="E6550" t="n">
        <v>37.58443</v>
      </c>
      <c r="F6550" t="inlineStr"/>
      <c r="G6550" t="inlineStr"/>
      <c r="H6550" t="inlineStr"/>
    </row>
    <row r="6551">
      <c r="A6551" t="inlineStr">
        <is>
          <t>c3505b84-1a0c-40ab-a9ce-1b9812db5ad7.jpg</t>
        </is>
      </c>
      <c r="B6551">
        <f>HYPERLINK("Объекты недвижимости, не соответствующие градостроительным нормам_00-022_Август/c3505b84-1a0c-40ab-a9ce-1b9812db5ad7.jpg","open")</f>
        <v/>
      </c>
      <c r="C6551" t="inlineStr">
        <is>
          <t>cbf95b01-f708-45a3-9ec0-3603469b538e</t>
        </is>
      </c>
      <c r="D6551" t="n">
        <v>55.78324</v>
      </c>
      <c r="E6551" t="n">
        <v>37.58443</v>
      </c>
      <c r="F6551" t="inlineStr"/>
      <c r="G6551" t="inlineStr"/>
      <c r="H6551" t="inlineStr"/>
    </row>
    <row r="6552">
      <c r="A6552" t="inlineStr">
        <is>
          <t>1d06d9ef-e1c5-425b-bacd-f1c4bda2dd2b.jpg</t>
        </is>
      </c>
      <c r="B6552">
        <f>HYPERLINK("Объекты недвижимости, не соответствующие градостроительным нормам_00-022_Август/1d06d9ef-e1c5-425b-bacd-f1c4bda2dd2b.jpg","open")</f>
        <v/>
      </c>
      <c r="C6552" t="inlineStr">
        <is>
          <t>cbf95b01-f708-45a3-9ec0-3603469b538e</t>
        </is>
      </c>
      <c r="D6552" t="n">
        <v>55.78691</v>
      </c>
      <c r="E6552" t="n">
        <v>37.57913</v>
      </c>
      <c r="F6552" t="inlineStr"/>
      <c r="G6552" t="inlineStr"/>
      <c r="H6552" t="inlineStr"/>
    </row>
    <row r="6553">
      <c r="A6553" t="inlineStr">
        <is>
          <t>5c493663-73e8-47ae-a0a6-6ac5fec2899a.jpg</t>
        </is>
      </c>
      <c r="B6553">
        <f>HYPERLINK("Объекты недвижимости, не соответствующие градостроительным нормам_00-022_Август/5c493663-73e8-47ae-a0a6-6ac5fec2899a.jpg","open")</f>
        <v/>
      </c>
      <c r="C6553" t="inlineStr">
        <is>
          <t>ed2bf0f1-3a66-4913-896e-4420a9796c0b</t>
        </is>
      </c>
      <c r="D6553" t="n">
        <v>55.6551</v>
      </c>
      <c r="E6553" t="n">
        <v>37.70214</v>
      </c>
      <c r="F6553" t="inlineStr"/>
      <c r="G6553" t="inlineStr"/>
      <c r="H6553" t="inlineStr"/>
    </row>
    <row r="6554">
      <c r="A6554" t="inlineStr">
        <is>
          <t>e1dbd987-ad83-4a77-a598-efdbf154dc7a.jpg</t>
        </is>
      </c>
      <c r="B6554">
        <f>HYPERLINK("Объекты недвижимости, не соответствующие градостроительным нормам_00-022_Август/e1dbd987-ad83-4a77-a598-efdbf154dc7a.jpg","open")</f>
        <v/>
      </c>
      <c r="C6554" t="inlineStr">
        <is>
          <t>1a55986c-2c3f-40c0-b3d1-014dce77832e</t>
        </is>
      </c>
      <c r="D6554" t="n">
        <v>55.65517</v>
      </c>
      <c r="E6554" t="n">
        <v>37.70224</v>
      </c>
      <c r="F6554" t="inlineStr"/>
      <c r="G6554" t="inlineStr"/>
      <c r="H6554" t="inlineStr"/>
    </row>
    <row r="6555">
      <c r="A6555" t="inlineStr">
        <is>
          <t>eb8d45f7-8424-495a-b6b5-957295820447.jpg</t>
        </is>
      </c>
      <c r="B6555">
        <f>HYPERLINK("Объекты недвижимости, не соответствующие градостроительным нормам_00-022_Август/eb8d45f7-8424-495a-b6b5-957295820447.jpg","open")</f>
        <v/>
      </c>
      <c r="C6555" t="inlineStr">
        <is>
          <t>29ad9edb-d533-4272-a986-be24eb004851</t>
        </is>
      </c>
      <c r="D6555" t="n">
        <v>55.73742</v>
      </c>
      <c r="E6555" t="n">
        <v>37.64859</v>
      </c>
      <c r="F6555" t="inlineStr"/>
      <c r="G6555" t="inlineStr"/>
      <c r="H6555" t="inlineStr"/>
    </row>
    <row r="6556">
      <c r="A6556" t="inlineStr">
        <is>
          <t>9b24279b-f5d9-401a-8d00-47d441a1c36e.jpg</t>
        </is>
      </c>
      <c r="B6556">
        <f>HYPERLINK("Объекты недвижимости, не соответствующие градостроительным нормам_00-022_Август/9b24279b-f5d9-401a-8d00-47d441a1c36e.jpg","open")</f>
        <v/>
      </c>
      <c r="C6556" t="inlineStr">
        <is>
          <t>8cde1fd0-eca1-4510-86ab-3c743b65fdfc</t>
        </is>
      </c>
      <c r="D6556" t="n">
        <v>55.81217</v>
      </c>
      <c r="E6556" t="n">
        <v>37.61861</v>
      </c>
      <c r="F6556" t="inlineStr"/>
      <c r="G6556" t="inlineStr"/>
      <c r="H6556" t="inlineStr"/>
    </row>
    <row r="6557">
      <c r="A6557" t="inlineStr">
        <is>
          <t>cec48df1-2ea0-482c-8f4e-361291b5b37b.jpg</t>
        </is>
      </c>
      <c r="B6557">
        <f>HYPERLINK("Объекты недвижимости, не соответствующие градостроительным нормам_00-022_Август/cec48df1-2ea0-482c-8f4e-361291b5b37b.jpg","open")</f>
        <v/>
      </c>
      <c r="C6557" t="inlineStr">
        <is>
          <t>ed2bf0f1-3a66-4913-896e-4420a9796c0b</t>
        </is>
      </c>
      <c r="D6557" t="n">
        <v>55.65791</v>
      </c>
      <c r="E6557" t="n">
        <v>37.70689</v>
      </c>
      <c r="F6557" t="inlineStr"/>
      <c r="G6557" t="inlineStr"/>
      <c r="H6557" t="inlineStr"/>
    </row>
    <row r="6558">
      <c r="A6558" t="inlineStr">
        <is>
          <t>ba3aac81-a7c8-4eaa-9659-98f5e06d0a73.jpg</t>
        </is>
      </c>
      <c r="B6558">
        <f>HYPERLINK("Объекты недвижимости, не соответствующие градостроительным нормам_00-022_Август/ba3aac81-a7c8-4eaa-9659-98f5e06d0a73.jpg","open")</f>
        <v/>
      </c>
      <c r="C6558" t="inlineStr">
        <is>
          <t>6e2567a0-1fb9-40d5-a0e7-0adb480d2965</t>
        </is>
      </c>
      <c r="D6558" t="n">
        <v>55.60748</v>
      </c>
      <c r="E6558" t="n">
        <v>37.65772</v>
      </c>
      <c r="F6558" t="inlineStr"/>
      <c r="G6558" t="inlineStr"/>
      <c r="H6558" t="inlineStr"/>
    </row>
    <row r="6559">
      <c r="A6559" t="inlineStr">
        <is>
          <t>03a366fc-d0eb-4d62-aac2-0021b6c80a26.jpg</t>
        </is>
      </c>
      <c r="B6559">
        <f>HYPERLINK("Объекты недвижимости, не соответствующие градостроительным нормам_00-022_Август/03a366fc-d0eb-4d62-aac2-0021b6c80a26.jpg","open")</f>
        <v/>
      </c>
      <c r="C6559" t="inlineStr">
        <is>
          <t>b0429a31-0c70-4b9f-8ea5-73929d82f89e</t>
        </is>
      </c>
      <c r="D6559" t="n">
        <v>55.65707</v>
      </c>
      <c r="E6559" t="n">
        <v>37.62041</v>
      </c>
      <c r="F6559" t="inlineStr"/>
      <c r="G6559" t="inlineStr"/>
      <c r="H6559" t="inlineStr"/>
    </row>
    <row r="6560">
      <c r="A6560" t="inlineStr">
        <is>
          <t>228fc6d6-29cc-4ef1-b857-f4e75109b523.jpg</t>
        </is>
      </c>
      <c r="B6560">
        <f>HYPERLINK("Объекты недвижимости, не соответствующие градостроительным нормам_00-022_Август/228fc6d6-29cc-4ef1-b857-f4e75109b523.jpg","open")</f>
        <v/>
      </c>
      <c r="C6560" t="inlineStr">
        <is>
          <t>1231bbc5-e64c-4dc7-9acc-77710f47607a</t>
        </is>
      </c>
      <c r="D6560" t="n">
        <v>55.54702</v>
      </c>
      <c r="E6560" t="n">
        <v>37.52957</v>
      </c>
      <c r="F6560" t="inlineStr"/>
      <c r="G6560" t="inlineStr"/>
      <c r="H6560" t="inlineStr"/>
    </row>
    <row r="6561">
      <c r="A6561" t="inlineStr">
        <is>
          <t>4281c37e-5e1e-4d7f-8ce6-e7df0b875704.jpg</t>
        </is>
      </c>
      <c r="B6561">
        <f>HYPERLINK("Объекты недвижимости, не соответствующие градостроительным нормам_00-022_Август/4281c37e-5e1e-4d7f-8ce6-e7df0b875704.jpg","open")</f>
        <v/>
      </c>
      <c r="C6561" t="inlineStr">
        <is>
          <t>685d9054-b74f-49ab-857b-109fd2cec80d</t>
        </is>
      </c>
      <c r="D6561" t="n">
        <v>55.54698</v>
      </c>
      <c r="E6561" t="n">
        <v>37.52959</v>
      </c>
      <c r="F6561" t="inlineStr"/>
      <c r="G6561" t="inlineStr"/>
      <c r="H6561" t="inlineStr"/>
    </row>
    <row r="6562">
      <c r="A6562" t="inlineStr">
        <is>
          <t>2e853dab-5962-4dd8-b279-9cf02b56cd1f.jpg</t>
        </is>
      </c>
      <c r="B6562">
        <f>HYPERLINK("Объекты недвижимости, не соответствующие градостроительным нормам_00-022_Август/2e853dab-5962-4dd8-b279-9cf02b56cd1f.jpg","open")</f>
        <v/>
      </c>
      <c r="C6562" t="inlineStr">
        <is>
          <t>f60286ac-55e7-4099-85bd-cc599a7a0c65</t>
        </is>
      </c>
      <c r="D6562" t="n">
        <v>55.74583</v>
      </c>
      <c r="E6562" t="n">
        <v>37.77719</v>
      </c>
      <c r="F6562" t="inlineStr"/>
      <c r="G6562" t="inlineStr"/>
      <c r="H6562" t="inlineStr"/>
    </row>
    <row r="6563">
      <c r="A6563" t="inlineStr">
        <is>
          <t>f24f486e-df17-463a-a5b0-93f77961872d.jpg</t>
        </is>
      </c>
      <c r="B6563">
        <f>HYPERLINK("Объекты недвижимости, не соответствующие градостроительным нормам_00-022_Август/f24f486e-df17-463a-a5b0-93f77961872d.jpg","open")</f>
        <v/>
      </c>
      <c r="C6563" t="inlineStr">
        <is>
          <t>50e4626c-a80e-42ab-b999-b5092c2c063f</t>
        </is>
      </c>
      <c r="D6563" t="n">
        <v>56.02016</v>
      </c>
      <c r="E6563" t="n">
        <v>37.34821</v>
      </c>
      <c r="F6563" t="inlineStr"/>
      <c r="G6563" t="inlineStr"/>
      <c r="H6563" t="inlineStr"/>
    </row>
    <row r="6564">
      <c r="A6564" t="inlineStr">
        <is>
          <t>8142be4e-5cc8-483a-88a8-ffc31b14c3d5.jpg</t>
        </is>
      </c>
      <c r="B6564">
        <f>HYPERLINK("Объекты недвижимости, не соответствующие градостроительным нормам_00-022_Август/8142be4e-5cc8-483a-88a8-ffc31b14c3d5.jpg","open")</f>
        <v/>
      </c>
      <c r="C6564" t="inlineStr">
        <is>
          <t>29ad9edb-d533-4272-a986-be24eb004851</t>
        </is>
      </c>
      <c r="D6564" t="n">
        <v>55.73742</v>
      </c>
      <c r="E6564" t="n">
        <v>37.64859</v>
      </c>
      <c r="F6564" t="inlineStr"/>
      <c r="G6564" t="inlineStr"/>
      <c r="H6564" t="inlineStr"/>
    </row>
    <row r="6565">
      <c r="A6565" t="inlineStr">
        <is>
          <t>c32b820a-71cd-4d30-a05e-51a36d41abc7.jpg</t>
        </is>
      </c>
      <c r="B6565">
        <f>HYPERLINK("Объекты недвижимости, не соответствующие градостроительным нормам_00-022_Август/c32b820a-71cd-4d30-a05e-51a36d41abc7.jpg","open")</f>
        <v/>
      </c>
      <c r="C6565" t="inlineStr">
        <is>
          <t>c008bda0-324b-4c90-9c2f-36cfc930e0b5</t>
        </is>
      </c>
      <c r="D6565" t="n">
        <v>55.73742</v>
      </c>
      <c r="E6565" t="n">
        <v>37.64859</v>
      </c>
      <c r="F6565" t="inlineStr"/>
      <c r="G6565" t="inlineStr"/>
      <c r="H6565" t="inlineStr"/>
    </row>
    <row r="6566">
      <c r="A6566" t="inlineStr">
        <is>
          <t>6e8a2e13-dd38-4f32-9cf8-59c9869db901.jpg</t>
        </is>
      </c>
      <c r="B6566">
        <f>HYPERLINK("Объекты недвижимости, не соответствующие градостроительным нормам_00-022_Август/6e8a2e13-dd38-4f32-9cf8-59c9869db901.jpg","open")</f>
        <v/>
      </c>
      <c r="C6566" t="inlineStr">
        <is>
          <t>29ad9edb-d533-4272-a986-be24eb004851</t>
        </is>
      </c>
      <c r="D6566" t="n">
        <v>55.73742</v>
      </c>
      <c r="E6566" t="n">
        <v>37.64859</v>
      </c>
      <c r="F6566" t="inlineStr"/>
      <c r="G6566" t="inlineStr"/>
      <c r="H6566" t="inlineStr"/>
    </row>
    <row r="6567">
      <c r="A6567" t="inlineStr">
        <is>
          <t>6bd4f7dd-5317-40d9-9e7a-1b4f578583bc.jpg</t>
        </is>
      </c>
      <c r="B6567">
        <f>HYPERLINK("Объекты недвижимости, не соответствующие градостроительным нормам_00-022_Август/6bd4f7dd-5317-40d9-9e7a-1b4f578583bc.jpg","open")</f>
        <v/>
      </c>
      <c r="C6567" t="inlineStr">
        <is>
          <t>ed2bf0f1-3a66-4913-896e-4420a9796c0b</t>
        </is>
      </c>
      <c r="D6567" t="n">
        <v>55.66252</v>
      </c>
      <c r="E6567" t="n">
        <v>37.70222</v>
      </c>
      <c r="F6567" t="inlineStr"/>
      <c r="G6567" t="inlineStr"/>
      <c r="H6567" t="inlineStr"/>
    </row>
    <row r="6568">
      <c r="A6568" t="inlineStr">
        <is>
          <t>8e60e8a4-b339-4d23-90dc-0b33744c7125.jpg</t>
        </is>
      </c>
      <c r="B6568">
        <f>HYPERLINK("Объекты недвижимости, не соответствующие градостроительным нормам_00-022_Август/8e60e8a4-b339-4d23-90dc-0b33744c7125.jpg","open")</f>
        <v/>
      </c>
      <c r="C6568" t="inlineStr">
        <is>
          <t>cbf95b01-f708-45a3-9ec0-3603469b538e</t>
        </is>
      </c>
      <c r="D6568" t="n">
        <v>55.76614</v>
      </c>
      <c r="E6568" t="n">
        <v>37.53738</v>
      </c>
      <c r="F6568" t="inlineStr"/>
      <c r="G6568" t="inlineStr"/>
      <c r="H6568" t="inlineStr"/>
    </row>
    <row r="6569">
      <c r="A6569" t="inlineStr">
        <is>
          <t>1b76d5e9-da6e-4f7e-8e71-37c0aac7654d.jpg</t>
        </is>
      </c>
      <c r="B6569">
        <f>HYPERLINK("Объекты недвижимости, не соответствующие градостроительным нормам_00-022_Август/1b76d5e9-da6e-4f7e-8e71-37c0aac7654d.jpg","open")</f>
        <v/>
      </c>
      <c r="C6569" t="inlineStr">
        <is>
          <t>1a55986c-2c3f-40c0-b3d1-014dce77832e</t>
        </is>
      </c>
      <c r="D6569" t="n">
        <v>55.66525</v>
      </c>
      <c r="E6569" t="n">
        <v>37.69728</v>
      </c>
      <c r="F6569" t="inlineStr"/>
      <c r="G6569" t="inlineStr"/>
      <c r="H6569" t="inlineStr"/>
    </row>
    <row r="6570">
      <c r="A6570" t="inlineStr">
        <is>
          <t>4bac439b-b9ea-481f-ad82-d241938b40c9.jpg</t>
        </is>
      </c>
      <c r="B6570">
        <f>HYPERLINK("Объекты недвижимости, не соответствующие градостроительным нормам_00-022_Август/4bac439b-b9ea-481f-ad82-d241938b40c9.jpg","open")</f>
        <v/>
      </c>
      <c r="C6570" t="inlineStr">
        <is>
          <t>50e4626c-a80e-42ab-b999-b5092c2c063f</t>
        </is>
      </c>
      <c r="D6570" t="n">
        <v>56.02016</v>
      </c>
      <c r="E6570" t="n">
        <v>37.34821</v>
      </c>
      <c r="F6570" t="inlineStr"/>
      <c r="G6570" t="inlineStr"/>
      <c r="H6570" t="inlineStr"/>
    </row>
    <row r="6571">
      <c r="A6571" t="inlineStr">
        <is>
          <t>7bd74cb4-0dfb-4509-9883-b1dfe704254c.jpg</t>
        </is>
      </c>
      <c r="B6571">
        <f>HYPERLINK("Объекты недвижимости, не соответствующие градостроительным нормам_00-022_Август/7bd74cb4-0dfb-4509-9883-b1dfe704254c.jpg","open")</f>
        <v/>
      </c>
      <c r="C6571" t="inlineStr">
        <is>
          <t>e90a3ac0-5b70-4ede-abeb-382371713306</t>
        </is>
      </c>
      <c r="D6571" t="n">
        <v>55.68398</v>
      </c>
      <c r="E6571" t="n">
        <v>37.55959</v>
      </c>
      <c r="F6571" t="inlineStr"/>
      <c r="G6571" t="inlineStr"/>
      <c r="H6571" t="inlineStr"/>
    </row>
    <row r="6572">
      <c r="A6572" t="inlineStr">
        <is>
          <t>f0103de0-44d6-415d-a7ae-eb326521e476.jpg</t>
        </is>
      </c>
      <c r="B6572">
        <f>HYPERLINK("Объекты недвижимости, не соответствующие градостроительным нормам_00-022_Август/f0103de0-44d6-415d-a7ae-eb326521e476.jpg","open")</f>
        <v/>
      </c>
      <c r="C6572" t="inlineStr">
        <is>
          <t>e90a3ac0-5b70-4ede-abeb-382371713306</t>
        </is>
      </c>
      <c r="D6572" t="n">
        <v>55.68398</v>
      </c>
      <c r="E6572" t="n">
        <v>37.55959</v>
      </c>
      <c r="F6572" t="inlineStr"/>
      <c r="G6572" t="inlineStr"/>
      <c r="H6572" t="inlineStr"/>
    </row>
    <row r="6573">
      <c r="A6573" t="inlineStr">
        <is>
          <t>5757c257-b884-44ca-b45e-7c898153a320.jpg</t>
        </is>
      </c>
      <c r="B6573">
        <f>HYPERLINK("Объекты недвижимости, не соответствующие градостроительным нормам_00-022_Август/5757c257-b884-44ca-b45e-7c898153a320.jpg","open")</f>
        <v/>
      </c>
      <c r="C6573" t="inlineStr">
        <is>
          <t>e90a3ac0-5b70-4ede-abeb-382371713306</t>
        </is>
      </c>
      <c r="D6573" t="n">
        <v>55.68398</v>
      </c>
      <c r="E6573" t="n">
        <v>37.55959</v>
      </c>
      <c r="F6573" t="inlineStr"/>
      <c r="G6573" t="inlineStr"/>
      <c r="H6573" t="inlineStr"/>
    </row>
    <row r="6574">
      <c r="A6574" t="inlineStr">
        <is>
          <t>759d592b-8f83-4c10-b7fc-62846246c24f.jpg</t>
        </is>
      </c>
      <c r="B6574">
        <f>HYPERLINK("Объекты недвижимости, не соответствующие градостроительным нормам_00-022_Август/759d592b-8f83-4c10-b7fc-62846246c24f.jpg","open")</f>
        <v/>
      </c>
      <c r="C6574" t="inlineStr">
        <is>
          <t>29ad9edb-d533-4272-a986-be24eb004851</t>
        </is>
      </c>
      <c r="D6574" t="n">
        <v>55.73742</v>
      </c>
      <c r="E6574" t="n">
        <v>37.64859</v>
      </c>
      <c r="F6574" t="inlineStr"/>
      <c r="G6574" t="inlineStr"/>
      <c r="H6574" t="inlineStr"/>
    </row>
    <row r="6575">
      <c r="A6575" t="inlineStr">
        <is>
          <t>418f2646-da04-451f-ac22-ee42d2f12c05.jpg</t>
        </is>
      </c>
      <c r="B6575">
        <f>HYPERLINK("Объекты недвижимости, не соответствующие градостроительным нормам_00-022_Август/418f2646-da04-451f-ac22-ee42d2f12c05.jpg","open")</f>
        <v/>
      </c>
      <c r="C6575" t="inlineStr">
        <is>
          <t>caa4772d-6278-4484-a046-ee25514bf521</t>
        </is>
      </c>
      <c r="D6575" t="n">
        <v>55.79671</v>
      </c>
      <c r="E6575" t="n">
        <v>37.81645</v>
      </c>
      <c r="F6575" t="inlineStr"/>
      <c r="G6575" t="inlineStr"/>
      <c r="H6575" t="inlineStr"/>
    </row>
    <row r="6576">
      <c r="A6576" t="inlineStr">
        <is>
          <t>6fe5d5e2-4e9f-4da5-a0e9-93bd5de884eb.jpg</t>
        </is>
      </c>
      <c r="B6576">
        <f>HYPERLINK("Объекты недвижимости, не соответствующие градостроительным нормам_00-022_Август/6fe5d5e2-4e9f-4da5-a0e9-93bd5de884eb.jpg","open")</f>
        <v/>
      </c>
      <c r="C6576" t="inlineStr">
        <is>
          <t>b0429a31-0c70-4b9f-8ea5-73929d82f89e</t>
        </is>
      </c>
      <c r="D6576" t="n">
        <v>55.66214</v>
      </c>
      <c r="E6576" t="n">
        <v>37.6201</v>
      </c>
      <c r="F6576" t="inlineStr"/>
      <c r="G6576" t="inlineStr"/>
      <c r="H6576" t="inlineStr"/>
    </row>
    <row r="6577">
      <c r="A6577" t="inlineStr">
        <is>
          <t>421b15e1-e367-42f2-b6dd-63b9f338e11a.jpg</t>
        </is>
      </c>
      <c r="B6577">
        <f>HYPERLINK("Объекты недвижимости, не соответствующие градостроительным нормам_00-022_Август/421b15e1-e367-42f2-b6dd-63b9f338e11a.jpg","open")</f>
        <v/>
      </c>
      <c r="C6577" t="inlineStr">
        <is>
          <t>cbf95b01-f708-45a3-9ec0-3603469b538e</t>
        </is>
      </c>
      <c r="D6577" t="n">
        <v>55.74439</v>
      </c>
      <c r="E6577" t="n">
        <v>37.53336</v>
      </c>
      <c r="F6577" t="inlineStr"/>
      <c r="G6577" t="inlineStr"/>
      <c r="H6577" t="inlineStr"/>
    </row>
    <row r="6578">
      <c r="A6578" t="inlineStr">
        <is>
          <t>043db6df-aa51-4ad7-a5be-6a68646f9f98.jpg</t>
        </is>
      </c>
      <c r="B6578">
        <f>HYPERLINK("Объекты недвижимости, не соответствующие градостроительным нормам_00-022_Август/043db6df-aa51-4ad7-a5be-6a68646f9f98.jpg","open")</f>
        <v/>
      </c>
      <c r="C6578" t="inlineStr">
        <is>
          <t>936502dd-24a4-4256-9fdf-0d8fb72af3ed</t>
        </is>
      </c>
      <c r="D6578" t="n">
        <v>55.68466</v>
      </c>
      <c r="E6578" t="n">
        <v>37.6701</v>
      </c>
      <c r="F6578" t="inlineStr"/>
      <c r="G6578" t="inlineStr"/>
      <c r="H6578" t="inlineStr"/>
    </row>
    <row r="6579">
      <c r="A6579" t="inlineStr">
        <is>
          <t>871eef9a-eaf7-42c0-afc9-cb196c4082fc.jpg</t>
        </is>
      </c>
      <c r="B6579">
        <f>HYPERLINK("Объекты недвижимости, не соответствующие градостроительным нормам_00-022_Август/871eef9a-eaf7-42c0-afc9-cb196c4082fc.jpg","open")</f>
        <v/>
      </c>
      <c r="C6579" t="inlineStr">
        <is>
          <t>030e8755-17c1-44eb-9530-707d0d3121cb</t>
        </is>
      </c>
      <c r="D6579" t="n">
        <v>55.68475</v>
      </c>
      <c r="E6579" t="n">
        <v>37.67028</v>
      </c>
      <c r="F6579" t="inlineStr"/>
      <c r="G6579" t="inlineStr"/>
      <c r="H6579" t="inlineStr"/>
    </row>
    <row r="6580">
      <c r="A6580" t="inlineStr">
        <is>
          <t>b90346d6-dc77-4c53-aa55-32d20365abdd.jpg</t>
        </is>
      </c>
      <c r="B6580">
        <f>HYPERLINK("Объекты недвижимости, не соответствующие градостроительным нормам_00-022_Август/b90346d6-dc77-4c53-aa55-32d20365abdd.jpg","open")</f>
        <v/>
      </c>
      <c r="C6580" t="inlineStr">
        <is>
          <t>1c951e11-4940-43c6-a447-394097e5609a</t>
        </is>
      </c>
      <c r="D6580" t="n">
        <v>55.82318</v>
      </c>
      <c r="E6580" t="n">
        <v>37.63758</v>
      </c>
      <c r="F6580" t="inlineStr"/>
      <c r="G6580" t="inlineStr"/>
      <c r="H6580" t="inlineStr"/>
    </row>
    <row r="6581">
      <c r="A6581" t="inlineStr">
        <is>
          <t>35ceeaf2-2e27-4fce-99a8-5b66295cb0e2.jpg</t>
        </is>
      </c>
      <c r="B6581">
        <f>HYPERLINK("Объекты недвижимости, не соответствующие градостроительным нормам_00-022_Август/35ceeaf2-2e27-4fce-99a8-5b66295cb0e2.jpg","open")</f>
        <v/>
      </c>
      <c r="C6581" t="inlineStr">
        <is>
          <t>8cde1fd0-eca1-4510-86ab-3c743b65fdfc</t>
        </is>
      </c>
      <c r="D6581" t="n">
        <v>55.82322</v>
      </c>
      <c r="E6581" t="n">
        <v>37.63764</v>
      </c>
      <c r="F6581" t="inlineStr"/>
      <c r="G6581" t="inlineStr"/>
      <c r="H6581" t="inlineStr"/>
    </row>
    <row r="6582">
      <c r="A6582" t="inlineStr">
        <is>
          <t>837f28e9-b407-4a09-b508-1e5b970d98d2.jpg</t>
        </is>
      </c>
      <c r="B6582">
        <f>HYPERLINK("Объекты недвижимости, не соответствующие градостроительным нормам_00-022_Август/837f28e9-b407-4a09-b508-1e5b970d98d2.jpg","open")</f>
        <v/>
      </c>
      <c r="C6582" t="inlineStr">
        <is>
          <t>1a55986c-2c3f-40c0-b3d1-014dce77832e</t>
        </is>
      </c>
      <c r="D6582" t="n">
        <v>55.66616</v>
      </c>
      <c r="E6582" t="n">
        <v>37.71795</v>
      </c>
      <c r="F6582" t="inlineStr"/>
      <c r="G6582" t="inlineStr"/>
      <c r="H6582" t="inlineStr"/>
    </row>
    <row r="6583">
      <c r="A6583" t="inlineStr">
        <is>
          <t>a35cf032-ac51-4fe0-9c8c-e4f4d673f4be.jpg</t>
        </is>
      </c>
      <c r="B6583">
        <f>HYPERLINK("Объекты недвижимости, не соответствующие градостроительным нормам_00-022_Август/a35cf032-ac51-4fe0-9c8c-e4f4d673f4be.jpg","open")</f>
        <v/>
      </c>
      <c r="C6583" t="inlineStr">
        <is>
          <t>c008bda0-324b-4c90-9c2f-36cfc930e0b5</t>
        </is>
      </c>
      <c r="D6583" t="n">
        <v>55.73742</v>
      </c>
      <c r="E6583" t="n">
        <v>37.64859</v>
      </c>
      <c r="F6583" t="inlineStr"/>
      <c r="G6583" t="inlineStr"/>
      <c r="H6583" t="inlineStr"/>
    </row>
    <row r="6584">
      <c r="A6584" t="inlineStr">
        <is>
          <t>9d205a71-87f1-4654-a3ca-c8cbaa5db960.jpg</t>
        </is>
      </c>
      <c r="B6584">
        <f>HYPERLINK("Объекты недвижимости, не соответствующие градостроительным нормам_00-022_Август/9d205a71-87f1-4654-a3ca-c8cbaa5db960.jpg","open")</f>
        <v/>
      </c>
      <c r="C6584" t="inlineStr">
        <is>
          <t>1231bbc5-e64c-4dc7-9acc-77710f47607a</t>
        </is>
      </c>
      <c r="D6584" t="n">
        <v>55.54357</v>
      </c>
      <c r="E6584" t="n">
        <v>37.52162</v>
      </c>
      <c r="F6584" t="inlineStr"/>
      <c r="G6584" t="inlineStr"/>
      <c r="H6584" t="inlineStr"/>
    </row>
    <row r="6585">
      <c r="A6585" t="inlineStr">
        <is>
          <t>ced7ce2a-9c2e-48ec-9a23-e8eb22828778.jpg</t>
        </is>
      </c>
      <c r="B6585">
        <f>HYPERLINK("Объекты недвижимости, не соответствующие градостроительным нормам_00-022_Август/ced7ce2a-9c2e-48ec-9a23-e8eb22828778.jpg","open")</f>
        <v/>
      </c>
      <c r="C6585" t="inlineStr">
        <is>
          <t>18a5c468-d9e6-4814-8477-1caf4a2e1fe9</t>
        </is>
      </c>
      <c r="D6585" t="n">
        <v>55.72292</v>
      </c>
      <c r="E6585" t="n">
        <v>37.44726</v>
      </c>
      <c r="F6585" t="inlineStr"/>
      <c r="G6585" t="inlineStr"/>
      <c r="H6585" t="inlineStr"/>
    </row>
    <row r="6586">
      <c r="A6586" t="inlineStr">
        <is>
          <t>3a48d453-9bc3-4fc3-be71-e50e6c1fcd6e.jpg</t>
        </is>
      </c>
      <c r="B6586">
        <f>HYPERLINK("Объекты недвижимости, не соответствующие градостроительным нормам_00-022_Август/3a48d453-9bc3-4fc3-be71-e50e6c1fcd6e.jpg","open")</f>
        <v/>
      </c>
      <c r="C6586" t="inlineStr">
        <is>
          <t>b0429a31-0c70-4b9f-8ea5-73929d82f89e</t>
        </is>
      </c>
      <c r="D6586" t="n">
        <v>55.66391</v>
      </c>
      <c r="E6586" t="n">
        <v>37.63095</v>
      </c>
      <c r="F6586" t="inlineStr"/>
      <c r="G6586" t="inlineStr"/>
      <c r="H6586" t="inlineStr"/>
    </row>
    <row r="6587">
      <c r="A6587" t="inlineStr">
        <is>
          <t>28bbb6d1-2bb7-4832-93f1-4902b2a58b95.jpg</t>
        </is>
      </c>
      <c r="B6587">
        <f>HYPERLINK("Объекты недвижимости, не соответствующие градостроительным нормам_00-022_Август/28bbb6d1-2bb7-4832-93f1-4902b2a58b95.jpg","open")</f>
        <v/>
      </c>
      <c r="C6587" t="inlineStr">
        <is>
          <t>18a5c468-d9e6-4814-8477-1caf4a2e1fe9</t>
        </is>
      </c>
      <c r="D6587" t="n">
        <v>55.72292</v>
      </c>
      <c r="E6587" t="n">
        <v>37.44726</v>
      </c>
      <c r="F6587" t="inlineStr"/>
      <c r="G6587" t="inlineStr"/>
      <c r="H6587" t="inlineStr"/>
    </row>
    <row r="6588">
      <c r="A6588" t="inlineStr">
        <is>
          <t>e971ad6f-d9b8-44e4-a9f8-88ace5721fc4.jpg</t>
        </is>
      </c>
      <c r="B6588">
        <f>HYPERLINK("Объекты недвижимости, не соответствующие градостроительным нормам_00-022_Август/e971ad6f-d9b8-44e4-a9f8-88ace5721fc4.jpg","open")</f>
        <v/>
      </c>
      <c r="C6588" t="inlineStr">
        <is>
          <t>d2c4eccd-3e4b-406c-a903-0f5e43d0be35</t>
        </is>
      </c>
      <c r="D6588" t="n">
        <v>55.72292</v>
      </c>
      <c r="E6588" t="n">
        <v>37.44726</v>
      </c>
      <c r="F6588" t="inlineStr"/>
      <c r="G6588" t="inlineStr"/>
      <c r="H6588" t="inlineStr"/>
    </row>
    <row r="6589">
      <c r="A6589" t="inlineStr">
        <is>
          <t>810c298c-f678-4157-847b-767d96e6972c.jpg</t>
        </is>
      </c>
      <c r="B6589">
        <f>HYPERLINK("Объекты недвижимости, не соответствующие градостроительным нормам_00-022_Август/810c298c-f678-4157-847b-767d96e6972c.jpg","open")</f>
        <v/>
      </c>
      <c r="C6589" t="inlineStr">
        <is>
          <t>1231bbc5-e64c-4dc7-9acc-77710f47607a</t>
        </is>
      </c>
      <c r="D6589" t="n">
        <v>55.54328</v>
      </c>
      <c r="E6589" t="n">
        <v>37.521</v>
      </c>
      <c r="F6589" t="inlineStr"/>
      <c r="G6589" t="inlineStr"/>
      <c r="H6589" t="inlineStr"/>
    </row>
    <row r="6590">
      <c r="A6590" t="inlineStr">
        <is>
          <t>f2d29f39-5de6-49f0-b53d-5e7f2b93debb.jpg</t>
        </is>
      </c>
      <c r="B6590">
        <f>HYPERLINK("Объекты недвижимости, не соответствующие градостроительным нормам_00-022_Август/f2d29f39-5de6-49f0-b53d-5e7f2b93debb.jpg","open")</f>
        <v/>
      </c>
      <c r="C6590" t="inlineStr">
        <is>
          <t>18a5c468-d9e6-4814-8477-1caf4a2e1fe9</t>
        </is>
      </c>
      <c r="D6590" t="n">
        <v>55.72292</v>
      </c>
      <c r="E6590" t="n">
        <v>37.44726</v>
      </c>
      <c r="F6590" t="inlineStr"/>
      <c r="G6590" t="inlineStr"/>
      <c r="H6590" t="inlineStr"/>
    </row>
    <row r="6591">
      <c r="A6591" t="inlineStr">
        <is>
          <t>12ceaefc-dd05-4c0c-be85-2ab7daa3112b.jpg</t>
        </is>
      </c>
      <c r="B6591">
        <f>HYPERLINK("Объекты недвижимости, не соответствующие градостроительным нормам_00-022_Август/12ceaefc-dd05-4c0c-be85-2ab7daa3112b.jpg","open")</f>
        <v/>
      </c>
      <c r="C6591" t="inlineStr">
        <is>
          <t>cbf95b01-f708-45a3-9ec0-3603469b538e</t>
        </is>
      </c>
      <c r="D6591" t="n">
        <v>55.69135</v>
      </c>
      <c r="E6591" t="n">
        <v>37.6912</v>
      </c>
      <c r="F6591" t="inlineStr"/>
      <c r="G6591" t="inlineStr"/>
      <c r="H6591" t="inlineStr"/>
    </row>
    <row r="6592">
      <c r="A6592" t="inlineStr">
        <is>
          <t>49fd4fdc-e1ac-4d70-b7a9-c38a9d0697c2.jpg</t>
        </is>
      </c>
      <c r="B6592">
        <f>HYPERLINK("Объекты недвижимости, не соответствующие градостроительным нормам_00-022_Август/49fd4fdc-e1ac-4d70-b7a9-c38a9d0697c2.jpg","open")</f>
        <v/>
      </c>
      <c r="C6592" t="inlineStr">
        <is>
          <t>b0429a31-0c70-4b9f-8ea5-73929d82f89e</t>
        </is>
      </c>
      <c r="D6592" t="n">
        <v>55.66326</v>
      </c>
      <c r="E6592" t="n">
        <v>37.61738</v>
      </c>
      <c r="F6592" t="inlineStr"/>
      <c r="G6592" t="inlineStr"/>
      <c r="H6592" t="inlineStr"/>
    </row>
    <row r="6593">
      <c r="A6593" t="inlineStr">
        <is>
          <t>ae6c4edb-2ab0-4197-a67b-1bba1c4ca3ea.jpg</t>
        </is>
      </c>
      <c r="B6593">
        <f>HYPERLINK("Объекты недвижимости, не соответствующие градостроительным нормам_00-022_Август/ae6c4edb-2ab0-4197-a67b-1bba1c4ca3ea.jpg","open")</f>
        <v/>
      </c>
      <c r="C6593" t="inlineStr">
        <is>
          <t>cbf95b01-f708-45a3-9ec0-3603469b538e</t>
        </is>
      </c>
      <c r="D6593" t="n">
        <v>55.69135</v>
      </c>
      <c r="E6593" t="n">
        <v>37.6912</v>
      </c>
      <c r="F6593" t="inlineStr"/>
      <c r="G6593" t="inlineStr"/>
      <c r="H6593" t="inlineStr"/>
    </row>
    <row r="6594">
      <c r="A6594" t="inlineStr">
        <is>
          <t>0185351d-7338-4b4a-8f27-85feeb1bc006.jpg</t>
        </is>
      </c>
      <c r="B6594">
        <f>HYPERLINK("Объекты недвижимости, не соответствующие градостроительным нормам_00-022_Август/0185351d-7338-4b4a-8f27-85feeb1bc006.jpg","open")</f>
        <v/>
      </c>
      <c r="C6594" t="inlineStr">
        <is>
          <t>cbf95b01-f708-45a3-9ec0-3603469b538e</t>
        </is>
      </c>
      <c r="D6594" t="n">
        <v>55.69135</v>
      </c>
      <c r="E6594" t="n">
        <v>37.6912</v>
      </c>
      <c r="F6594" t="inlineStr"/>
      <c r="G6594" t="inlineStr"/>
      <c r="H6594" t="inlineStr"/>
    </row>
    <row r="6595">
      <c r="A6595" t="inlineStr">
        <is>
          <t>6c185d2c-30db-4e57-abb9-d353f439e70b.jpg</t>
        </is>
      </c>
      <c r="B6595">
        <f>HYPERLINK("Объекты недвижимости, не соответствующие градостроительным нормам_00-022_Август/6c185d2c-30db-4e57-abb9-d353f439e70b.jpg","open")</f>
        <v/>
      </c>
      <c r="C6595" t="inlineStr">
        <is>
          <t>cbf95b01-f708-45a3-9ec0-3603469b538e</t>
        </is>
      </c>
      <c r="D6595" t="n">
        <v>55.69135</v>
      </c>
      <c r="E6595" t="n">
        <v>37.6912</v>
      </c>
      <c r="F6595" t="inlineStr"/>
      <c r="G6595" t="inlineStr"/>
      <c r="H6595" t="inlineStr"/>
    </row>
    <row r="6596">
      <c r="A6596" t="inlineStr">
        <is>
          <t>34ad7a2a-d920-43d3-abe4-66b846d149ff.jpg</t>
        </is>
      </c>
      <c r="B6596">
        <f>HYPERLINK("Объекты недвижимости, не соответствующие градостроительным нормам_00-022_Август/34ad7a2a-d920-43d3-abe4-66b846d149ff.jpg","open")</f>
        <v/>
      </c>
      <c r="C6596" t="inlineStr">
        <is>
          <t>8cde1fd0-eca1-4510-86ab-3c743b65fdfc</t>
        </is>
      </c>
      <c r="D6596" t="n">
        <v>55.82952</v>
      </c>
      <c r="E6596" t="n">
        <v>37.64563</v>
      </c>
      <c r="F6596" t="inlineStr"/>
      <c r="G6596" t="inlineStr"/>
      <c r="H6596" t="inlineStr"/>
    </row>
    <row r="6597">
      <c r="A6597" t="inlineStr">
        <is>
          <t>5a16de95-e911-4ebe-bdd7-098746dbf485.jpg</t>
        </is>
      </c>
      <c r="B6597">
        <f>HYPERLINK("Объекты недвижимости, не соответствующие градостроительным нормам_00-022_Август/5a16de95-e911-4ebe-bdd7-098746dbf485.jpg","open")</f>
        <v/>
      </c>
      <c r="C6597" t="inlineStr">
        <is>
          <t>cbf95b01-f708-45a3-9ec0-3603469b538e</t>
        </is>
      </c>
      <c r="D6597" t="n">
        <v>55.69135</v>
      </c>
      <c r="E6597" t="n">
        <v>37.6912</v>
      </c>
      <c r="F6597" t="inlineStr"/>
      <c r="G6597" t="inlineStr"/>
      <c r="H6597" t="inlineStr"/>
    </row>
    <row r="6598">
      <c r="A6598" t="inlineStr">
        <is>
          <t>b405cd81-7738-4586-af93-008769f5f5e4.jpg</t>
        </is>
      </c>
      <c r="B6598">
        <f>HYPERLINK("Объекты недвижимости, не соответствующие градостроительным нормам_00-022_Август/b405cd81-7738-4586-af93-008769f5f5e4.jpg","open")</f>
        <v/>
      </c>
      <c r="C6598" t="inlineStr">
        <is>
          <t>685d9054-b74f-49ab-857b-109fd2cec80d</t>
        </is>
      </c>
      <c r="D6598" t="n">
        <v>55.54325</v>
      </c>
      <c r="E6598" t="n">
        <v>37.52111</v>
      </c>
      <c r="F6598" t="inlineStr"/>
      <c r="G6598" t="inlineStr"/>
      <c r="H6598" t="inlineStr"/>
    </row>
    <row r="6599">
      <c r="A6599" t="inlineStr">
        <is>
          <t>bc1f5d64-ced7-4b61-b470-393209ec5203.jpg</t>
        </is>
      </c>
      <c r="B6599">
        <f>HYPERLINK("Объекты недвижимости, не соответствующие градостроительным нормам_00-022_Август/bc1f5d64-ced7-4b61-b470-393209ec5203.jpg","open")</f>
        <v/>
      </c>
      <c r="C6599" t="inlineStr">
        <is>
          <t>1231bbc5-e64c-4dc7-9acc-77710f47607a</t>
        </is>
      </c>
      <c r="D6599" t="n">
        <v>55.54325</v>
      </c>
      <c r="E6599" t="n">
        <v>37.52111</v>
      </c>
      <c r="F6599" t="inlineStr"/>
      <c r="G6599" t="inlineStr"/>
      <c r="H6599" t="inlineStr"/>
    </row>
    <row r="6600">
      <c r="A6600" t="inlineStr">
        <is>
          <t>243fecef-448b-4d1b-af12-df237de3a8cf.jpg</t>
        </is>
      </c>
      <c r="B6600">
        <f>HYPERLINK("Объекты недвижимости, не соответствующие градостроительным нормам_00-022_Август/243fecef-448b-4d1b-af12-df237de3a8cf.jpg","open")</f>
        <v/>
      </c>
      <c r="C6600" t="inlineStr">
        <is>
          <t>685d9054-b74f-49ab-857b-109fd2cec80d</t>
        </is>
      </c>
      <c r="D6600" t="n">
        <v>55.54325</v>
      </c>
      <c r="E6600" t="n">
        <v>37.5211</v>
      </c>
      <c r="F6600" t="inlineStr"/>
      <c r="G6600" t="inlineStr"/>
      <c r="H6600" t="inlineStr"/>
    </row>
    <row r="6601">
      <c r="A6601" t="inlineStr">
        <is>
          <t>552245e7-7273-4c23-8ec4-657bda0688e2.jpg</t>
        </is>
      </c>
      <c r="B6601">
        <f>HYPERLINK("Объекты недвижимости, не соответствующие градостроительным нормам_00-022_Август/552245e7-7273-4c23-8ec4-657bda0688e2.jpg","open")</f>
        <v/>
      </c>
      <c r="C6601" t="inlineStr">
        <is>
          <t>1231bbc5-e64c-4dc7-9acc-77710f47607a</t>
        </is>
      </c>
      <c r="D6601" t="n">
        <v>55.54325</v>
      </c>
      <c r="E6601" t="n">
        <v>37.52111</v>
      </c>
      <c r="F6601" t="inlineStr"/>
      <c r="G6601" t="inlineStr"/>
      <c r="H6601" t="inlineStr"/>
    </row>
    <row r="6602">
      <c r="A6602" t="inlineStr">
        <is>
          <t>1571fcaa-9e7b-4d4e-a229-67b6a604f68c.jpg</t>
        </is>
      </c>
      <c r="B6602">
        <f>HYPERLINK("Объекты недвижимости, не соответствующие градостроительным нормам_00-022_Август/1571fcaa-9e7b-4d4e-a229-67b6a604f68c.jpg","open")</f>
        <v/>
      </c>
      <c r="C6602" t="inlineStr">
        <is>
          <t>0dd30d74-4dbc-46a8-b638-91e1431bb398</t>
        </is>
      </c>
      <c r="D6602" t="n">
        <v>55.74282</v>
      </c>
      <c r="E6602" t="n">
        <v>37.49357</v>
      </c>
      <c r="F6602" t="inlineStr"/>
      <c r="G6602" t="inlineStr"/>
      <c r="H6602" t="inlineStr"/>
    </row>
    <row r="6603">
      <c r="A6603" t="inlineStr">
        <is>
          <t>e71f5f95-a0a0-4807-bc1f-9eb5282a9af1.jpg</t>
        </is>
      </c>
      <c r="B6603">
        <f>HYPERLINK("Объекты недвижимости, не соответствующие градостроительным нормам_00-022_Август/e71f5f95-a0a0-4807-bc1f-9eb5282a9af1.jpg","open")</f>
        <v/>
      </c>
      <c r="C6603" t="inlineStr">
        <is>
          <t>cbf95b01-f708-45a3-9ec0-3603469b538e</t>
        </is>
      </c>
      <c r="D6603" t="n">
        <v>55.69135</v>
      </c>
      <c r="E6603" t="n">
        <v>37.6912</v>
      </c>
      <c r="F6603" t="inlineStr"/>
      <c r="G6603" t="inlineStr"/>
      <c r="H6603" t="inlineStr"/>
    </row>
    <row r="6604">
      <c r="A6604" t="inlineStr">
        <is>
          <t>941768c6-f8e7-4b76-9b76-d6f6f6732140.jpg</t>
        </is>
      </c>
      <c r="B6604">
        <f>HYPERLINK("Объекты недвижимости, не соответствующие градостроительным нормам_00-022_Август/941768c6-f8e7-4b76-9b76-d6f6f6732140.jpg","open")</f>
        <v/>
      </c>
      <c r="C6604" t="inlineStr">
        <is>
          <t>b0429a31-0c70-4b9f-8ea5-73929d82f89e</t>
        </is>
      </c>
      <c r="D6604" t="n">
        <v>55.66568</v>
      </c>
      <c r="E6604" t="n">
        <v>37.61694</v>
      </c>
      <c r="F6604" t="inlineStr"/>
      <c r="G6604" t="inlineStr"/>
      <c r="H6604" t="inlineStr"/>
    </row>
    <row r="6605">
      <c r="A6605" t="inlineStr">
        <is>
          <t>9b6c6c1f-618c-488e-acfa-69e317a746fc.jpg</t>
        </is>
      </c>
      <c r="B6605">
        <f>HYPERLINK("Объекты недвижимости, не соответствующие градостроительным нормам_00-022_Август/9b6c6c1f-618c-488e-acfa-69e317a746fc.jpg","open")</f>
        <v/>
      </c>
      <c r="C6605" t="inlineStr">
        <is>
          <t>61936922-4d4b-458e-80ea-6d4c450aa1d5</t>
        </is>
      </c>
      <c r="D6605" t="n">
        <v>55.66303</v>
      </c>
      <c r="E6605" t="n">
        <v>37.47186</v>
      </c>
      <c r="F6605" t="inlineStr"/>
      <c r="G6605" t="inlineStr"/>
      <c r="H6605" t="inlineStr"/>
    </row>
    <row r="6606">
      <c r="A6606" t="inlineStr">
        <is>
          <t>9d1239a5-09c0-4a59-ab29-28891a742cff.jpg</t>
        </is>
      </c>
      <c r="B6606">
        <f>HYPERLINK("Объекты недвижимости, не соответствующие градостроительным нормам_00-022_Август/9d1239a5-09c0-4a59-ab29-28891a742cff.jpg","open")</f>
        <v/>
      </c>
      <c r="C6606" t="inlineStr">
        <is>
          <t>18a5c468-d9e6-4814-8477-1caf4a2e1fe9</t>
        </is>
      </c>
      <c r="D6606" t="n">
        <v>55.72292</v>
      </c>
      <c r="E6606" t="n">
        <v>37.44726</v>
      </c>
      <c r="F6606" t="inlineStr"/>
      <c r="G6606" t="inlineStr"/>
      <c r="H6606" t="inlineStr"/>
    </row>
    <row r="6607">
      <c r="A6607" t="inlineStr">
        <is>
          <t>6211b482-fdd4-42d7-b86a-8242e3ca0bbf.jpg</t>
        </is>
      </c>
      <c r="B6607">
        <f>HYPERLINK("Объекты недвижимости, не соответствующие градостроительным нормам_00-022_Август/6211b482-fdd4-42d7-b86a-8242e3ca0bbf.jpg","open")</f>
        <v/>
      </c>
      <c r="C6607" t="inlineStr">
        <is>
          <t>18a5c468-d9e6-4814-8477-1caf4a2e1fe9</t>
        </is>
      </c>
      <c r="D6607" t="n">
        <v>55.72292</v>
      </c>
      <c r="E6607" t="n">
        <v>37.44726</v>
      </c>
      <c r="F6607" t="inlineStr"/>
      <c r="G6607" t="inlineStr"/>
      <c r="H6607" t="inlineStr"/>
    </row>
    <row r="6608">
      <c r="A6608" t="inlineStr">
        <is>
          <t>ed928af7-6fc6-4c3f-a3a5-9f6db81613c0.jpg</t>
        </is>
      </c>
      <c r="B6608">
        <f>HYPERLINK("Объекты недвижимости, не соответствующие градостроительным нормам_00-022_Август/ed928af7-6fc6-4c3f-a3a5-9f6db81613c0.jpg","open")</f>
        <v/>
      </c>
      <c r="C6608" t="inlineStr">
        <is>
          <t>9c930d0e-e445-452d-a046-325646b21ab7</t>
        </is>
      </c>
      <c r="D6608" t="n">
        <v>55.87043</v>
      </c>
      <c r="E6608" t="n">
        <v>37.42934</v>
      </c>
      <c r="F6608" t="inlineStr"/>
      <c r="G6608" t="inlineStr"/>
      <c r="H6608" t="inlineStr"/>
    </row>
    <row r="6609">
      <c r="A6609" t="inlineStr">
        <is>
          <t>61fede7f-2d6b-418d-8475-4bc0f351ba63.jpg</t>
        </is>
      </c>
      <c r="B6609">
        <f>HYPERLINK("Объекты недвижимости, не соответствующие градостроительным нормам_00-022_Август/61fede7f-2d6b-418d-8475-4bc0f351ba63.jpg","open")</f>
        <v/>
      </c>
      <c r="C6609" t="inlineStr">
        <is>
          <t>8cde1fd0-eca1-4510-86ab-3c743b65fdfc</t>
        </is>
      </c>
      <c r="D6609" t="n">
        <v>55.82796</v>
      </c>
      <c r="E6609" t="n">
        <v>37.64354</v>
      </c>
      <c r="F6609" t="inlineStr"/>
      <c r="G6609" t="inlineStr"/>
      <c r="H6609" t="inlineStr"/>
    </row>
    <row r="6610">
      <c r="A6610" t="inlineStr">
        <is>
          <t>d70a24cf-d148-4808-803b-08bcad790b61.jpg</t>
        </is>
      </c>
      <c r="B6610">
        <f>HYPERLINK("Объекты недвижимости, не соответствующие градостроительным нормам_00-022_Август/d70a24cf-d148-4808-803b-08bcad790b61.jpg","open")</f>
        <v/>
      </c>
      <c r="C6610" t="inlineStr">
        <is>
          <t>1c951e11-4940-43c6-a447-394097e5609a</t>
        </is>
      </c>
      <c r="D6610" t="n">
        <v>55.8279</v>
      </c>
      <c r="E6610" t="n">
        <v>37.64321</v>
      </c>
      <c r="F6610" t="inlineStr"/>
      <c r="G6610" t="inlineStr"/>
      <c r="H6610" t="inlineStr"/>
    </row>
    <row r="6611">
      <c r="A6611" t="inlineStr">
        <is>
          <t>30af148f-abd8-4790-87af-7f7b836cae36.jpg</t>
        </is>
      </c>
      <c r="B6611">
        <f>HYPERLINK("Объекты недвижимости, не соответствующие градостроительным нормам_00-022_Август/30af148f-abd8-4790-87af-7f7b836cae36.jpg","open")</f>
        <v/>
      </c>
      <c r="C6611" t="inlineStr">
        <is>
          <t>8cde1fd0-eca1-4510-86ab-3c743b65fdfc</t>
        </is>
      </c>
      <c r="D6611" t="n">
        <v>55.8279</v>
      </c>
      <c r="E6611" t="n">
        <v>37.64321</v>
      </c>
      <c r="F6611" t="inlineStr"/>
      <c r="G6611" t="inlineStr"/>
      <c r="H6611" t="inlineStr"/>
    </row>
    <row r="6612">
      <c r="A6612" t="inlineStr">
        <is>
          <t>47e4ea1c-b5fb-4612-994b-3d9f916e13b6.jpg</t>
        </is>
      </c>
      <c r="B6612">
        <f>HYPERLINK("Объекты недвижимости, не соответствующие градостроительным нормам_00-022_Август/47e4ea1c-b5fb-4612-994b-3d9f916e13b6.jpg","open")</f>
        <v/>
      </c>
      <c r="C6612" t="inlineStr">
        <is>
          <t>dd48f742-b338-42e2-bbaf-b3a9701b437c</t>
        </is>
      </c>
      <c r="D6612" t="n">
        <v>55.87043</v>
      </c>
      <c r="E6612" t="n">
        <v>37.42934</v>
      </c>
      <c r="F6612" t="inlineStr"/>
      <c r="G6612" t="inlineStr"/>
      <c r="H6612" t="inlineStr"/>
    </row>
    <row r="6613">
      <c r="A6613" t="inlineStr">
        <is>
          <t>df1fcf0c-3bbb-479d-ac41-f0dfe6ebea9a.jpg</t>
        </is>
      </c>
      <c r="B6613">
        <f>HYPERLINK("Объекты недвижимости, не соответствующие градостроительным нормам_00-022_Август/df1fcf0c-3bbb-479d-ac41-f0dfe6ebea9a.jpg","open")</f>
        <v/>
      </c>
      <c r="C6613" t="inlineStr">
        <is>
          <t>789f6c51-64ee-4078-b7bd-443af8b8b68a</t>
        </is>
      </c>
      <c r="D6613" t="n">
        <v>55.87015</v>
      </c>
      <c r="E6613" t="n">
        <v>37.58939</v>
      </c>
      <c r="F6613" t="inlineStr"/>
      <c r="G6613" t="inlineStr"/>
      <c r="H6613" t="inlineStr"/>
    </row>
    <row r="6614">
      <c r="A6614" t="inlineStr">
        <is>
          <t>50b86027-afba-427c-86b1-0cc23eeb2906.jpg</t>
        </is>
      </c>
      <c r="B6614">
        <f>HYPERLINK("Объекты недвижимости, не соответствующие градостроительным нормам_00-022_Август/50b86027-afba-427c-86b1-0cc23eeb2906.jpg","open")</f>
        <v/>
      </c>
      <c r="C6614" t="inlineStr">
        <is>
          <t>1231bbc5-e64c-4dc7-9acc-77710f47607a</t>
        </is>
      </c>
      <c r="D6614" t="n">
        <v>55.54338</v>
      </c>
      <c r="E6614" t="n">
        <v>37.52114</v>
      </c>
      <c r="F6614" t="inlineStr"/>
      <c r="G6614" t="inlineStr"/>
      <c r="H6614" t="inlineStr"/>
    </row>
    <row r="6615">
      <c r="A6615" t="inlineStr">
        <is>
          <t>761cc7ea-b335-414f-ba98-7262f0cdf8b6.jpg</t>
        </is>
      </c>
      <c r="B6615">
        <f>HYPERLINK("Объекты недвижимости, не соответствующие градостроительным нормам_00-022_Август/761cc7ea-b335-414f-ba98-7262f0cdf8b6.jpg","open")</f>
        <v/>
      </c>
      <c r="C6615" t="inlineStr">
        <is>
          <t>685d9054-b74f-49ab-857b-109fd2cec80d</t>
        </is>
      </c>
      <c r="D6615" t="n">
        <v>55.54338</v>
      </c>
      <c r="E6615" t="n">
        <v>37.52114</v>
      </c>
      <c r="F6615" t="inlineStr"/>
      <c r="G6615" t="inlineStr"/>
      <c r="H6615" t="inlineStr"/>
    </row>
    <row r="6616">
      <c r="A6616" t="inlineStr">
        <is>
          <t>d2181da5-c8c2-4bb8-8af6-a0c8d849088e.jpg</t>
        </is>
      </c>
      <c r="B6616">
        <f>HYPERLINK("Объекты недвижимости, не соответствующие градостроительным нормам_00-022_Август/d2181da5-c8c2-4bb8-8af6-a0c8d849088e.jpg","open")</f>
        <v/>
      </c>
      <c r="C6616" t="inlineStr">
        <is>
          <t>030e8755-17c1-44eb-9530-707d0d3121cb</t>
        </is>
      </c>
      <c r="D6616" t="n">
        <v>55.68539</v>
      </c>
      <c r="E6616" t="n">
        <v>37.67532</v>
      </c>
      <c r="F6616" t="inlineStr"/>
      <c r="G6616" t="inlineStr"/>
      <c r="H6616" t="inlineStr"/>
    </row>
    <row r="6617">
      <c r="A6617" t="inlineStr">
        <is>
          <t>a03db382-16ca-4c30-b8fc-3554f9a1ef75.jpg</t>
        </is>
      </c>
      <c r="B6617">
        <f>HYPERLINK("Объекты недвижимости, не соответствующие градостроительным нормам_00-022_Август/a03db382-16ca-4c30-b8fc-3554f9a1ef75.jpg","open")</f>
        <v/>
      </c>
      <c r="C6617" t="inlineStr">
        <is>
          <t>789f6c51-64ee-4078-b7bd-443af8b8b68a</t>
        </is>
      </c>
      <c r="D6617" t="n">
        <v>55.87012</v>
      </c>
      <c r="E6617" t="n">
        <v>37.58939</v>
      </c>
      <c r="F6617" t="inlineStr"/>
      <c r="G6617" t="inlineStr"/>
      <c r="H6617" t="inlineStr"/>
    </row>
    <row r="6618">
      <c r="A6618" t="inlineStr">
        <is>
          <t>4260e755-ba70-4f83-a396-01ee78d116fa.jpg</t>
        </is>
      </c>
      <c r="B6618">
        <f>HYPERLINK("Объекты недвижимости, не соответствующие градостроительным нормам_00-022_Август/4260e755-ba70-4f83-a396-01ee78d116fa.jpg","open")</f>
        <v/>
      </c>
      <c r="C6618" t="inlineStr">
        <is>
          <t>685d9054-b74f-49ab-857b-109fd2cec80d</t>
        </is>
      </c>
      <c r="D6618" t="n">
        <v>55.54338</v>
      </c>
      <c r="E6618" t="n">
        <v>37.52115</v>
      </c>
      <c r="F6618" t="inlineStr"/>
      <c r="G6618" t="inlineStr"/>
      <c r="H6618" t="inlineStr"/>
    </row>
    <row r="6619">
      <c r="A6619" t="inlineStr">
        <is>
          <t>06f3ee34-434a-4501-b18a-26259aa6a1f5.jpg</t>
        </is>
      </c>
      <c r="B6619">
        <f>HYPERLINK("Объекты недвижимости, не соответствующие градостроительным нормам_00-022_Август/06f3ee34-434a-4501-b18a-26259aa6a1f5.jpg","open")</f>
        <v/>
      </c>
      <c r="C6619" t="inlineStr">
        <is>
          <t>1231bbc5-e64c-4dc7-9acc-77710f47607a</t>
        </is>
      </c>
      <c r="D6619" t="n">
        <v>55.54339</v>
      </c>
      <c r="E6619" t="n">
        <v>37.52119</v>
      </c>
      <c r="F6619" t="inlineStr"/>
      <c r="G6619" t="inlineStr"/>
      <c r="H6619" t="inlineStr"/>
    </row>
    <row r="6620">
      <c r="A6620" t="inlineStr">
        <is>
          <t>f08a4aff-c4c5-45d6-b06a-ddec99032c85.jpg</t>
        </is>
      </c>
      <c r="B6620">
        <f>HYPERLINK("Объекты недвижимости, не соответствующие градостроительным нормам_00-022_Август/f08a4aff-c4c5-45d6-b06a-ddec99032c85.jpg","open")</f>
        <v/>
      </c>
      <c r="C6620" t="inlineStr">
        <is>
          <t>1231bbc5-e64c-4dc7-9acc-77710f47607a</t>
        </is>
      </c>
      <c r="D6620" t="n">
        <v>55.54338</v>
      </c>
      <c r="E6620" t="n">
        <v>37.52119</v>
      </c>
      <c r="F6620" t="inlineStr"/>
      <c r="G6620" t="inlineStr"/>
      <c r="H6620" t="inlineStr"/>
    </row>
    <row r="6621">
      <c r="A6621" t="inlineStr">
        <is>
          <t>79f9741e-3390-4ca7-a385-ce0bb8a10d23.jpg</t>
        </is>
      </c>
      <c r="B6621">
        <f>HYPERLINK("Объекты недвижимости, не соответствующие градостроительным нормам_00-022_Август/79f9741e-3390-4ca7-a385-ce0bb8a10d23.jpg","open")</f>
        <v/>
      </c>
      <c r="C6621" t="inlineStr">
        <is>
          <t>1231bbc5-e64c-4dc7-9acc-77710f47607a</t>
        </is>
      </c>
      <c r="D6621" t="n">
        <v>55.54338</v>
      </c>
      <c r="E6621" t="n">
        <v>37.5212</v>
      </c>
      <c r="F6621" t="inlineStr"/>
      <c r="G6621" t="inlineStr"/>
      <c r="H6621" t="inlineStr"/>
    </row>
    <row r="6622">
      <c r="A6622" t="inlineStr">
        <is>
          <t>86eeaba3-bfcf-49bd-a21f-bbb00e37e37c.jpg</t>
        </is>
      </c>
      <c r="B6622">
        <f>HYPERLINK("Объекты недвижимости, не соответствующие градостроительным нормам_00-022_Август/86eeaba3-bfcf-49bd-a21f-bbb00e37e37c.jpg","open")</f>
        <v/>
      </c>
      <c r="C6622" t="inlineStr">
        <is>
          <t>31a713a9-b910-424b-b847-e0eaa2f70c70</t>
        </is>
      </c>
      <c r="D6622" t="n">
        <v>55.80909</v>
      </c>
      <c r="E6622" t="n">
        <v>37.80475</v>
      </c>
      <c r="F6622" t="inlineStr"/>
      <c r="G6622" t="inlineStr"/>
      <c r="H6622" t="inlineStr"/>
    </row>
    <row r="6623">
      <c r="A6623" t="inlineStr">
        <is>
          <t>a507f2d6-6c9e-42a8-9b17-c6008beb0feb.jpg</t>
        </is>
      </c>
      <c r="B6623">
        <f>HYPERLINK("Объекты недвижимости, не соответствующие градостроительным нормам_00-022_Август/a507f2d6-6c9e-42a8-9b17-c6008beb0feb.jpg","open")</f>
        <v/>
      </c>
      <c r="C6623" t="inlineStr">
        <is>
          <t>b0b7ea82-53be-40d0-b992-e2fd18611d5c</t>
        </is>
      </c>
      <c r="D6623" t="n">
        <v>55.68505</v>
      </c>
      <c r="E6623" t="n">
        <v>37.84848</v>
      </c>
      <c r="F6623" t="inlineStr"/>
      <c r="G6623" t="inlineStr"/>
      <c r="H6623" t="inlineStr"/>
    </row>
    <row r="6624">
      <c r="A6624" t="inlineStr">
        <is>
          <t>a3651d40-3d6a-477a-9eea-37b4e52b2c2c.jpg</t>
        </is>
      </c>
      <c r="B6624">
        <f>HYPERLINK("Объекты недвижимости, не соответствующие градостроительным нормам_00-022_Август/a3651d40-3d6a-477a-9eea-37b4e52b2c2c.jpg","open")</f>
        <v/>
      </c>
      <c r="C6624" t="inlineStr">
        <is>
          <t>1c951e11-4940-43c6-a447-394097e5609a</t>
        </is>
      </c>
      <c r="D6624" t="n">
        <v>55.81728</v>
      </c>
      <c r="E6624" t="n">
        <v>37.63837</v>
      </c>
      <c r="F6624" t="inlineStr"/>
      <c r="G6624" t="inlineStr"/>
      <c r="H6624" t="inlineStr"/>
    </row>
    <row r="6625">
      <c r="A6625" t="inlineStr">
        <is>
          <t>5483699f-8071-4187-85bd-6f331bd89acb.jpg</t>
        </is>
      </c>
      <c r="B6625">
        <f>HYPERLINK("Объекты недвижимости, не соответствующие градостроительным нормам_00-022_Август/5483699f-8071-4187-85bd-6f331bd89acb.jpg","open")</f>
        <v/>
      </c>
      <c r="C6625" t="inlineStr">
        <is>
          <t>50e4626c-a80e-42ab-b999-b5092c2c063f</t>
        </is>
      </c>
      <c r="D6625" t="n">
        <v>55.92556</v>
      </c>
      <c r="E6625" t="n">
        <v>37.38576</v>
      </c>
      <c r="F6625" t="inlineStr"/>
      <c r="G6625" t="inlineStr"/>
      <c r="H6625" t="inlineStr"/>
    </row>
    <row r="6626">
      <c r="A6626" t="inlineStr">
        <is>
          <t>2cf8c12b-8c0a-4952-9462-4d9ea4d1f0ff.jpg</t>
        </is>
      </c>
      <c r="B6626">
        <f>HYPERLINK("Объекты недвижимости, не соответствующие градостроительным нормам_00-022_Август/2cf8c12b-8c0a-4952-9462-4d9ea4d1f0ff.jpg","open")</f>
        <v/>
      </c>
      <c r="C6626" t="inlineStr">
        <is>
          <t>8cde1fd0-eca1-4510-86ab-3c743b65fdfc</t>
        </is>
      </c>
      <c r="D6626" t="n">
        <v>55.81466</v>
      </c>
      <c r="E6626" t="n">
        <v>37.63291</v>
      </c>
      <c r="F6626" t="inlineStr"/>
      <c r="G6626" t="inlineStr"/>
      <c r="H6626" t="inlineStr"/>
    </row>
    <row r="6627">
      <c r="A6627" t="inlineStr">
        <is>
          <t>9012c07c-3156-44ad-b6ae-eb8d24f06fef.jpg</t>
        </is>
      </c>
      <c r="B6627">
        <f>HYPERLINK("Объекты недвижимости, не соответствующие градостроительным нормам_00-022_Август/9012c07c-3156-44ad-b6ae-eb8d24f06fef.jpg","open")</f>
        <v/>
      </c>
      <c r="C6627" t="inlineStr">
        <is>
          <t>cbf95b01-f708-45a3-9ec0-3603469b538e</t>
        </is>
      </c>
      <c r="D6627" t="n">
        <v>55.86556</v>
      </c>
      <c r="E6627" t="n">
        <v>37.8325</v>
      </c>
      <c r="F6627" t="inlineStr"/>
      <c r="G6627" t="inlineStr"/>
      <c r="H6627" t="inlineStr"/>
    </row>
    <row r="6628">
      <c r="A6628" t="inlineStr">
        <is>
          <t>80ed1ab6-545e-410c-833f-36b5ccc64e26.jpg</t>
        </is>
      </c>
      <c r="B6628">
        <f>HYPERLINK("Объекты недвижимости, не соответствующие градостроительным нормам_00-022_Август/80ed1ab6-545e-410c-833f-36b5ccc64e26.jpg","open")</f>
        <v/>
      </c>
      <c r="C6628" t="inlineStr">
        <is>
          <t>1c951e11-4940-43c6-a447-394097e5609a</t>
        </is>
      </c>
      <c r="D6628" t="n">
        <v>55.81481</v>
      </c>
      <c r="E6628" t="n">
        <v>37.63274</v>
      </c>
      <c r="F6628" t="inlineStr"/>
      <c r="G6628" t="inlineStr"/>
      <c r="H6628" t="inlineStr"/>
    </row>
    <row r="6629">
      <c r="A6629" t="inlineStr">
        <is>
          <t>ef14ba96-58fb-4bb3-a2fe-b1a9a5dcb49c.jpg</t>
        </is>
      </c>
      <c r="B6629">
        <f>HYPERLINK("Объекты недвижимости, не соответствующие градостроительным нормам_00-022_Август/ef14ba96-58fb-4bb3-a2fe-b1a9a5dcb49c.jpg","open")</f>
        <v/>
      </c>
      <c r="C6629" t="inlineStr">
        <is>
          <t>cbf95b01-f708-45a3-9ec0-3603469b538e</t>
        </is>
      </c>
      <c r="D6629" t="n">
        <v>55.86556</v>
      </c>
      <c r="E6629" t="n">
        <v>37.8325</v>
      </c>
      <c r="F6629" t="inlineStr"/>
      <c r="G6629" t="inlineStr"/>
      <c r="H6629" t="inlineStr"/>
    </row>
    <row r="6630">
      <c r="A6630" t="inlineStr">
        <is>
          <t>0f4a5f64-1c2f-43b8-ac44-90f44804369d.jpg</t>
        </is>
      </c>
      <c r="B6630">
        <f>HYPERLINK("Объекты недвижимости, не соответствующие градостроительным нормам_00-022_Август/0f4a5f64-1c2f-43b8-ac44-90f44804369d.jpg","open")</f>
        <v/>
      </c>
      <c r="C6630" t="inlineStr">
        <is>
          <t>789f6c51-64ee-4078-b7bd-443af8b8b68a</t>
        </is>
      </c>
      <c r="D6630" t="n">
        <v>55.87291</v>
      </c>
      <c r="E6630" t="n">
        <v>37.58778</v>
      </c>
      <c r="F6630" t="inlineStr"/>
      <c r="G6630" t="inlineStr"/>
      <c r="H6630" t="inlineStr"/>
    </row>
    <row r="6631">
      <c r="A6631" t="inlineStr">
        <is>
          <t>7a04e47b-ffec-4d53-94f7-420de5693891.jpg</t>
        </is>
      </c>
      <c r="B6631">
        <f>HYPERLINK("Объекты недвижимости, не соответствующие градостроительным нормам_00-022_Август/7a04e47b-ffec-4d53-94f7-420de5693891.jpg","open")</f>
        <v/>
      </c>
      <c r="C6631" t="inlineStr">
        <is>
          <t>cbf95b01-f708-45a3-9ec0-3603469b538e</t>
        </is>
      </c>
      <c r="D6631" t="n">
        <v>55.86556</v>
      </c>
      <c r="E6631" t="n">
        <v>37.8325</v>
      </c>
      <c r="F6631" t="inlineStr"/>
      <c r="G6631" t="inlineStr"/>
      <c r="H6631" t="inlineStr"/>
    </row>
    <row r="6632">
      <c r="A6632" t="inlineStr">
        <is>
          <t>bdbc2040-bd80-4722-aa1e-2d7e8077cad4.jpg</t>
        </is>
      </c>
      <c r="B6632">
        <f>HYPERLINK("Объекты недвижимости, не соответствующие градостроительным нормам_00-022_Август/bdbc2040-bd80-4722-aa1e-2d7e8077cad4.jpg","open")</f>
        <v/>
      </c>
      <c r="C6632" t="inlineStr">
        <is>
          <t>93848fc8-17e7-4748-9ebc-c7e379e11d2f</t>
        </is>
      </c>
      <c r="D6632" t="n">
        <v>55.74557</v>
      </c>
      <c r="E6632" t="n">
        <v>37.51239</v>
      </c>
      <c r="F6632" t="inlineStr"/>
      <c r="G6632" t="inlineStr"/>
      <c r="H6632" t="inlineStr"/>
    </row>
    <row r="6633">
      <c r="A6633" t="inlineStr">
        <is>
          <t>8e693fcb-e273-4162-b886-957a707e4007.jpg</t>
        </is>
      </c>
      <c r="B6633">
        <f>HYPERLINK("Объекты недвижимости, не соответствующие градостроительным нормам_00-022_Август/8e693fcb-e273-4162-b886-957a707e4007.jpg","open")</f>
        <v/>
      </c>
      <c r="C6633" t="inlineStr">
        <is>
          <t>f6f80c84-5569-48fd-b627-6f41ce4c61c4</t>
        </is>
      </c>
      <c r="D6633" t="n">
        <v>55.79362</v>
      </c>
      <c r="E6633" t="n">
        <v>37.80562</v>
      </c>
      <c r="F6633" t="inlineStr"/>
      <c r="G6633" t="inlineStr"/>
      <c r="H6633" t="inlineStr"/>
    </row>
    <row r="6634">
      <c r="A6634" t="inlineStr">
        <is>
          <t>27185dca-b663-4ffc-9c55-2ecc857508c1.jpg</t>
        </is>
      </c>
      <c r="B6634">
        <f>HYPERLINK("Объекты недвижимости, не соответствующие градостроительным нормам_00-022_Август/27185dca-b663-4ffc-9c55-2ecc857508c1.jpg","open")</f>
        <v/>
      </c>
      <c r="C6634" t="inlineStr">
        <is>
          <t>a1a9db89-3f74-42ef-8fad-ad69705102cd</t>
        </is>
      </c>
      <c r="D6634" t="n">
        <v>55.86556</v>
      </c>
      <c r="E6634" t="n">
        <v>37.8325</v>
      </c>
      <c r="F6634" t="inlineStr"/>
      <c r="G6634" t="inlineStr"/>
      <c r="H6634" t="inlineStr"/>
    </row>
    <row r="6635">
      <c r="A6635" t="inlineStr">
        <is>
          <t>6df87f99-8094-42a1-9794-c5bff2159670.jpg</t>
        </is>
      </c>
      <c r="B6635">
        <f>HYPERLINK("Объекты недвижимости, не соответствующие градостроительным нормам_00-022_Август/6df87f99-8094-42a1-9794-c5bff2159670.jpg","open")</f>
        <v/>
      </c>
      <c r="C6635" t="inlineStr">
        <is>
          <t>b0429a31-0c70-4b9f-8ea5-73929d82f89e</t>
        </is>
      </c>
      <c r="D6635" t="n">
        <v>55.66719</v>
      </c>
      <c r="E6635" t="n">
        <v>37.61117</v>
      </c>
      <c r="F6635" t="inlineStr"/>
      <c r="G6635" t="inlineStr"/>
      <c r="H6635" t="inlineStr"/>
    </row>
    <row r="6636">
      <c r="A6636" t="inlineStr">
        <is>
          <t>0cb02b68-5139-403d-8b9b-21f98ff4b413.jpg</t>
        </is>
      </c>
      <c r="B6636">
        <f>HYPERLINK("Объекты недвижимости, не соответствующие градостроительным нормам_00-022_Август/0cb02b68-5139-403d-8b9b-21f98ff4b413.jpg","open")</f>
        <v/>
      </c>
      <c r="C6636" t="inlineStr">
        <is>
          <t>b0429a31-0c70-4b9f-8ea5-73929d82f89e</t>
        </is>
      </c>
      <c r="D6636" t="n">
        <v>55.66805</v>
      </c>
      <c r="E6636" t="n">
        <v>37.60999</v>
      </c>
      <c r="F6636" t="inlineStr"/>
      <c r="G6636" t="inlineStr"/>
      <c r="H6636" t="inlineStr"/>
    </row>
    <row r="6637">
      <c r="A6637" t="inlineStr">
        <is>
          <t>1a5e5581-03a9-408f-9dcc-3e670c25d05c.jpg</t>
        </is>
      </c>
      <c r="B6637">
        <f>HYPERLINK("Объекты недвижимости, не соответствующие градостроительным нормам_00-022_Август/1a5e5581-03a9-408f-9dcc-3e670c25d05c.jpg","open")</f>
        <v/>
      </c>
      <c r="C6637" t="inlineStr">
        <is>
          <t>b0429a31-0c70-4b9f-8ea5-73929d82f89e</t>
        </is>
      </c>
      <c r="D6637" t="n">
        <v>55.66917</v>
      </c>
      <c r="E6637" t="n">
        <v>37.61022</v>
      </c>
      <c r="F6637" t="inlineStr"/>
      <c r="G6637" t="inlineStr"/>
      <c r="H6637" t="inlineStr"/>
    </row>
    <row r="6638">
      <c r="A6638" t="inlineStr">
        <is>
          <t>2df58933-9a76-41d5-8072-ed6b7c62f09c.jpg</t>
        </is>
      </c>
      <c r="B6638">
        <f>HYPERLINK("Объекты недвижимости, не соответствующие градостроительным нормам_00-022_Август/2df58933-9a76-41d5-8072-ed6b7c62f09c.jpg","open")</f>
        <v/>
      </c>
      <c r="C6638" t="inlineStr">
        <is>
          <t>b0429a31-0c70-4b9f-8ea5-73929d82f89e</t>
        </is>
      </c>
      <c r="D6638" t="n">
        <v>55.66833</v>
      </c>
      <c r="E6638" t="n">
        <v>37.61019</v>
      </c>
      <c r="F6638" t="inlineStr"/>
      <c r="G6638" t="inlineStr"/>
      <c r="H6638" t="inlineStr"/>
    </row>
    <row r="6639">
      <c r="A6639" t="inlineStr">
        <is>
          <t>0e818468-4a1f-4805-800e-247fdf98d492.jpg</t>
        </is>
      </c>
      <c r="B6639">
        <f>HYPERLINK("Объекты недвижимости, не соответствующие градостроительным нормам_00-022_Август/0e818468-4a1f-4805-800e-247fdf98d492.jpg","open")</f>
        <v/>
      </c>
      <c r="C6639" t="inlineStr">
        <is>
          <t>b0429a31-0c70-4b9f-8ea5-73929d82f89e</t>
        </is>
      </c>
      <c r="D6639" t="n">
        <v>55.66923</v>
      </c>
      <c r="E6639" t="n">
        <v>37.61042</v>
      </c>
      <c r="F6639" t="inlineStr"/>
      <c r="G6639" t="inlineStr"/>
      <c r="H6639" t="inlineStr"/>
    </row>
    <row r="6640">
      <c r="A6640" t="inlineStr">
        <is>
          <t>c654a092-daa3-4e2c-b286-58a7d347704d.jpg</t>
        </is>
      </c>
      <c r="B6640">
        <f>HYPERLINK("Объекты недвижимости, не соответствующие градостроительным нормам_00-022_Август/c654a092-daa3-4e2c-b286-58a7d347704d.jpg","open")</f>
        <v/>
      </c>
      <c r="C6640" t="inlineStr">
        <is>
          <t>cbf95b01-f708-45a3-9ec0-3603469b538e</t>
        </is>
      </c>
      <c r="D6640" t="n">
        <v>55.76315</v>
      </c>
      <c r="E6640" t="n">
        <v>37.68041</v>
      </c>
      <c r="F6640" t="inlineStr"/>
      <c r="G6640" t="inlineStr"/>
      <c r="H6640" t="inlineStr"/>
    </row>
    <row r="6641">
      <c r="A6641" t="inlineStr">
        <is>
          <t>fce29753-f7f3-4591-b43e-43946354db2f.jpg</t>
        </is>
      </c>
      <c r="B6641">
        <f>HYPERLINK("Объекты недвижимости, не соответствующие градостроительным нормам_00-022_Август/fce29753-f7f3-4591-b43e-43946354db2f.jpg","open")</f>
        <v/>
      </c>
      <c r="C6641" t="inlineStr">
        <is>
          <t>cbf95b01-f708-45a3-9ec0-3603469b538e</t>
        </is>
      </c>
      <c r="D6641" t="n">
        <v>55.76315</v>
      </c>
      <c r="E6641" t="n">
        <v>37.68032</v>
      </c>
      <c r="F6641" t="inlineStr"/>
      <c r="G6641" t="inlineStr"/>
      <c r="H6641" t="inlineStr"/>
    </row>
    <row r="6642">
      <c r="A6642" t="inlineStr">
        <is>
          <t>e642c5fd-1b92-4d0e-812b-a385c8316561.jpg</t>
        </is>
      </c>
      <c r="B6642">
        <f>HYPERLINK("Объекты недвижимости, не соответствующие градостроительным нормам_00-022_Август/e642c5fd-1b92-4d0e-812b-a385c8316561.jpg","open")</f>
        <v/>
      </c>
      <c r="C6642" t="inlineStr">
        <is>
          <t>cbf95b01-f708-45a3-9ec0-3603469b538e</t>
        </is>
      </c>
      <c r="D6642" t="n">
        <v>55.76315</v>
      </c>
      <c r="E6642" t="n">
        <v>37.68025</v>
      </c>
      <c r="F6642" t="inlineStr"/>
      <c r="G6642" t="inlineStr"/>
      <c r="H6642" t="inlineStr"/>
    </row>
    <row r="6643">
      <c r="A6643" t="inlineStr">
        <is>
          <t>839fe0cc-8571-4a37-a576-15d54cf6c583.jpg</t>
        </is>
      </c>
      <c r="B6643">
        <f>HYPERLINK("Объекты недвижимости, не соответствующие градостроительным нормам_00-022_Август/839fe0cc-8571-4a37-a576-15d54cf6c583.jpg","open")</f>
        <v/>
      </c>
      <c r="C6643" t="inlineStr">
        <is>
          <t>cbf95b01-f708-45a3-9ec0-3603469b538e</t>
        </is>
      </c>
      <c r="D6643" t="n">
        <v>55.7618</v>
      </c>
      <c r="E6643" t="n">
        <v>37.67976</v>
      </c>
      <c r="F6643" t="inlineStr"/>
      <c r="G6643" t="inlineStr"/>
      <c r="H6643" t="inlineStr"/>
    </row>
    <row r="6644">
      <c r="A6644" t="inlineStr">
        <is>
          <t>08c829f1-5c00-4348-bbf7-0c3b73848d11.jpg</t>
        </is>
      </c>
      <c r="B6644">
        <f>HYPERLINK("Объекты недвижимости, не соответствующие градостроительным нормам_00-022_Август/08c829f1-5c00-4348-bbf7-0c3b73848d11.jpg","open")</f>
        <v/>
      </c>
      <c r="C6644" t="inlineStr">
        <is>
          <t>8996eb30-6497-4318-8a0e-b95314b8172e</t>
        </is>
      </c>
      <c r="D6644" t="n">
        <v>55.6422</v>
      </c>
      <c r="E6644" t="n">
        <v>37.60796</v>
      </c>
      <c r="F6644" t="inlineStr"/>
      <c r="G6644" t="inlineStr"/>
      <c r="H6644" t="inlineStr"/>
    </row>
    <row r="6645">
      <c r="A6645" t="inlineStr">
        <is>
          <t>3e387339-ff6c-4fc8-8ffb-c12fffaeb78e.jpg</t>
        </is>
      </c>
      <c r="B6645">
        <f>HYPERLINK("Объекты недвижимости, не соответствующие градостроительным нормам_00-022_Август/3e387339-ff6c-4fc8-8ffb-c12fffaeb78e.jpg","open")</f>
        <v/>
      </c>
      <c r="C6645" t="inlineStr">
        <is>
          <t>a1a9db89-3f74-42ef-8fad-ad69705102cd</t>
        </is>
      </c>
      <c r="D6645" t="n">
        <v>55.75959</v>
      </c>
      <c r="E6645" t="n">
        <v>37.67873</v>
      </c>
      <c r="F6645" t="inlineStr"/>
      <c r="G6645" t="inlineStr"/>
      <c r="H6645" t="inlineStr"/>
    </row>
    <row r="6646">
      <c r="A6646" t="inlineStr">
        <is>
          <t>fff1869a-2bbf-41b5-833b-a92663138245.jpg</t>
        </is>
      </c>
      <c r="B6646">
        <f>HYPERLINK("Объекты недвижимости, не соответствующие градостроительным нормам_00-022_Август/fff1869a-2bbf-41b5-833b-a92663138245.jpg","open")</f>
        <v/>
      </c>
      <c r="C6646" t="inlineStr">
        <is>
          <t>a1a9db89-3f74-42ef-8fad-ad69705102cd</t>
        </is>
      </c>
      <c r="D6646" t="n">
        <v>55.75957</v>
      </c>
      <c r="E6646" t="n">
        <v>37.67871</v>
      </c>
      <c r="F6646" t="inlineStr"/>
      <c r="G6646" t="inlineStr"/>
      <c r="H6646" t="inlineStr"/>
    </row>
    <row r="6647">
      <c r="A6647" t="inlineStr">
        <is>
          <t>0268fd9f-4e5b-419f-953e-1577fad0f625.jpg</t>
        </is>
      </c>
      <c r="B6647">
        <f>HYPERLINK("Объекты недвижимости, не соответствующие градостроительным нормам_00-022_Август/0268fd9f-4e5b-419f-953e-1577fad0f625.jpg","open")</f>
        <v/>
      </c>
      <c r="C6647" t="inlineStr">
        <is>
          <t>cbf95b01-f708-45a3-9ec0-3603469b538e</t>
        </is>
      </c>
      <c r="D6647" t="n">
        <v>55.75956</v>
      </c>
      <c r="E6647" t="n">
        <v>37.67871</v>
      </c>
      <c r="F6647" t="inlineStr"/>
      <c r="G6647" t="inlineStr"/>
      <c r="H6647" t="inlineStr"/>
    </row>
    <row r="6648">
      <c r="A6648" t="inlineStr">
        <is>
          <t>5b0aa7d4-4fd7-4ac2-85d5-c34ee83420e5.jpg</t>
        </is>
      </c>
      <c r="B6648">
        <f>HYPERLINK("Объекты недвижимости, не соответствующие градостроительным нормам_00-022_Август/5b0aa7d4-4fd7-4ac2-85d5-c34ee83420e5.jpg","open")</f>
        <v/>
      </c>
      <c r="C6648" t="inlineStr">
        <is>
          <t>cbf95b01-f708-45a3-9ec0-3603469b538e</t>
        </is>
      </c>
      <c r="D6648" t="n">
        <v>55.75985</v>
      </c>
      <c r="E6648" t="n">
        <v>37.67902</v>
      </c>
      <c r="F6648" t="inlineStr"/>
      <c r="G6648" t="inlineStr"/>
      <c r="H6648" t="inlineStr"/>
    </row>
    <row r="6649">
      <c r="A6649" t="inlineStr">
        <is>
          <t>1087d865-37d5-4241-91f3-07a6d269a35b.jpg</t>
        </is>
      </c>
      <c r="B6649">
        <f>HYPERLINK("Объекты недвижимости, не соответствующие градостроительным нормам_00-022_Август/1087d865-37d5-4241-91f3-07a6d269a35b.jpg","open")</f>
        <v/>
      </c>
      <c r="C6649" t="inlineStr">
        <is>
          <t>a1a9db89-3f74-42ef-8fad-ad69705102cd</t>
        </is>
      </c>
      <c r="D6649" t="n">
        <v>55.75959</v>
      </c>
      <c r="E6649" t="n">
        <v>37.67881</v>
      </c>
      <c r="F6649" t="inlineStr"/>
      <c r="G6649" t="inlineStr"/>
      <c r="H6649" t="inlineStr"/>
    </row>
    <row r="6650">
      <c r="A6650" t="inlineStr">
        <is>
          <t>557185bd-6f73-47b2-8e5c-e30f28cd5a89.jpg</t>
        </is>
      </c>
      <c r="B6650">
        <f>HYPERLINK("Объекты недвижимости, не соответствующие градостроительным нормам_00-022_Август/557185bd-6f73-47b2-8e5c-e30f28cd5a89.jpg","open")</f>
        <v/>
      </c>
      <c r="C6650" t="inlineStr">
        <is>
          <t>cbf95b01-f708-45a3-9ec0-3603469b538e</t>
        </is>
      </c>
      <c r="D6650" t="n">
        <v>55.75954</v>
      </c>
      <c r="E6650" t="n">
        <v>37.67877</v>
      </c>
      <c r="F6650" t="inlineStr"/>
      <c r="G6650" t="inlineStr"/>
      <c r="H6650" t="inlineStr"/>
    </row>
    <row r="6651">
      <c r="A6651" t="inlineStr">
        <is>
          <t>aa7a7db7-998e-4bd9-8f7d-f161543642fa.jpg</t>
        </is>
      </c>
      <c r="B6651">
        <f>HYPERLINK("Объекты недвижимости, не соответствующие градостроительным нормам_00-022_Август/aa7a7db7-998e-4bd9-8f7d-f161543642fa.jpg","open")</f>
        <v/>
      </c>
      <c r="C6651" t="inlineStr">
        <is>
          <t>030e8755-17c1-44eb-9530-707d0d3121cb</t>
        </is>
      </c>
      <c r="D6651" t="n">
        <v>55.68575</v>
      </c>
      <c r="E6651" t="n">
        <v>37.67579</v>
      </c>
      <c r="F6651" t="inlineStr"/>
      <c r="G6651" t="inlineStr"/>
      <c r="H6651" t="inlineStr"/>
    </row>
    <row r="6652">
      <c r="A6652" t="inlineStr">
        <is>
          <t>9e90022b-ccf1-442c-a1f4-e6f1665fd787.jpg</t>
        </is>
      </c>
      <c r="B6652">
        <f>HYPERLINK("Объекты недвижимости, не соответствующие градостроительным нормам_00-022_Август/9e90022b-ccf1-442c-a1f4-e6f1665fd787.jpg","open")</f>
        <v/>
      </c>
      <c r="C6652" t="inlineStr">
        <is>
          <t>030e8755-17c1-44eb-9530-707d0d3121cb</t>
        </is>
      </c>
      <c r="D6652" t="n">
        <v>55.68536</v>
      </c>
      <c r="E6652" t="n">
        <v>37.67539</v>
      </c>
      <c r="F6652" t="inlineStr"/>
      <c r="G6652" t="inlineStr"/>
      <c r="H6652" t="inlineStr"/>
    </row>
    <row r="6653">
      <c r="A6653" t="inlineStr">
        <is>
          <t>b3940d64-5ce2-4028-ac57-60040220c355.jpg</t>
        </is>
      </c>
      <c r="B6653">
        <f>HYPERLINK("Объекты недвижимости, не соответствующие градостроительным нормам_00-022_Август/b3940d64-5ce2-4028-ac57-60040220c355.jpg","open")</f>
        <v/>
      </c>
      <c r="C6653" t="inlineStr">
        <is>
          <t>6e2567a0-1fb9-40d5-a0e7-0adb480d2965</t>
        </is>
      </c>
      <c r="D6653" t="n">
        <v>55.63815</v>
      </c>
      <c r="E6653" t="n">
        <v>37.65812</v>
      </c>
      <c r="F6653" t="inlineStr"/>
      <c r="G6653" t="inlineStr"/>
      <c r="H6653" t="inlineStr"/>
    </row>
    <row r="6654">
      <c r="A6654" t="inlineStr">
        <is>
          <t>33923c5d-c3fa-4c4b-ab4a-1fa2090d8514.jpg</t>
        </is>
      </c>
      <c r="B6654">
        <f>HYPERLINK("Объекты недвижимости, не соответствующие градостроительным нормам_00-022_Август/33923c5d-c3fa-4c4b-ab4a-1fa2090d8514.jpg","open")</f>
        <v/>
      </c>
      <c r="C6654" t="inlineStr">
        <is>
          <t>cbf95b01-f708-45a3-9ec0-3603469b538e</t>
        </is>
      </c>
      <c r="D6654" t="n">
        <v>55.74784</v>
      </c>
      <c r="E6654" t="n">
        <v>37.66837</v>
      </c>
      <c r="F6654" t="inlineStr"/>
      <c r="G6654" t="inlineStr"/>
      <c r="H6654" t="inlineStr"/>
    </row>
    <row r="6655">
      <c r="A6655" t="inlineStr">
        <is>
          <t>9fe7c168-c992-417a-ab35-7283b18ad389.jpg</t>
        </is>
      </c>
      <c r="B6655">
        <f>HYPERLINK("Объекты недвижимости, не соответствующие градостроительным нормам_00-022_Август/9fe7c168-c992-417a-ab35-7283b18ad389.jpg","open")</f>
        <v/>
      </c>
      <c r="C6655" t="inlineStr">
        <is>
          <t>cbf95b01-f708-45a3-9ec0-3603469b538e</t>
        </is>
      </c>
      <c r="D6655" t="n">
        <v>55.74773</v>
      </c>
      <c r="E6655" t="n">
        <v>37.66851</v>
      </c>
      <c r="F6655" t="inlineStr"/>
      <c r="G6655" t="inlineStr"/>
      <c r="H6655" t="inlineStr"/>
    </row>
    <row r="6656">
      <c r="A6656" t="inlineStr">
        <is>
          <t>67ad315e-6c5c-46f3-a564-2647b4c94c21.jpg</t>
        </is>
      </c>
      <c r="B6656">
        <f>HYPERLINK("Объекты недвижимости, не соответствующие градостроительным нормам_00-022_Август/67ad315e-6c5c-46f3-a564-2647b4c94c21.jpg","open")</f>
        <v/>
      </c>
      <c r="C6656" t="inlineStr">
        <is>
          <t>a1a9db89-3f74-42ef-8fad-ad69705102cd</t>
        </is>
      </c>
      <c r="D6656" t="n">
        <v>55.74795</v>
      </c>
      <c r="E6656" t="n">
        <v>37.66827</v>
      </c>
      <c r="F6656" t="inlineStr"/>
      <c r="G6656" t="inlineStr"/>
      <c r="H6656" t="inlineStr"/>
    </row>
    <row r="6657">
      <c r="A6657" t="inlineStr">
        <is>
          <t>799ec221-3776-4eab-b47c-3cc68d6e6bf1.jpg</t>
        </is>
      </c>
      <c r="B6657">
        <f>HYPERLINK("Объекты недвижимости, не соответствующие градостроительным нормам_00-022_Август/799ec221-3776-4eab-b47c-3cc68d6e6bf1.jpg","open")</f>
        <v/>
      </c>
      <c r="C6657" t="inlineStr">
        <is>
          <t>cbf95b01-f708-45a3-9ec0-3603469b538e</t>
        </is>
      </c>
      <c r="D6657" t="n">
        <v>55.7476</v>
      </c>
      <c r="E6657" t="n">
        <v>37.66862</v>
      </c>
      <c r="F6657" t="inlineStr"/>
      <c r="G6657" t="inlineStr"/>
      <c r="H6657" t="inlineStr"/>
    </row>
    <row r="6658">
      <c r="A6658" t="inlineStr">
        <is>
          <t>e1ed5daa-d54c-4f03-86fc-542df5941041.jpg</t>
        </is>
      </c>
      <c r="B6658">
        <f>HYPERLINK("Объекты недвижимости, не соответствующие градостроительным нормам_00-022_Август/e1ed5daa-d54c-4f03-86fc-542df5941041.jpg","open")</f>
        <v/>
      </c>
      <c r="C6658" t="inlineStr">
        <is>
          <t>a1a9db89-3f74-42ef-8fad-ad69705102cd</t>
        </is>
      </c>
      <c r="D6658" t="n">
        <v>55.74588</v>
      </c>
      <c r="E6658" t="n">
        <v>37.6697</v>
      </c>
      <c r="F6658" t="inlineStr"/>
      <c r="G6658" t="inlineStr"/>
      <c r="H6658" t="inlineStr"/>
    </row>
    <row r="6659">
      <c r="A6659" t="inlineStr">
        <is>
          <t>ef788614-6694-40d6-bada-e31332aabd30.jpg</t>
        </is>
      </c>
      <c r="B6659">
        <f>HYPERLINK("Объекты недвижимости, не соответствующие градостроительным нормам_00-022_Август/ef788614-6694-40d6-bada-e31332aabd30.jpg","open")</f>
        <v/>
      </c>
      <c r="C6659" t="inlineStr">
        <is>
          <t>12e795ad-2aa7-49de-b2da-2c6aa35a4559</t>
        </is>
      </c>
      <c r="D6659" t="n">
        <v>55.67011</v>
      </c>
      <c r="E6659" t="n">
        <v>37.55656</v>
      </c>
      <c r="F6659" t="inlineStr"/>
      <c r="G6659" t="inlineStr"/>
      <c r="H6659" t="inlineStr"/>
    </row>
    <row r="6660">
      <c r="A6660" t="inlineStr">
        <is>
          <t>308bb64a-45b4-4a2a-b6c7-6606cec78864.jpg</t>
        </is>
      </c>
      <c r="B6660">
        <f>HYPERLINK("Объекты недвижимости, не соответствующие градостроительным нормам_00-022_Август/308bb64a-45b4-4a2a-b6c7-6606cec78864.jpg","open")</f>
        <v/>
      </c>
      <c r="C6660" t="inlineStr">
        <is>
          <t>a1a9db89-3f74-42ef-8fad-ad69705102cd</t>
        </is>
      </c>
      <c r="D6660" t="n">
        <v>55.74588</v>
      </c>
      <c r="E6660" t="n">
        <v>37.6697</v>
      </c>
      <c r="F6660" t="inlineStr"/>
      <c r="G6660" t="inlineStr"/>
      <c r="H6660" t="inlineStr"/>
    </row>
    <row r="6661">
      <c r="A6661" t="inlineStr">
        <is>
          <t>1c15e6dd-d26f-4fae-a855-008042d484db.jpg</t>
        </is>
      </c>
      <c r="B6661">
        <f>HYPERLINK("Объекты недвижимости, не соответствующие градостроительным нормам_00-022_Август/1c15e6dd-d26f-4fae-a855-008042d484db.jpg","open")</f>
        <v/>
      </c>
      <c r="C6661" t="inlineStr">
        <is>
          <t>8cde1fd0-eca1-4510-86ab-3c743b65fdfc</t>
        </is>
      </c>
      <c r="D6661" t="n">
        <v>55.79748</v>
      </c>
      <c r="E6661" t="n">
        <v>37.63764</v>
      </c>
      <c r="F6661" t="inlineStr"/>
      <c r="G6661" t="inlineStr"/>
      <c r="H6661" t="inlineStr"/>
    </row>
    <row r="6662">
      <c r="A6662" t="inlineStr">
        <is>
          <t>03f48d25-c194-49f1-aca8-a5cfabfd2caa.jpg</t>
        </is>
      </c>
      <c r="B6662">
        <f>HYPERLINK("Объекты недвижимости, не соответствующие градостроительным нормам_00-022_Август/03f48d25-c194-49f1-aca8-a5cfabfd2caa.jpg","open")</f>
        <v/>
      </c>
      <c r="C6662" t="inlineStr">
        <is>
          <t>31a713a9-b910-424b-b847-e0eaa2f70c70</t>
        </is>
      </c>
      <c r="D6662" t="n">
        <v>55.7941</v>
      </c>
      <c r="E6662" t="n">
        <v>37.82357</v>
      </c>
      <c r="F6662" t="inlineStr"/>
      <c r="G6662" t="inlineStr"/>
      <c r="H6662" t="inlineStr"/>
    </row>
    <row r="6663">
      <c r="A6663" t="inlineStr">
        <is>
          <t>73b21b82-13ca-450b-98f1-a8e0e389b2ae.jpg</t>
        </is>
      </c>
      <c r="B6663">
        <f>HYPERLINK("Объекты недвижимости, не соответствующие градостроительным нормам_00-022_Август/73b21b82-13ca-450b-98f1-a8e0e389b2ae.jpg","open")</f>
        <v/>
      </c>
      <c r="C6663" t="inlineStr">
        <is>
          <t>8cde1fd0-eca1-4510-86ab-3c743b65fdfc</t>
        </is>
      </c>
      <c r="D6663" t="n">
        <v>55.79787</v>
      </c>
      <c r="E6663" t="n">
        <v>37.6429</v>
      </c>
      <c r="F6663" t="inlineStr"/>
      <c r="G6663" t="inlineStr"/>
      <c r="H6663" t="inlineStr"/>
    </row>
    <row r="6664">
      <c r="A6664" t="inlineStr">
        <is>
          <t>849ac70d-e659-44be-b454-26e9274e235b.jpg</t>
        </is>
      </c>
      <c r="B6664">
        <f>HYPERLINK("Объекты недвижимости, не соответствующие градостроительным нормам_00-022_Август/849ac70d-e659-44be-b454-26e9274e235b.jpg","open")</f>
        <v/>
      </c>
      <c r="C6664" t="inlineStr">
        <is>
          <t>8cde1fd0-eca1-4510-86ab-3c743b65fdfc</t>
        </is>
      </c>
      <c r="D6664" t="n">
        <v>55.79799</v>
      </c>
      <c r="E6664" t="n">
        <v>37.64325</v>
      </c>
      <c r="F6664" t="inlineStr"/>
      <c r="G6664" t="inlineStr"/>
      <c r="H6664" t="inlineStr"/>
    </row>
    <row r="6665">
      <c r="A6665" t="inlineStr">
        <is>
          <t>6e8eb636-a928-442f-9a73-6615f5efc650.jpg</t>
        </is>
      </c>
      <c r="B6665">
        <f>HYPERLINK("Объекты недвижимости, не соответствующие градостроительным нормам_00-022_Август/6e8eb636-a928-442f-9a73-6615f5efc650.jpg","open")</f>
        <v/>
      </c>
      <c r="C6665" t="inlineStr">
        <is>
          <t>8cde1fd0-eca1-4510-86ab-3c743b65fdfc</t>
        </is>
      </c>
      <c r="D6665" t="n">
        <v>55.79939</v>
      </c>
      <c r="E6665" t="n">
        <v>37.64435</v>
      </c>
      <c r="F6665" t="inlineStr"/>
      <c r="G6665" t="inlineStr"/>
      <c r="H6665" t="inlineStr"/>
    </row>
    <row r="6666">
      <c r="A6666" t="inlineStr">
        <is>
          <t>5badd8e1-43ac-4a59-aba2-870eb0227eb7.jpg</t>
        </is>
      </c>
      <c r="B6666">
        <f>HYPERLINK("Объекты недвижимости, не соответствующие градостроительным нормам_00-022_Август/5badd8e1-43ac-4a59-aba2-870eb0227eb7.jpg","open")</f>
        <v/>
      </c>
      <c r="C6666" t="inlineStr">
        <is>
          <t>a28f597e-d1cd-4d3b-b572-c86d033412e9</t>
        </is>
      </c>
      <c r="D6666" t="n">
        <v>55.65103</v>
      </c>
      <c r="E6666" t="n">
        <v>37.4024</v>
      </c>
      <c r="F6666" t="inlineStr"/>
      <c r="G6666" t="inlineStr"/>
      <c r="H6666" t="inlineStr"/>
    </row>
    <row r="6667">
      <c r="A6667" t="inlineStr">
        <is>
          <t>af63cffe-3b82-4c34-80e4-803f40992233.jpg</t>
        </is>
      </c>
      <c r="B6667">
        <f>HYPERLINK("Объекты недвижимости, не соответствующие градостроительным нормам_00-022_Август/af63cffe-3b82-4c34-80e4-803f40992233.jpg","open")</f>
        <v/>
      </c>
      <c r="C6667" t="inlineStr">
        <is>
          <t>036c664f-5408-4fd0-b479-342c00468eeb</t>
        </is>
      </c>
      <c r="D6667" t="n">
        <v>55.65096</v>
      </c>
      <c r="E6667" t="n">
        <v>37.40232</v>
      </c>
      <c r="F6667" t="inlineStr"/>
      <c r="G6667" t="inlineStr"/>
      <c r="H6667" t="inlineStr"/>
    </row>
    <row r="6668">
      <c r="A6668" t="inlineStr">
        <is>
          <t>6aa31a5a-5b11-4368-9455-abc96d90c2de.jpg</t>
        </is>
      </c>
      <c r="B6668">
        <f>HYPERLINK("Объекты недвижимости, не соответствующие градостроительным нормам_00-022_Август/6aa31a5a-5b11-4368-9455-abc96d90c2de.jpg","open")</f>
        <v/>
      </c>
      <c r="C6668" t="inlineStr">
        <is>
          <t>cbf95b01-f708-45a3-9ec0-3603469b538e</t>
        </is>
      </c>
      <c r="D6668" t="n">
        <v>55.7378</v>
      </c>
      <c r="E6668" t="n">
        <v>37.67765</v>
      </c>
      <c r="F6668" t="inlineStr"/>
      <c r="G6668" t="inlineStr"/>
      <c r="H6668" t="inlineStr"/>
    </row>
    <row r="6669">
      <c r="A6669" t="inlineStr">
        <is>
          <t>39fbf2a8-e91e-45ca-9245-fe6671fae422.jpg</t>
        </is>
      </c>
      <c r="B6669">
        <f>HYPERLINK("Объекты недвижимости, не соответствующие градостроительным нормам_00-022_Август/39fbf2a8-e91e-45ca-9245-fe6671fae422.jpg","open")</f>
        <v/>
      </c>
      <c r="C6669" t="inlineStr">
        <is>
          <t>cbf95b01-f708-45a3-9ec0-3603469b538e</t>
        </is>
      </c>
      <c r="D6669" t="n">
        <v>55.73698</v>
      </c>
      <c r="E6669" t="n">
        <v>37.67941</v>
      </c>
      <c r="F6669" t="inlineStr"/>
      <c r="G6669" t="inlineStr"/>
      <c r="H6669" t="inlineStr"/>
    </row>
    <row r="6670">
      <c r="A6670" t="inlineStr">
        <is>
          <t>ffeec784-a2ec-482b-8666-c013f5dcf94d.jpg</t>
        </is>
      </c>
      <c r="B6670">
        <f>HYPERLINK("Объекты недвижимости, не соответствующие градостроительным нормам_00-022_Август/ffeec784-a2ec-482b-8666-c013f5dcf94d.jpg","open")</f>
        <v/>
      </c>
      <c r="C6670" t="inlineStr">
        <is>
          <t>8cde1fd0-eca1-4510-86ab-3c743b65fdfc</t>
        </is>
      </c>
      <c r="D6670" t="n">
        <v>55.8018</v>
      </c>
      <c r="E6670" t="n">
        <v>37.64837</v>
      </c>
      <c r="F6670" t="inlineStr"/>
      <c r="G6670" t="inlineStr"/>
      <c r="H6670" t="inlineStr"/>
    </row>
    <row r="6671">
      <c r="A6671" t="inlineStr">
        <is>
          <t>e6228736-d601-49ff-8b1c-166747d01a18.jpg</t>
        </is>
      </c>
      <c r="B6671">
        <f>HYPERLINK("Объекты недвижимости, не соответствующие градостроительным нормам_00-022_Август/e6228736-d601-49ff-8b1c-166747d01a18.jpg","open")</f>
        <v/>
      </c>
      <c r="C6671" t="inlineStr">
        <is>
          <t>1c951e11-4940-43c6-a447-394097e5609a</t>
        </is>
      </c>
      <c r="D6671" t="n">
        <v>55.80164</v>
      </c>
      <c r="E6671" t="n">
        <v>37.64802</v>
      </c>
      <c r="F6671" t="inlineStr"/>
      <c r="G6671" t="inlineStr"/>
      <c r="H6671" t="inlineStr"/>
    </row>
    <row r="6672">
      <c r="A6672" t="inlineStr">
        <is>
          <t>6355684e-bc00-44b2-859d-db1271ccc316.jpg</t>
        </is>
      </c>
      <c r="B6672">
        <f>HYPERLINK("Объекты недвижимости, не соответствующие градостроительным нормам_00-022_Август/6355684e-bc00-44b2-859d-db1271ccc316.jpg","open")</f>
        <v/>
      </c>
      <c r="C6672" t="inlineStr">
        <is>
          <t>8cde1fd0-eca1-4510-86ab-3c743b65fdfc</t>
        </is>
      </c>
      <c r="D6672" t="n">
        <v>55.80167</v>
      </c>
      <c r="E6672" t="n">
        <v>37.64807</v>
      </c>
      <c r="F6672" t="inlineStr"/>
      <c r="G6672" t="inlineStr"/>
      <c r="H6672" t="inlineStr"/>
    </row>
    <row r="6673">
      <c r="A6673" t="inlineStr">
        <is>
          <t>281cda5d-8ac3-4ab4-990f-e7bdef335053.jpg</t>
        </is>
      </c>
      <c r="B6673">
        <f>HYPERLINK("Объекты недвижимости, не соответствующие градостроительным нормам_00-022_Август/281cda5d-8ac3-4ab4-990f-e7bdef335053.jpg","open")</f>
        <v/>
      </c>
      <c r="C6673" t="inlineStr">
        <is>
          <t>8cde1fd0-eca1-4510-86ab-3c743b65fdfc</t>
        </is>
      </c>
      <c r="D6673" t="n">
        <v>55.79882</v>
      </c>
      <c r="E6673" t="n">
        <v>37.64453</v>
      </c>
      <c r="F6673" t="inlineStr"/>
      <c r="G6673" t="inlineStr"/>
      <c r="H6673" t="inlineStr"/>
    </row>
    <row r="6674">
      <c r="A6674" t="inlineStr">
        <is>
          <t>32e0b12e-4f2b-4a07-914a-7ef83d20c9ae.jpg</t>
        </is>
      </c>
      <c r="B6674">
        <f>HYPERLINK("Объекты недвижимости, не соответствующие градостроительным нормам_00-022_Август/32e0b12e-4f2b-4a07-914a-7ef83d20c9ae.jpg","open")</f>
        <v/>
      </c>
      <c r="C6674" t="inlineStr">
        <is>
          <t>8cde1fd0-eca1-4510-86ab-3c743b65fdfc</t>
        </is>
      </c>
      <c r="D6674" t="n">
        <v>55.79866</v>
      </c>
      <c r="E6674" t="n">
        <v>37.64462</v>
      </c>
      <c r="F6674" t="inlineStr"/>
      <c r="G6674" t="inlineStr"/>
      <c r="H6674" t="inlineStr"/>
    </row>
    <row r="6675">
      <c r="A6675" t="inlineStr">
        <is>
          <t>0b83e9f9-da91-4e7a-9dd3-98b1db903fb7.jpg</t>
        </is>
      </c>
      <c r="B6675">
        <f>HYPERLINK("Объекты недвижимости, не соответствующие градостроительным нормам_00-022_Август/0b83e9f9-da91-4e7a-9dd3-98b1db903fb7.jpg","open")</f>
        <v/>
      </c>
      <c r="C6675" t="inlineStr">
        <is>
          <t>fce890a6-27da-4062-a046-08262a160ee6</t>
        </is>
      </c>
      <c r="D6675" t="n">
        <v>55.96638</v>
      </c>
      <c r="E6675" t="n">
        <v>37.40509</v>
      </c>
      <c r="F6675" t="inlineStr"/>
      <c r="G6675" t="inlineStr"/>
      <c r="H6675" t="inlineStr"/>
    </row>
    <row r="6676">
      <c r="A6676" t="inlineStr">
        <is>
          <t>6663bff3-6396-44f7-b406-4c11b9262f0d.jpg</t>
        </is>
      </c>
      <c r="B6676">
        <f>HYPERLINK("Объекты недвижимости, не соответствующие градостроительным нормам_00-022_Август/6663bff3-6396-44f7-b406-4c11b9262f0d.jpg","open")</f>
        <v/>
      </c>
      <c r="C6676" t="inlineStr">
        <is>
          <t>ffd931da-542f-43e9-979f-5552b17fe3dc</t>
        </is>
      </c>
      <c r="D6676" t="n">
        <v>55.7481</v>
      </c>
      <c r="E6676" t="n">
        <v>37.78299</v>
      </c>
      <c r="F6676" t="inlineStr"/>
      <c r="G6676" t="inlineStr"/>
      <c r="H6676" t="inlineStr"/>
    </row>
    <row r="6677">
      <c r="A6677" t="inlineStr">
        <is>
          <t>b726aa65-fe74-444c-ba35-7d2f628333c2.jpg</t>
        </is>
      </c>
      <c r="B6677">
        <f>HYPERLINK("Объекты недвижимости, не соответствующие градостроительным нормам_00-022_Август/b726aa65-fe74-444c-ba35-7d2f628333c2.jpg","open")</f>
        <v/>
      </c>
      <c r="C6677" t="inlineStr">
        <is>
          <t>f60286ac-55e7-4099-85bd-cc599a7a0c65</t>
        </is>
      </c>
      <c r="D6677" t="n">
        <v>55.7481</v>
      </c>
      <c r="E6677" t="n">
        <v>37.78299</v>
      </c>
      <c r="F6677" t="inlineStr"/>
      <c r="G6677" t="inlineStr"/>
      <c r="H6677" t="inlineStr"/>
    </row>
    <row r="6678">
      <c r="A6678" t="inlineStr">
        <is>
          <t>726026a3-d5be-45b7-952f-3f8d3769a8e9.jpg</t>
        </is>
      </c>
      <c r="B6678">
        <f>HYPERLINK("Объекты недвижимости, не соответствующие градостроительным нормам_00-022_Август/726026a3-d5be-45b7-952f-3f8d3769a8e9.jpg","open")</f>
        <v/>
      </c>
      <c r="C6678" t="inlineStr">
        <is>
          <t>ffd931da-542f-43e9-979f-5552b17fe3dc</t>
        </is>
      </c>
      <c r="D6678" t="n">
        <v>55.74784</v>
      </c>
      <c r="E6678" t="n">
        <v>37.7831</v>
      </c>
      <c r="F6678" t="inlineStr"/>
      <c r="G6678" t="inlineStr"/>
      <c r="H6678" t="inlineStr"/>
    </row>
    <row r="6679">
      <c r="A6679" t="inlineStr">
        <is>
          <t>547dc11b-028b-4b3b-a624-d0ee81caa70e.jpg</t>
        </is>
      </c>
      <c r="B6679">
        <f>HYPERLINK("Объекты недвижимости, не соответствующие градостроительным нормам_00-022_Август/547dc11b-028b-4b3b-a624-d0ee81caa70e.jpg","open")</f>
        <v/>
      </c>
      <c r="C6679" t="inlineStr">
        <is>
          <t>8cde1fd0-eca1-4510-86ab-3c743b65fdfc</t>
        </is>
      </c>
      <c r="D6679" t="n">
        <v>55.79934</v>
      </c>
      <c r="E6679" t="n">
        <v>37.63752</v>
      </c>
      <c r="F6679" t="inlineStr"/>
      <c r="G6679" t="inlineStr"/>
      <c r="H6679" t="inlineStr"/>
    </row>
    <row r="6680">
      <c r="A6680" t="inlineStr">
        <is>
          <t>3bf67a8e-2f1c-4380-94ad-d4b656b139df.jpg</t>
        </is>
      </c>
      <c r="B6680">
        <f>HYPERLINK("Объекты недвижимости, не соответствующие градостроительным нормам_00-022_Август/3bf67a8e-2f1c-4380-94ad-d4b656b139df.jpg","open")</f>
        <v/>
      </c>
      <c r="C6680" t="inlineStr">
        <is>
          <t>a1a9db89-3f74-42ef-8fad-ad69705102cd</t>
        </is>
      </c>
      <c r="D6680" t="n">
        <v>55.73232</v>
      </c>
      <c r="E6680" t="n">
        <v>37.67157</v>
      </c>
      <c r="F6680" t="inlineStr"/>
      <c r="G6680" t="inlineStr"/>
      <c r="H6680" t="inlineStr"/>
    </row>
    <row r="6681">
      <c r="A6681" t="inlineStr">
        <is>
          <t>62d39f20-2d14-4a34-9d87-9b7f77655d85.jpg</t>
        </is>
      </c>
      <c r="B6681">
        <f>HYPERLINK("Объекты недвижимости, не соответствующие градостроительным нормам_00-022_Август/62d39f20-2d14-4a34-9d87-9b7f77655d85.jpg","open")</f>
        <v/>
      </c>
      <c r="C6681" t="inlineStr">
        <is>
          <t>cbf95b01-f708-45a3-9ec0-3603469b538e</t>
        </is>
      </c>
      <c r="D6681" t="n">
        <v>55.73415</v>
      </c>
      <c r="E6681" t="n">
        <v>37.6698</v>
      </c>
      <c r="F6681" t="inlineStr"/>
      <c r="G6681" t="inlineStr"/>
      <c r="H6681" t="inlineStr"/>
    </row>
    <row r="6682">
      <c r="A6682" t="inlineStr">
        <is>
          <t>dde9b527-79a4-4ac6-b072-a2a4fd10e5f3.jpg</t>
        </is>
      </c>
      <c r="B6682">
        <f>HYPERLINK("Объекты недвижимости, не соответствующие градостроительным нормам_00-022_Август/dde9b527-79a4-4ac6-b072-a2a4fd10e5f3.jpg","open")</f>
        <v/>
      </c>
      <c r="C6682" t="inlineStr">
        <is>
          <t>cbf95b01-f708-45a3-9ec0-3603469b538e</t>
        </is>
      </c>
      <c r="D6682" t="n">
        <v>55.73436</v>
      </c>
      <c r="E6682" t="n">
        <v>37.66995</v>
      </c>
      <c r="F6682" t="inlineStr"/>
      <c r="G6682" t="inlineStr"/>
      <c r="H6682" t="inlineStr"/>
    </row>
    <row r="6683">
      <c r="A6683" t="inlineStr">
        <is>
          <t>3fa1cf09-9e1e-4f2c-b933-683c06d4d999.jpg</t>
        </is>
      </c>
      <c r="B6683">
        <f>HYPERLINK("Объекты недвижимости, не соответствующие градостроительным нормам_00-022_Август/3fa1cf09-9e1e-4f2c-b933-683c06d4d999.jpg","open")</f>
        <v/>
      </c>
      <c r="C6683" t="inlineStr">
        <is>
          <t>a1a9db89-3f74-42ef-8fad-ad69705102cd</t>
        </is>
      </c>
      <c r="D6683" t="n">
        <v>55.73443</v>
      </c>
      <c r="E6683" t="n">
        <v>37.67008</v>
      </c>
      <c r="F6683" t="inlineStr"/>
      <c r="G6683" t="inlineStr"/>
      <c r="H6683" t="inlineStr"/>
    </row>
    <row r="6684">
      <c r="A6684" t="inlineStr">
        <is>
          <t>c548eea4-f89c-4760-b8ae-ba1e3783ab13.jpg</t>
        </is>
      </c>
      <c r="B6684">
        <f>HYPERLINK("Объекты недвижимости, не соответствующие градостроительным нормам_00-022_Август/c548eea4-f89c-4760-b8ae-ba1e3783ab13.jpg","open")</f>
        <v/>
      </c>
      <c r="C6684" t="inlineStr">
        <is>
          <t>a1a9db89-3f74-42ef-8fad-ad69705102cd</t>
        </is>
      </c>
      <c r="D6684" t="n">
        <v>55.7346</v>
      </c>
      <c r="E6684" t="n">
        <v>37.67002</v>
      </c>
      <c r="F6684" t="inlineStr"/>
      <c r="G6684" t="inlineStr"/>
      <c r="H6684" t="inlineStr"/>
    </row>
    <row r="6685">
      <c r="A6685" t="inlineStr">
        <is>
          <t>99d6806a-4ceb-4a40-ae11-010b33dbedc4.jpg</t>
        </is>
      </c>
      <c r="B6685">
        <f>HYPERLINK("Объекты недвижимости, не соответствующие градостроительным нормам_00-022_Август/99d6806a-4ceb-4a40-ae11-010b33dbedc4.jpg","open")</f>
        <v/>
      </c>
      <c r="C6685" t="inlineStr">
        <is>
          <t>a1a9db89-3f74-42ef-8fad-ad69705102cd</t>
        </is>
      </c>
      <c r="D6685" t="n">
        <v>55.7346</v>
      </c>
      <c r="E6685" t="n">
        <v>37.67</v>
      </c>
      <c r="F6685" t="inlineStr"/>
      <c r="G6685" t="inlineStr"/>
      <c r="H6685" t="inlineStr"/>
    </row>
    <row r="6686">
      <c r="A6686" t="inlineStr">
        <is>
          <t>6e32a518-5011-4759-9f77-1b6f1dadd061.jpg</t>
        </is>
      </c>
      <c r="B6686">
        <f>HYPERLINK("Объекты недвижимости, не соответствующие градостроительным нормам_00-022_Август/6e32a518-5011-4759-9f77-1b6f1dadd061.jpg","open")</f>
        <v/>
      </c>
      <c r="C6686" t="inlineStr">
        <is>
          <t>cbf95b01-f708-45a3-9ec0-3603469b538e</t>
        </is>
      </c>
      <c r="D6686" t="n">
        <v>55.7346</v>
      </c>
      <c r="E6686" t="n">
        <v>37.66999</v>
      </c>
      <c r="F6686" t="inlineStr"/>
      <c r="G6686" t="inlineStr"/>
      <c r="H6686" t="inlineStr"/>
    </row>
    <row r="6687">
      <c r="A6687" t="inlineStr">
        <is>
          <t>713af8de-2e81-4146-acea-9c014ec14f13.jpg</t>
        </is>
      </c>
      <c r="B6687">
        <f>HYPERLINK("Объекты недвижимости, не соответствующие градостроительным нормам_00-022_Август/713af8de-2e81-4146-acea-9c014ec14f13.jpg","open")</f>
        <v/>
      </c>
      <c r="C6687" t="inlineStr">
        <is>
          <t>a1a9db89-3f74-42ef-8fad-ad69705102cd</t>
        </is>
      </c>
      <c r="D6687" t="n">
        <v>55.7346</v>
      </c>
      <c r="E6687" t="n">
        <v>37.66999</v>
      </c>
      <c r="F6687" t="inlineStr"/>
      <c r="G6687" t="inlineStr"/>
      <c r="H6687" t="inlineStr"/>
    </row>
    <row r="6688">
      <c r="A6688" t="inlineStr">
        <is>
          <t>08bac41c-b61b-484a-b5ef-2229244baf91.jpg</t>
        </is>
      </c>
      <c r="B6688">
        <f>HYPERLINK("Объекты недвижимости, не соответствующие градостроительным нормам_00-022_Август/08bac41c-b61b-484a-b5ef-2229244baf91.jpg","open")</f>
        <v/>
      </c>
      <c r="C6688" t="inlineStr">
        <is>
          <t>cbf95b01-f708-45a3-9ec0-3603469b538e</t>
        </is>
      </c>
      <c r="D6688" t="n">
        <v>55.7346</v>
      </c>
      <c r="E6688" t="n">
        <v>37.67001</v>
      </c>
      <c r="F6688" t="inlineStr"/>
      <c r="G6688" t="inlineStr"/>
      <c r="H6688" t="inlineStr"/>
    </row>
    <row r="6689">
      <c r="A6689" t="inlineStr">
        <is>
          <t>06139b02-f112-42bf-9a09-4072c5aeb2ce.jpg</t>
        </is>
      </c>
      <c r="B6689">
        <f>HYPERLINK("Объекты недвижимости, не соответствующие градостроительным нормам_00-022_Август/06139b02-f112-42bf-9a09-4072c5aeb2ce.jpg","open")</f>
        <v/>
      </c>
      <c r="C6689" t="inlineStr">
        <is>
          <t>8cde1fd0-eca1-4510-86ab-3c743b65fdfc</t>
        </is>
      </c>
      <c r="D6689" t="n">
        <v>55.80455</v>
      </c>
      <c r="E6689" t="n">
        <v>37.63994</v>
      </c>
      <c r="F6689" t="inlineStr"/>
      <c r="G6689" t="inlineStr"/>
      <c r="H6689" t="inlineStr"/>
    </row>
    <row r="6690">
      <c r="A6690" t="inlineStr">
        <is>
          <t>8608c4f8-389a-4a4b-b188-37a172305dfd.jpg</t>
        </is>
      </c>
      <c r="B6690">
        <f>HYPERLINK("Объекты недвижимости, не соответствующие градостроительным нормам_00-022_Август/8608c4f8-389a-4a4b-b188-37a172305dfd.jpg","open")</f>
        <v/>
      </c>
      <c r="C6690" t="inlineStr">
        <is>
          <t>50e4626c-a80e-42ab-b999-b5092c2c063f</t>
        </is>
      </c>
      <c r="D6690" t="n">
        <v>55.72948</v>
      </c>
      <c r="E6690" t="n">
        <v>37.6759</v>
      </c>
      <c r="F6690" t="inlineStr"/>
      <c r="G6690" t="inlineStr"/>
      <c r="H6690" t="inlineStr"/>
    </row>
    <row r="6691">
      <c r="A6691" t="inlineStr">
        <is>
          <t>e306de01-f355-494b-a0d0-de81fa28ce23.jpg</t>
        </is>
      </c>
      <c r="B6691">
        <f>HYPERLINK("Объекты недвижимости, не соответствующие градостроительным нормам_00-022_Август/e306de01-f355-494b-a0d0-de81fa28ce23.jpg","open")</f>
        <v/>
      </c>
      <c r="C6691" t="inlineStr">
        <is>
          <t>50e4626c-a80e-42ab-b999-b5092c2c063f</t>
        </is>
      </c>
      <c r="D6691" t="n">
        <v>55.72948</v>
      </c>
      <c r="E6691" t="n">
        <v>37.6759</v>
      </c>
      <c r="F6691" t="inlineStr"/>
      <c r="G6691" t="inlineStr"/>
      <c r="H6691" t="inlineStr"/>
    </row>
    <row r="6692">
      <c r="A6692" t="inlineStr">
        <is>
          <t>471a488b-e1b1-4416-b446-d866fde81e84.jpg</t>
        </is>
      </c>
      <c r="B6692">
        <f>HYPERLINK("Объекты недвижимости, не соответствующие градостроительным нормам_00-022_Август/471a488b-e1b1-4416-b446-d866fde81e84.jpg","open")</f>
        <v/>
      </c>
      <c r="C6692" t="inlineStr">
        <is>
          <t>a1a9db89-3f74-42ef-8fad-ad69705102cd</t>
        </is>
      </c>
      <c r="D6692" t="n">
        <v>55.74588</v>
      </c>
      <c r="E6692" t="n">
        <v>37.6697</v>
      </c>
      <c r="F6692" t="inlineStr"/>
      <c r="G6692" t="inlineStr"/>
      <c r="H6692" t="inlineStr"/>
    </row>
    <row r="6693">
      <c r="A6693" t="inlineStr">
        <is>
          <t>cd4a1771-9529-48b6-9ddf-ced695f33a86.jpg</t>
        </is>
      </c>
      <c r="B6693">
        <f>HYPERLINK("Объекты недвижимости, не соответствующие градостроительным нормам_00-022_Август/cd4a1771-9529-48b6-9ddf-ced695f33a86.jpg","open")</f>
        <v/>
      </c>
      <c r="C6693" t="inlineStr">
        <is>
          <t>cbf95b01-f708-45a3-9ec0-3603469b538e</t>
        </is>
      </c>
      <c r="D6693" t="n">
        <v>55.74588</v>
      </c>
      <c r="E6693" t="n">
        <v>37.6697</v>
      </c>
      <c r="F6693" t="inlineStr"/>
      <c r="G6693" t="inlineStr"/>
      <c r="H6693" t="inlineStr"/>
    </row>
    <row r="6694">
      <c r="A6694" t="inlineStr">
        <is>
          <t>c6701e35-9372-44dc-9bfe-1e903ea0f4a1.jpg</t>
        </is>
      </c>
      <c r="B6694">
        <f>HYPERLINK("Объекты недвижимости, не соответствующие градостроительным нормам_00-022_Август/c6701e35-9372-44dc-9bfe-1e903ea0f4a1.jpg","open")</f>
        <v/>
      </c>
      <c r="C6694" t="inlineStr">
        <is>
          <t>8cde1fd0-eca1-4510-86ab-3c743b65fdfc</t>
        </is>
      </c>
      <c r="D6694" t="n">
        <v>55.80249</v>
      </c>
      <c r="E6694" t="n">
        <v>37.63845</v>
      </c>
      <c r="F6694" t="inlineStr"/>
      <c r="G6694" t="inlineStr"/>
      <c r="H6694" t="inlineStr"/>
    </row>
    <row r="6695">
      <c r="A6695" t="inlineStr">
        <is>
          <t>1d388724-d8ce-4ee3-9057-dc3187b130d2.jpg</t>
        </is>
      </c>
      <c r="B6695">
        <f>HYPERLINK("Объекты недвижимости, не соответствующие градостроительным нормам_00-022_Август/1d388724-d8ce-4ee3-9057-dc3187b130d2.jpg","open")</f>
        <v/>
      </c>
      <c r="C6695" t="inlineStr">
        <is>
          <t>8cde1fd0-eca1-4510-86ab-3c743b65fdfc</t>
        </is>
      </c>
      <c r="D6695" t="n">
        <v>55.80246</v>
      </c>
      <c r="E6695" t="n">
        <v>37.63849</v>
      </c>
      <c r="F6695" t="inlineStr"/>
      <c r="G6695" t="inlineStr"/>
      <c r="H6695" t="inlineStr"/>
    </row>
    <row r="6696">
      <c r="A6696" t="inlineStr">
        <is>
          <t>bdf8b065-82d0-445b-b1ff-96b84309f24d.jpg</t>
        </is>
      </c>
      <c r="B6696">
        <f>HYPERLINK("Объекты недвижимости, не соответствующие градостроительным нормам_00-022_Август/bdf8b065-82d0-445b-b1ff-96b84309f24d.jpg","open")</f>
        <v/>
      </c>
      <c r="C6696" t="inlineStr">
        <is>
          <t>1c951e11-4940-43c6-a447-394097e5609a</t>
        </is>
      </c>
      <c r="D6696" t="n">
        <v>55.80246</v>
      </c>
      <c r="E6696" t="n">
        <v>37.63849</v>
      </c>
      <c r="F6696" t="inlineStr"/>
      <c r="G6696" t="inlineStr"/>
      <c r="H6696" t="inlineStr"/>
    </row>
    <row r="6697">
      <c r="A6697" t="inlineStr">
        <is>
          <t>8b8f9199-fdf1-4dcb-82a8-eb07fcd14285.jpg</t>
        </is>
      </c>
      <c r="B6697">
        <f>HYPERLINK("Объекты недвижимости, не соответствующие градостроительным нормам_00-022_Август/8b8f9199-fdf1-4dcb-82a8-eb07fcd14285.jpg","open")</f>
        <v/>
      </c>
      <c r="C6697" t="inlineStr">
        <is>
          <t>8cde1fd0-eca1-4510-86ab-3c743b65fdfc</t>
        </is>
      </c>
      <c r="D6697" t="n">
        <v>55.80237</v>
      </c>
      <c r="E6697" t="n">
        <v>37.63849</v>
      </c>
      <c r="F6697" t="inlineStr"/>
      <c r="G6697" t="inlineStr"/>
      <c r="H6697" t="inlineStr"/>
    </row>
    <row r="6698">
      <c r="A6698" t="inlineStr">
        <is>
          <t>a5df8e72-ad74-4dbb-9249-3972575d90d4.jpg</t>
        </is>
      </c>
      <c r="B6698">
        <f>HYPERLINK("Объекты недвижимости, не соответствующие градостроительным нормам_00-022_Август/a5df8e72-ad74-4dbb-9249-3972575d90d4.jpg","open")</f>
        <v/>
      </c>
      <c r="C6698" t="inlineStr">
        <is>
          <t>750bf7e4-0f0f-4f1a-96af-607dc8c1f1c9</t>
        </is>
      </c>
      <c r="D6698" t="n">
        <v>55.79371</v>
      </c>
      <c r="E6698" t="n">
        <v>37.80562</v>
      </c>
      <c r="F6698" t="inlineStr"/>
      <c r="G6698" t="inlineStr"/>
      <c r="H6698" t="inlineStr"/>
    </row>
    <row r="6699">
      <c r="A6699" t="inlineStr">
        <is>
          <t>703aa6d6-87f7-45e7-b240-5e6a7dd14f1f.jpg</t>
        </is>
      </c>
      <c r="B6699">
        <f>HYPERLINK("Объекты недвижимости, не соответствующие градостроительным нормам_00-022_Август/703aa6d6-87f7-45e7-b240-5e6a7dd14f1f.jpg","open")</f>
        <v/>
      </c>
      <c r="C6699" t="inlineStr">
        <is>
          <t>cbf95b01-f708-45a3-9ec0-3603469b538e</t>
        </is>
      </c>
      <c r="D6699" t="n">
        <v>55.73789</v>
      </c>
      <c r="E6699" t="n">
        <v>37.67253</v>
      </c>
      <c r="F6699" t="inlineStr"/>
      <c r="G6699" t="inlineStr"/>
      <c r="H6699" t="inlineStr"/>
    </row>
    <row r="6700">
      <c r="A6700" t="inlineStr">
        <is>
          <t>243d398c-ce2c-42f9-aba1-74af2183a052.jpg</t>
        </is>
      </c>
      <c r="B6700">
        <f>HYPERLINK("Объекты недвижимости, не соответствующие градостроительным нормам_00-022_Август/243d398c-ce2c-42f9-aba1-74af2183a052.jpg","open")</f>
        <v/>
      </c>
      <c r="C6700" t="inlineStr">
        <is>
          <t>8cde1fd0-eca1-4510-86ab-3c743b65fdfc</t>
        </is>
      </c>
      <c r="D6700" t="n">
        <v>55.8022</v>
      </c>
      <c r="E6700" t="n">
        <v>37.63843</v>
      </c>
      <c r="F6700" t="inlineStr"/>
      <c r="G6700" t="inlineStr"/>
      <c r="H6700" t="inlineStr"/>
    </row>
    <row r="6701">
      <c r="A6701" t="inlineStr">
        <is>
          <t>d47fc561-17ea-479f-ad7a-e60019a0ed11.jpg</t>
        </is>
      </c>
      <c r="B6701">
        <f>HYPERLINK("Объекты недвижимости, не соответствующие градостроительным нормам_00-022_Август/d47fc561-17ea-479f-ad7a-e60019a0ed11.jpg","open")</f>
        <v/>
      </c>
      <c r="C6701" t="inlineStr">
        <is>
          <t>a1a9db89-3f74-42ef-8fad-ad69705102cd</t>
        </is>
      </c>
      <c r="D6701" t="n">
        <v>55.7382</v>
      </c>
      <c r="E6701" t="n">
        <v>37.67275</v>
      </c>
      <c r="F6701" t="inlineStr"/>
      <c r="G6701" t="inlineStr"/>
      <c r="H6701" t="inlineStr"/>
    </row>
    <row r="6702">
      <c r="A6702" t="inlineStr">
        <is>
          <t>7cfeda88-6a8e-4fb5-8bf8-912f9901644d.jpg</t>
        </is>
      </c>
      <c r="B6702">
        <f>HYPERLINK("Объекты недвижимости, не соответствующие градостроительным нормам_00-022_Август/7cfeda88-6a8e-4fb5-8bf8-912f9901644d.jpg","open")</f>
        <v/>
      </c>
      <c r="C6702" t="inlineStr">
        <is>
          <t>cbf95b01-f708-45a3-9ec0-3603469b538e</t>
        </is>
      </c>
      <c r="D6702" t="n">
        <v>55.7385</v>
      </c>
      <c r="E6702" t="n">
        <v>37.67347</v>
      </c>
      <c r="F6702" t="inlineStr"/>
      <c r="G6702" t="inlineStr"/>
      <c r="H6702" t="inlineStr"/>
    </row>
    <row r="6703">
      <c r="A6703" t="inlineStr">
        <is>
          <t>fa6a5327-706d-4c63-9061-48172ff38e2b.jpg</t>
        </is>
      </c>
      <c r="B6703">
        <f>HYPERLINK("Объекты недвижимости, не соответствующие градостроительным нормам_00-022_Август/fa6a5327-706d-4c63-9061-48172ff38e2b.jpg","open")</f>
        <v/>
      </c>
      <c r="C6703" t="inlineStr">
        <is>
          <t>cbf95b01-f708-45a3-9ec0-3603469b538e</t>
        </is>
      </c>
      <c r="D6703" t="n">
        <v>55.73743</v>
      </c>
      <c r="E6703" t="n">
        <v>37.67559</v>
      </c>
      <c r="F6703" t="inlineStr"/>
      <c r="G6703" t="inlineStr"/>
      <c r="H6703" t="inlineStr"/>
    </row>
    <row r="6704">
      <c r="A6704" t="inlineStr">
        <is>
          <t>bc688ffa-860c-486d-b3a2-97a70b9c4bbf.jpg</t>
        </is>
      </c>
      <c r="B6704">
        <f>HYPERLINK("Объекты недвижимости, не соответствующие градостроительным нормам_00-022_Август/bc688ffa-860c-486d-b3a2-97a70b9c4bbf.jpg","open")</f>
        <v/>
      </c>
      <c r="C6704" t="inlineStr">
        <is>
          <t>57aae8a4-582b-4309-8045-c8127a9f86ae</t>
        </is>
      </c>
      <c r="D6704" t="n">
        <v>55.8172</v>
      </c>
      <c r="E6704" t="n">
        <v>37.82322</v>
      </c>
      <c r="F6704" t="inlineStr"/>
      <c r="G6704" t="inlineStr"/>
      <c r="H6704" t="inlineStr"/>
    </row>
    <row r="6705">
      <c r="A6705" t="inlineStr">
        <is>
          <t>40593b36-5b9d-46fb-abde-5dac66a6cd26.jpg</t>
        </is>
      </c>
      <c r="B6705">
        <f>HYPERLINK("Объекты недвижимости, не соответствующие градостроительным нормам_00-022_Август/40593b36-5b9d-46fb-abde-5dac66a6cd26.jpg","open")</f>
        <v/>
      </c>
      <c r="C6705" t="inlineStr">
        <is>
          <t>ffd931da-542f-43e9-979f-5552b17fe3dc</t>
        </is>
      </c>
      <c r="D6705" t="n">
        <v>55.75074</v>
      </c>
      <c r="E6705" t="n">
        <v>37.77696</v>
      </c>
      <c r="F6705" t="inlineStr"/>
      <c r="G6705" t="inlineStr"/>
      <c r="H6705" t="inlineStr"/>
    </row>
    <row r="6706">
      <c r="A6706" t="inlineStr">
        <is>
          <t>deb97d5c-e435-4773-8eec-3e4156a1c3e4.jpg</t>
        </is>
      </c>
      <c r="B6706">
        <f>HYPERLINK("Объекты недвижимости, не соответствующие градостроительным нормам_00-022_Август/deb97d5c-e435-4773-8eec-3e4156a1c3e4.jpg","open")</f>
        <v/>
      </c>
      <c r="C6706" t="inlineStr">
        <is>
          <t>cbf95b01-f708-45a3-9ec0-3603469b538e</t>
        </is>
      </c>
      <c r="D6706" t="n">
        <v>55.73588</v>
      </c>
      <c r="E6706" t="n">
        <v>37.66523</v>
      </c>
      <c r="F6706" t="inlineStr"/>
      <c r="G6706" t="inlineStr"/>
      <c r="H6706" t="inlineStr"/>
    </row>
    <row r="6707">
      <c r="A6707" t="inlineStr">
        <is>
          <t>abc7bcbb-9566-49bd-bab0-78ac19138147.jpg</t>
        </is>
      </c>
      <c r="B6707">
        <f>HYPERLINK("Объекты недвижимости, не соответствующие градостроительным нормам_00-022_Август/abc7bcbb-9566-49bd-bab0-78ac19138147.jpg","open")</f>
        <v/>
      </c>
      <c r="C6707" t="inlineStr">
        <is>
          <t>8cde1fd0-eca1-4510-86ab-3c743b65fdfc</t>
        </is>
      </c>
      <c r="D6707" t="n">
        <v>55.80993</v>
      </c>
      <c r="E6707" t="n">
        <v>37.64177</v>
      </c>
      <c r="F6707" t="inlineStr"/>
      <c r="G6707" t="inlineStr"/>
      <c r="H6707" t="inlineStr"/>
    </row>
    <row r="6708">
      <c r="A6708" t="inlineStr">
        <is>
          <t>38fd6858-2593-4357-a41a-8075653d4d99.jpg</t>
        </is>
      </c>
      <c r="B6708">
        <f>HYPERLINK("Объекты недвижимости, не соответствующие градостроительным нормам_00-022_Август/38fd6858-2593-4357-a41a-8075653d4d99.jpg","open")</f>
        <v/>
      </c>
      <c r="C6708" t="inlineStr">
        <is>
          <t>936502dd-24a4-4256-9fdf-0d8fb72af3ed</t>
        </is>
      </c>
      <c r="D6708" t="n">
        <v>55.67844</v>
      </c>
      <c r="E6708" t="n">
        <v>37.6781</v>
      </c>
      <c r="F6708" t="inlineStr"/>
      <c r="G6708" t="inlineStr"/>
      <c r="H6708" t="inlineStr"/>
    </row>
    <row r="6709">
      <c r="A6709" t="inlineStr">
        <is>
          <t>39b222b5-2db9-4498-9159-599f9a3efca3.jpg</t>
        </is>
      </c>
      <c r="B6709">
        <f>HYPERLINK("Объекты недвижимости, не соответствующие градостроительным нормам_00-022_Август/39b222b5-2db9-4498-9159-599f9a3efca3.jpg","open")</f>
        <v/>
      </c>
      <c r="C6709" t="inlineStr">
        <is>
          <t>cbf95b01-f708-45a3-9ec0-3603469b538e</t>
        </is>
      </c>
      <c r="D6709" t="n">
        <v>55.73588</v>
      </c>
      <c r="E6709" t="n">
        <v>37.66523</v>
      </c>
      <c r="F6709" t="inlineStr"/>
      <c r="G6709" t="inlineStr"/>
      <c r="H6709" t="inlineStr"/>
    </row>
    <row r="6710">
      <c r="A6710" t="inlineStr">
        <is>
          <t>4d2b01e9-501e-4170-a833-06a47dc433f4.jpg</t>
        </is>
      </c>
      <c r="B6710">
        <f>HYPERLINK("Объекты недвижимости, не соответствующие градостроительным нормам_00-022_Август/4d2b01e9-501e-4170-a833-06a47dc433f4.jpg","open")</f>
        <v/>
      </c>
      <c r="C6710" t="inlineStr">
        <is>
          <t>936502dd-24a4-4256-9fdf-0d8fb72af3ed</t>
        </is>
      </c>
      <c r="D6710" t="n">
        <v>55.68118</v>
      </c>
      <c r="E6710" t="n">
        <v>37.67576</v>
      </c>
      <c r="F6710" t="inlineStr"/>
      <c r="G6710" t="inlineStr"/>
      <c r="H6710" t="inlineStr"/>
    </row>
    <row r="6711">
      <c r="A6711" t="inlineStr">
        <is>
          <t>c6613b4e-42b8-44d1-8d40-4ea5b8e74552.jpg</t>
        </is>
      </c>
      <c r="B6711">
        <f>HYPERLINK("Объекты недвижимости, не соответствующие градостроительным нормам_00-022_Август/c6613b4e-42b8-44d1-8d40-4ea5b8e74552.jpg","open")</f>
        <v/>
      </c>
      <c r="C6711" t="inlineStr">
        <is>
          <t>685d9054-b74f-49ab-857b-109fd2cec80d</t>
        </is>
      </c>
      <c r="D6711" t="n">
        <v>55.54198</v>
      </c>
      <c r="E6711" t="n">
        <v>37.50719</v>
      </c>
      <c r="F6711" t="inlineStr"/>
      <c r="G6711" t="inlineStr"/>
      <c r="H6711" t="inlineStr"/>
    </row>
    <row r="6712">
      <c r="A6712" t="inlineStr">
        <is>
          <t>b364a289-f632-4483-bdd5-3d89f1652250.jpg</t>
        </is>
      </c>
      <c r="B6712">
        <f>HYPERLINK("Объекты недвижимости, не соответствующие градостроительным нормам_00-022_Август/b364a289-f632-4483-bdd5-3d89f1652250.jpg","open")</f>
        <v/>
      </c>
      <c r="C6712" t="inlineStr">
        <is>
          <t>1231bbc5-e64c-4dc7-9acc-77710f47607a</t>
        </is>
      </c>
      <c r="D6712" t="n">
        <v>55.54197</v>
      </c>
      <c r="E6712" t="n">
        <v>37.50719</v>
      </c>
      <c r="F6712" t="inlineStr"/>
      <c r="G6712" t="inlineStr"/>
      <c r="H6712" t="inlineStr"/>
    </row>
    <row r="6713">
      <c r="A6713" t="inlineStr">
        <is>
          <t>9b3e263b-eaaf-4e47-bdde-85733d3fb445.jpg</t>
        </is>
      </c>
      <c r="B6713">
        <f>HYPERLINK("Объекты недвижимости, не соответствующие градостроительным нормам_00-022_Август/9b3e263b-eaaf-4e47-bdde-85733d3fb445.jpg","open")</f>
        <v/>
      </c>
      <c r="C6713" t="inlineStr">
        <is>
          <t>ffd931da-542f-43e9-979f-5552b17fe3dc</t>
        </is>
      </c>
      <c r="D6713" t="n">
        <v>55.75101</v>
      </c>
      <c r="E6713" t="n">
        <v>37.77651</v>
      </c>
      <c r="F6713" t="inlineStr"/>
      <c r="G6713" t="inlineStr"/>
      <c r="H6713" t="inlineStr"/>
    </row>
    <row r="6714">
      <c r="A6714" t="inlineStr">
        <is>
          <t>9f526d23-301f-4190-a1cb-4e327d87dd31.jpg</t>
        </is>
      </c>
      <c r="B6714">
        <f>HYPERLINK("Объекты недвижимости, не соответствующие градостроительным нормам_00-022_Август/9f526d23-301f-4190-a1cb-4e327d87dd31.jpg","open")</f>
        <v/>
      </c>
      <c r="C6714" t="inlineStr">
        <is>
          <t>ad64e6b9-1ed5-44d7-a101-4945a1f9dec6</t>
        </is>
      </c>
      <c r="D6714" t="n">
        <v>55.66841</v>
      </c>
      <c r="E6714" t="n">
        <v>37.56719</v>
      </c>
      <c r="F6714" t="inlineStr"/>
      <c r="G6714" t="inlineStr"/>
      <c r="H6714" t="inlineStr"/>
    </row>
    <row r="6715">
      <c r="A6715" t="inlineStr">
        <is>
          <t>d096fd56-ecd1-4207-ae92-83f0d1cad27e.jpg</t>
        </is>
      </c>
      <c r="B6715">
        <f>HYPERLINK("Объекты недвижимости, не соответствующие градостроительным нормам_00-022_Август/d096fd56-ecd1-4207-ae92-83f0d1cad27e.jpg","open")</f>
        <v/>
      </c>
      <c r="C6715" t="inlineStr">
        <is>
          <t>55da50d9-6d31-4c29-a85b-6a228578c6de</t>
        </is>
      </c>
      <c r="D6715" t="n">
        <v>55.70747</v>
      </c>
      <c r="E6715" t="n">
        <v>37.65826</v>
      </c>
      <c r="F6715" t="inlineStr"/>
      <c r="G6715" t="inlineStr"/>
      <c r="H6715" t="inlineStr"/>
    </row>
    <row r="6716">
      <c r="A6716" t="inlineStr">
        <is>
          <t>68c588c7-d537-41d8-a2be-4f29ecb8bce1.jpg</t>
        </is>
      </c>
      <c r="B6716">
        <f>HYPERLINK("Объекты недвижимости, не соответствующие градостроительным нормам_00-022_Август/68c588c7-d537-41d8-a2be-4f29ecb8bce1.jpg","open")</f>
        <v/>
      </c>
      <c r="C6716" t="inlineStr">
        <is>
          <t>8b2675e2-7f40-47a9-a462-7c9feecd299c</t>
        </is>
      </c>
      <c r="D6716" t="n">
        <v>55.70747</v>
      </c>
      <c r="E6716" t="n">
        <v>37.65826</v>
      </c>
      <c r="F6716" t="inlineStr"/>
      <c r="G6716" t="inlineStr"/>
      <c r="H6716" t="inlineStr"/>
    </row>
    <row r="6717">
      <c r="A6717" t="inlineStr">
        <is>
          <t>d562dcc4-1e80-4df4-914f-2c8735b45dc6.jpg</t>
        </is>
      </c>
      <c r="B6717">
        <f>HYPERLINK("Объекты недвижимости, не соответствующие градостроительным нормам_00-022_Август/d562dcc4-1e80-4df4-914f-2c8735b45dc6.jpg","open")</f>
        <v/>
      </c>
      <c r="C6717" t="inlineStr">
        <is>
          <t>cbf95b01-f708-45a3-9ec0-3603469b538e</t>
        </is>
      </c>
      <c r="D6717" t="n">
        <v>55.73588</v>
      </c>
      <c r="E6717" t="n">
        <v>37.66523</v>
      </c>
      <c r="F6717" t="inlineStr"/>
      <c r="G6717" t="inlineStr"/>
      <c r="H6717" t="inlineStr"/>
    </row>
    <row r="6718">
      <c r="A6718" t="inlineStr">
        <is>
          <t>77bbc950-6363-4068-a830-e2fd5305d350.jpg</t>
        </is>
      </c>
      <c r="B6718">
        <f>HYPERLINK("Объекты недвижимости, не соответствующие градостроительным нормам_00-022_Август/77bbc950-6363-4068-a830-e2fd5305d350.jpg","open")</f>
        <v/>
      </c>
      <c r="C6718" t="inlineStr">
        <is>
          <t>8cde1fd0-eca1-4510-86ab-3c743b65fdfc</t>
        </is>
      </c>
      <c r="D6718" t="n">
        <v>55.81299</v>
      </c>
      <c r="E6718" t="n">
        <v>37.64994</v>
      </c>
      <c r="F6718" t="inlineStr"/>
      <c r="G6718" t="inlineStr"/>
      <c r="H6718" t="inlineStr"/>
    </row>
    <row r="6719">
      <c r="A6719" t="inlineStr">
        <is>
          <t>9371a8f2-dc65-4a61-95de-336539d0aa42.jpg</t>
        </is>
      </c>
      <c r="B6719">
        <f>HYPERLINK("Объекты недвижимости, не соответствующие градостроительным нормам_00-022_Август/9371a8f2-dc65-4a61-95de-336539d0aa42.jpg","open")</f>
        <v/>
      </c>
      <c r="C6719" t="inlineStr">
        <is>
          <t>1231bbc5-e64c-4dc7-9acc-77710f47607a</t>
        </is>
      </c>
      <c r="D6719" t="n">
        <v>55.54235</v>
      </c>
      <c r="E6719" t="n">
        <v>37.51019</v>
      </c>
      <c r="F6719" t="inlineStr"/>
      <c r="G6719" t="inlineStr"/>
      <c r="H6719" t="inlineStr"/>
    </row>
    <row r="6720">
      <c r="A6720" t="inlineStr">
        <is>
          <t>1d6444d7-80e7-4913-9fa1-5e161977aa5e.jpg</t>
        </is>
      </c>
      <c r="B6720">
        <f>HYPERLINK("Объекты недвижимости, не соответствующие градостроительным нормам_00-022_Август/1d6444d7-80e7-4913-9fa1-5e161977aa5e.jpg","open")</f>
        <v/>
      </c>
      <c r="C6720" t="inlineStr">
        <is>
          <t>685d9054-b74f-49ab-857b-109fd2cec80d</t>
        </is>
      </c>
      <c r="D6720" t="n">
        <v>55.54236</v>
      </c>
      <c r="E6720" t="n">
        <v>37.5102</v>
      </c>
      <c r="F6720" t="inlineStr"/>
      <c r="G6720" t="inlineStr"/>
      <c r="H6720" t="inlineStr"/>
    </row>
    <row r="6721">
      <c r="A6721" t="inlineStr">
        <is>
          <t>75354e62-8097-47c4-aa91-86235a86de07.jpg</t>
        </is>
      </c>
      <c r="B6721">
        <f>HYPERLINK("Объекты недвижимости, не соответствующие градостроительным нормам_00-022_Август/75354e62-8097-47c4-aa91-86235a86de07.jpg","open")</f>
        <v/>
      </c>
      <c r="C6721" t="inlineStr">
        <is>
          <t>cbf95b01-f708-45a3-9ec0-3603469b538e</t>
        </is>
      </c>
      <c r="D6721" t="n">
        <v>55.73588</v>
      </c>
      <c r="E6721" t="n">
        <v>37.66523</v>
      </c>
      <c r="F6721" t="inlineStr"/>
      <c r="G6721" t="inlineStr"/>
      <c r="H6721" t="inlineStr"/>
    </row>
    <row r="6722">
      <c r="A6722" t="inlineStr">
        <is>
          <t>dca39425-5d01-4a48-9eb5-3fb06aadce2b.jpg</t>
        </is>
      </c>
      <c r="B6722">
        <f>HYPERLINK("Объекты недвижимости, не соответствующие градостроительным нормам_00-022_Август/dca39425-5d01-4a48-9eb5-3fb06aadce2b.jpg","open")</f>
        <v/>
      </c>
      <c r="C6722" t="inlineStr">
        <is>
          <t>12e795ad-2aa7-49de-b2da-2c6aa35a4559</t>
        </is>
      </c>
      <c r="D6722" t="n">
        <v>55.66841</v>
      </c>
      <c r="E6722" t="n">
        <v>37.56719</v>
      </c>
      <c r="F6722" t="inlineStr"/>
      <c r="G6722" t="inlineStr"/>
      <c r="H6722" t="inlineStr"/>
    </row>
    <row r="6723">
      <c r="A6723" t="inlineStr">
        <is>
          <t>dc50f6b7-cfed-426e-906a-a3e034fafc95.jpg</t>
        </is>
      </c>
      <c r="B6723">
        <f>HYPERLINK("Объекты недвижимости, не соответствующие градостроительным нормам_00-022_Август/dc50f6b7-cfed-426e-906a-a3e034fafc95.jpg","open")</f>
        <v/>
      </c>
      <c r="C6723" t="inlineStr">
        <is>
          <t>cbf95b01-f708-45a3-9ec0-3603469b538e</t>
        </is>
      </c>
      <c r="D6723" t="n">
        <v>55.73588</v>
      </c>
      <c r="E6723" t="n">
        <v>37.66523</v>
      </c>
      <c r="F6723" t="inlineStr"/>
      <c r="G6723" t="inlineStr"/>
      <c r="H6723" t="inlineStr"/>
    </row>
    <row r="6724">
      <c r="A6724" t="inlineStr">
        <is>
          <t>532dd9d7-dd63-4e21-b1cc-fea6ecffae7c.jpg</t>
        </is>
      </c>
      <c r="B6724">
        <f>HYPERLINK("Объекты недвижимости, не соответствующие градостроительным нормам_00-022_Август/532dd9d7-dd63-4e21-b1cc-fea6ecffae7c.jpg","open")</f>
        <v/>
      </c>
      <c r="C6724" t="inlineStr">
        <is>
          <t>a1a9db89-3f74-42ef-8fad-ad69705102cd</t>
        </is>
      </c>
      <c r="D6724" t="n">
        <v>55.73588</v>
      </c>
      <c r="E6724" t="n">
        <v>37.66523</v>
      </c>
      <c r="F6724" t="inlineStr"/>
      <c r="G6724" t="inlineStr"/>
      <c r="H6724" t="inlineStr"/>
    </row>
    <row r="6725">
      <c r="A6725" t="inlineStr">
        <is>
          <t>42906efe-3ff5-45ea-a7db-9a2b48361ce1.jpg</t>
        </is>
      </c>
      <c r="B6725">
        <f>HYPERLINK("Объекты недвижимости, не соответствующие градостроительным нормам_00-022_Август/42906efe-3ff5-45ea-a7db-9a2b48361ce1.jpg","open")</f>
        <v/>
      </c>
      <c r="C6725" t="inlineStr">
        <is>
          <t>31a713a9-b910-424b-b847-e0eaa2f70c70</t>
        </is>
      </c>
      <c r="D6725" t="n">
        <v>55.80296</v>
      </c>
      <c r="E6725" t="n">
        <v>37.7849</v>
      </c>
      <c r="F6725" t="inlineStr"/>
      <c r="G6725" t="inlineStr"/>
      <c r="H6725" t="inlineStr"/>
    </row>
    <row r="6726">
      <c r="A6726" t="inlineStr">
        <is>
          <t>96c11826-6b78-45b5-82e4-5924f29396c6.jpg</t>
        </is>
      </c>
      <c r="B6726">
        <f>HYPERLINK("Объекты недвижимости, не соответствующие градостроительным нормам_00-022_Август/96c11826-6b78-45b5-82e4-5924f29396c6.jpg","open")</f>
        <v/>
      </c>
      <c r="C6726" t="inlineStr">
        <is>
          <t>1a55986c-2c3f-40c0-b3d1-014dce77832e</t>
        </is>
      </c>
      <c r="D6726" t="n">
        <v>55.70383</v>
      </c>
      <c r="E6726" t="n">
        <v>37.72673</v>
      </c>
      <c r="F6726" t="inlineStr"/>
      <c r="G6726" t="inlineStr"/>
      <c r="H6726" t="inlineStr"/>
    </row>
    <row r="6727">
      <c r="A6727" t="inlineStr">
        <is>
          <t>4e1880db-a016-4113-b08f-e520524229d4.jpg</t>
        </is>
      </c>
      <c r="B6727">
        <f>HYPERLINK("Объекты недвижимости, не соответствующие градостроительным нормам_00-022_Август/4e1880db-a016-4113-b08f-e520524229d4.jpg","open")</f>
        <v/>
      </c>
      <c r="C6727" t="inlineStr">
        <is>
          <t>93848fc8-17e7-4748-9ebc-c7e379e11d2f</t>
        </is>
      </c>
      <c r="D6727" t="n">
        <v>55.75291</v>
      </c>
      <c r="E6727" t="n">
        <v>37.5029</v>
      </c>
      <c r="F6727" t="inlineStr"/>
      <c r="G6727" t="inlineStr"/>
      <c r="H6727" t="inlineStr"/>
    </row>
    <row r="6728">
      <c r="A6728" t="inlineStr">
        <is>
          <t>de726ee4-73a0-42e5-82e4-ba268a21a0b3.jpg</t>
        </is>
      </c>
      <c r="B6728">
        <f>HYPERLINK("Объекты недвижимости, не соответствующие градостроительным нормам_00-022_Август/de726ee4-73a0-42e5-82e4-ba268a21a0b3.jpg","open")</f>
        <v/>
      </c>
      <c r="C6728" t="inlineStr">
        <is>
          <t>a1a9db89-3f74-42ef-8fad-ad69705102cd</t>
        </is>
      </c>
      <c r="D6728" t="n">
        <v>55.73588</v>
      </c>
      <c r="E6728" t="n">
        <v>37.66523</v>
      </c>
      <c r="F6728" t="inlineStr"/>
      <c r="G6728" t="inlineStr"/>
      <c r="H6728" t="inlineStr"/>
    </row>
    <row r="6729">
      <c r="A6729" t="inlineStr">
        <is>
          <t>402b72e7-e5a8-4b32-a403-50cc45861274.jpg</t>
        </is>
      </c>
      <c r="B6729">
        <f>HYPERLINK("Объекты недвижимости, не соответствующие градостроительным нормам_00-022_Август/402b72e7-e5a8-4b32-a403-50cc45861274.jpg","open")</f>
        <v/>
      </c>
      <c r="C6729" t="inlineStr">
        <is>
          <t>cbf95b01-f708-45a3-9ec0-3603469b538e</t>
        </is>
      </c>
      <c r="D6729" t="n">
        <v>55.73588</v>
      </c>
      <c r="E6729" t="n">
        <v>37.66523</v>
      </c>
      <c r="F6729" t="inlineStr"/>
      <c r="G6729" t="inlineStr"/>
      <c r="H6729" t="inlineStr"/>
    </row>
    <row r="6730">
      <c r="A6730" t="inlineStr">
        <is>
          <t>e1b0b240-d819-46ab-8d52-ee521a5ff0f1.jpg</t>
        </is>
      </c>
      <c r="B6730">
        <f>HYPERLINK("Объекты недвижимости, не соответствующие градостроительным нормам_00-022_Август/e1b0b240-d819-46ab-8d52-ee521a5ff0f1.jpg","open")</f>
        <v/>
      </c>
      <c r="C6730" t="inlineStr">
        <is>
          <t>e26f5fc2-1353-4f29-85f3-87c56419161c</t>
        </is>
      </c>
      <c r="D6730" t="n">
        <v>55.7725</v>
      </c>
      <c r="E6730" t="n">
        <v>37.66893</v>
      </c>
      <c r="F6730" t="inlineStr"/>
      <c r="G6730" t="inlineStr"/>
      <c r="H6730" t="inlineStr"/>
    </row>
    <row r="6731">
      <c r="A6731" t="inlineStr">
        <is>
          <t>3579b13e-c4fa-4d17-a262-7c46a6458a2c.jpg</t>
        </is>
      </c>
      <c r="B6731">
        <f>HYPERLINK("Объекты недвижимости, не соответствующие градостроительным нормам_00-022_Август/3579b13e-c4fa-4d17-a262-7c46a6458a2c.jpg","open")</f>
        <v/>
      </c>
      <c r="C6731" t="inlineStr">
        <is>
          <t>685d9054-b74f-49ab-857b-109fd2cec80d</t>
        </is>
      </c>
      <c r="D6731" t="n">
        <v>55.54358</v>
      </c>
      <c r="E6731" t="n">
        <v>37.51207</v>
      </c>
      <c r="F6731" t="inlineStr"/>
      <c r="G6731" t="inlineStr"/>
      <c r="H6731" t="inlineStr"/>
    </row>
    <row r="6732">
      <c r="A6732" t="inlineStr">
        <is>
          <t>a0c0a58f-5843-48ec-95c8-4aa8a196a191.jpg</t>
        </is>
      </c>
      <c r="B6732">
        <f>HYPERLINK("Объекты недвижимости, не соответствующие градостроительным нормам_00-022_Август/a0c0a58f-5843-48ec-95c8-4aa8a196a191.jpg","open")</f>
        <v/>
      </c>
      <c r="C6732" t="inlineStr">
        <is>
          <t>1231bbc5-e64c-4dc7-9acc-77710f47607a</t>
        </is>
      </c>
      <c r="D6732" t="n">
        <v>55.54359</v>
      </c>
      <c r="E6732" t="n">
        <v>37.51205</v>
      </c>
      <c r="F6732" t="inlineStr"/>
      <c r="G6732" t="inlineStr"/>
      <c r="H6732" t="inlineStr"/>
    </row>
    <row r="6733">
      <c r="A6733" t="inlineStr">
        <is>
          <t>3b96635e-54ef-45be-b5d2-f562ba6f93b9.jpg</t>
        </is>
      </c>
      <c r="B6733">
        <f>HYPERLINK("Объекты недвижимости, не соответствующие градостроительным нормам_00-022_Август/3b96635e-54ef-45be-b5d2-f562ba6f93b9.jpg","open")</f>
        <v/>
      </c>
      <c r="C6733" t="inlineStr">
        <is>
          <t>750bf7e4-0f0f-4f1a-96af-607dc8c1f1c9</t>
        </is>
      </c>
      <c r="D6733" t="n">
        <v>55.79337</v>
      </c>
      <c r="E6733" t="n">
        <v>37.78262</v>
      </c>
      <c r="F6733" t="inlineStr"/>
      <c r="G6733" t="inlineStr"/>
      <c r="H6733" t="inlineStr"/>
    </row>
    <row r="6734">
      <c r="A6734" t="inlineStr">
        <is>
          <t>b27df8bf-a98e-4f86-8c8e-2086da5760ac.jpg</t>
        </is>
      </c>
      <c r="B6734">
        <f>HYPERLINK("Объекты недвижимости, не соответствующие градостроительным нормам_00-022_Август/b27df8bf-a98e-4f86-8c8e-2086da5760ac.jpg","open")</f>
        <v/>
      </c>
      <c r="C6734" t="inlineStr">
        <is>
          <t>8cde1fd0-eca1-4510-86ab-3c743b65fdfc</t>
        </is>
      </c>
      <c r="D6734" t="n">
        <v>55.80795</v>
      </c>
      <c r="E6734" t="n">
        <v>37.65636</v>
      </c>
      <c r="F6734" t="inlineStr"/>
      <c r="G6734" t="inlineStr"/>
      <c r="H6734" t="inlineStr"/>
    </row>
    <row r="6735">
      <c r="A6735" t="inlineStr">
        <is>
          <t>6320537e-b0ed-4a6f-9107-d5f43ca9cba1.jpg</t>
        </is>
      </c>
      <c r="B6735">
        <f>HYPERLINK("Объекты недвижимости, не соответствующие градостроительным нормам_00-022_Август/6320537e-b0ed-4a6f-9107-d5f43ca9cba1.jpg","open")</f>
        <v/>
      </c>
      <c r="C6735" t="inlineStr">
        <is>
          <t>8cde1fd0-eca1-4510-86ab-3c743b65fdfc</t>
        </is>
      </c>
      <c r="D6735" t="n">
        <v>55.8065</v>
      </c>
      <c r="E6735" t="n">
        <v>37.65474</v>
      </c>
      <c r="F6735" t="inlineStr"/>
      <c r="G6735" t="inlineStr"/>
      <c r="H6735" t="inlineStr"/>
    </row>
    <row r="6736">
      <c r="A6736" t="inlineStr">
        <is>
          <t>a55a76bd-6ddb-4fef-9f82-c4a19b2b887a.jpg</t>
        </is>
      </c>
      <c r="B6736">
        <f>HYPERLINK("Объекты недвижимости, не соответствующие градостроительным нормам_00-022_Август/a55a76bd-6ddb-4fef-9f82-c4a19b2b887a.jpg","open")</f>
        <v/>
      </c>
      <c r="C6736" t="inlineStr">
        <is>
          <t>2acfb2da-e3f6-464c-bd17-4b713522c142</t>
        </is>
      </c>
      <c r="D6736" t="n">
        <v>55.86687</v>
      </c>
      <c r="E6736" t="n">
        <v>37.58952</v>
      </c>
      <c r="F6736" t="inlineStr"/>
      <c r="G6736" t="inlineStr"/>
      <c r="H6736" t="inlineStr"/>
    </row>
    <row r="6737">
      <c r="A6737" t="inlineStr">
        <is>
          <t>f0db9280-5c00-4087-af64-2124ed8780de.jpg</t>
        </is>
      </c>
      <c r="B6737">
        <f>HYPERLINK("Объекты недвижимости, не соответствующие градостроительным нормам_00-022_Август/f0db9280-5c00-4087-af64-2124ed8780de.jpg","open")</f>
        <v/>
      </c>
      <c r="C6737" t="inlineStr">
        <is>
          <t>789f6c51-64ee-4078-b7bd-443af8b8b68a</t>
        </is>
      </c>
      <c r="D6737" t="n">
        <v>55.86687</v>
      </c>
      <c r="E6737" t="n">
        <v>37.58953</v>
      </c>
      <c r="F6737" t="inlineStr"/>
      <c r="G6737" t="inlineStr"/>
      <c r="H6737" t="inlineStr"/>
    </row>
    <row r="6738">
      <c r="A6738" t="inlineStr">
        <is>
          <t>506f3455-0c4c-41a1-b6a5-76dbbea6e048.jpg</t>
        </is>
      </c>
      <c r="B6738">
        <f>HYPERLINK("Объекты недвижимости, не соответствующие градостроительным нормам_00-022_Август/506f3455-0c4c-41a1-b6a5-76dbbea6e048.jpg","open")</f>
        <v/>
      </c>
      <c r="C6738" t="inlineStr">
        <is>
          <t>cbf95b01-f708-45a3-9ec0-3603469b538e</t>
        </is>
      </c>
      <c r="D6738" t="n">
        <v>55.73102</v>
      </c>
      <c r="E6738" t="n">
        <v>37.54451</v>
      </c>
      <c r="F6738" t="inlineStr"/>
      <c r="G6738" t="inlineStr"/>
      <c r="H6738" t="inlineStr"/>
    </row>
    <row r="6739">
      <c r="A6739" t="inlineStr">
        <is>
          <t>9a2148da-8ca9-47af-a8ff-90f4269d0ab7.jpg</t>
        </is>
      </c>
      <c r="B6739">
        <f>HYPERLINK("Объекты недвижимости, не соответствующие градостроительным нормам_00-022_Август/9a2148da-8ca9-47af-a8ff-90f4269d0ab7.jpg","open")</f>
        <v/>
      </c>
      <c r="C6739" t="inlineStr">
        <is>
          <t>cbf95b01-f708-45a3-9ec0-3603469b538e</t>
        </is>
      </c>
      <c r="D6739" t="n">
        <v>55.73142</v>
      </c>
      <c r="E6739" t="n">
        <v>37.54418</v>
      </c>
      <c r="F6739" t="inlineStr"/>
      <c r="G6739" t="inlineStr"/>
      <c r="H6739" t="inlineStr"/>
    </row>
    <row r="6740">
      <c r="A6740" t="inlineStr">
        <is>
          <t>31d59071-15ec-420a-a434-e88cc915ca05.jpg</t>
        </is>
      </c>
      <c r="B6740">
        <f>HYPERLINK("Объекты недвижимости, не соответствующие градостроительным нормам_00-022_Август/31d59071-15ec-420a-a434-e88cc915ca05.jpg","open")</f>
        <v/>
      </c>
      <c r="C6740" t="inlineStr">
        <is>
          <t>8cde1fd0-eca1-4510-86ab-3c743b65fdfc</t>
        </is>
      </c>
      <c r="D6740" t="n">
        <v>55.80855</v>
      </c>
      <c r="E6740" t="n">
        <v>37.65707</v>
      </c>
      <c r="F6740" t="inlineStr"/>
      <c r="G6740" t="inlineStr"/>
      <c r="H6740" t="inlineStr"/>
    </row>
    <row r="6741">
      <c r="A6741" t="inlineStr">
        <is>
          <t>e964edfd-620b-48ee-a149-4316519e59d0.jpg</t>
        </is>
      </c>
      <c r="B6741">
        <f>HYPERLINK("Объекты недвижимости, не соответствующие градостроительным нормам_00-022_Август/e964edfd-620b-48ee-a149-4316519e59d0.jpg","open")</f>
        <v/>
      </c>
      <c r="C6741" t="inlineStr">
        <is>
          <t>8cde1fd0-eca1-4510-86ab-3c743b65fdfc</t>
        </is>
      </c>
      <c r="D6741" t="n">
        <v>55.81028</v>
      </c>
      <c r="E6741" t="n">
        <v>37.65507</v>
      </c>
      <c r="F6741" t="inlineStr"/>
      <c r="G6741" t="inlineStr"/>
      <c r="H6741" t="inlineStr"/>
    </row>
    <row r="6742">
      <c r="A6742" t="inlineStr">
        <is>
          <t>ec75715d-a9f7-4d93-bdda-69522788accd.jpg</t>
        </is>
      </c>
      <c r="B6742">
        <f>HYPERLINK("Объекты недвижимости, не соответствующие градостроительным нормам_00-022_Август/ec75715d-a9f7-4d93-bdda-69522788accd.jpg","open")</f>
        <v/>
      </c>
      <c r="C6742" t="inlineStr">
        <is>
          <t>8cde1fd0-eca1-4510-86ab-3c743b65fdfc</t>
        </is>
      </c>
      <c r="D6742" t="n">
        <v>55.81325</v>
      </c>
      <c r="E6742" t="n">
        <v>37.6463</v>
      </c>
      <c r="F6742" t="inlineStr"/>
      <c r="G6742" t="inlineStr"/>
      <c r="H6742" t="inlineStr"/>
    </row>
    <row r="6743">
      <c r="A6743" t="inlineStr">
        <is>
          <t>7711240d-1f55-448d-8343-98ffa8962ecb.jpg</t>
        </is>
      </c>
      <c r="B6743">
        <f>HYPERLINK("Объекты недвижимости, не соответствующие градостроительным нормам_00-022_Август/7711240d-1f55-448d-8343-98ffa8962ecb.jpg","open")</f>
        <v/>
      </c>
      <c r="C6743" t="inlineStr">
        <is>
          <t>cbf95b01-f708-45a3-9ec0-3603469b538e</t>
        </is>
      </c>
      <c r="D6743" t="n">
        <v>55.71987</v>
      </c>
      <c r="E6743" t="n">
        <v>37.49593</v>
      </c>
      <c r="F6743" t="inlineStr"/>
      <c r="G6743" t="inlineStr"/>
      <c r="H6743" t="inlineStr"/>
    </row>
    <row r="6744">
      <c r="A6744" t="inlineStr">
        <is>
          <t>ecbf0995-cca1-4eab-b146-cb6d4d13442c.jpg</t>
        </is>
      </c>
      <c r="B6744">
        <f>HYPERLINK("Объекты недвижимости, не соответствующие градостроительным нормам_00-022_Август/ecbf0995-cca1-4eab-b146-cb6d4d13442c.jpg","open")</f>
        <v/>
      </c>
      <c r="C6744" t="inlineStr">
        <is>
          <t>cbf95b01-f708-45a3-9ec0-3603469b538e</t>
        </is>
      </c>
      <c r="D6744" t="n">
        <v>55.70598</v>
      </c>
      <c r="E6744" t="n">
        <v>37.48667</v>
      </c>
      <c r="F6744" t="inlineStr"/>
      <c r="G6744" t="inlineStr"/>
      <c r="H6744" t="inlineStr"/>
    </row>
    <row r="6745">
      <c r="A6745" t="inlineStr">
        <is>
          <t>d9c470a4-db34-4b37-86d7-64174fb63442.jpg</t>
        </is>
      </c>
      <c r="B6745">
        <f>HYPERLINK("Объекты недвижимости, не соответствующие градостроительным нормам_00-022_Август/d9c470a4-db34-4b37-86d7-64174fb63442.jpg","open")</f>
        <v/>
      </c>
      <c r="C6745" t="inlineStr">
        <is>
          <t>e26f5fc2-1353-4f29-85f3-87c56419161c</t>
        </is>
      </c>
      <c r="D6745" t="n">
        <v>55.7725</v>
      </c>
      <c r="E6745" t="n">
        <v>37.66893</v>
      </c>
      <c r="F6745" t="inlineStr"/>
      <c r="G6745" t="inlineStr"/>
      <c r="H6745" t="inlineStr"/>
    </row>
    <row r="6746">
      <c r="A6746" t="inlineStr">
        <is>
          <t>6120da30-c190-46a1-96e2-b38053d9dcf1.jpg</t>
        </is>
      </c>
      <c r="B6746">
        <f>HYPERLINK("Объекты недвижимости, не соответствующие градостроительным нормам_00-022_Август/6120da30-c190-46a1-96e2-b38053d9dcf1.jpg","open")</f>
        <v/>
      </c>
      <c r="C6746" t="inlineStr">
        <is>
          <t>18a5c468-d9e6-4814-8477-1caf4a2e1fe9</t>
        </is>
      </c>
      <c r="D6746" t="n">
        <v>55.72292</v>
      </c>
      <c r="E6746" t="n">
        <v>37.44726</v>
      </c>
      <c r="F6746" t="inlineStr"/>
      <c r="G6746" t="inlineStr"/>
      <c r="H6746" t="inlineStr"/>
    </row>
    <row r="6747">
      <c r="A6747" t="inlineStr">
        <is>
          <t>dfe3f57b-2715-4679-83f0-710df2ec0138.jpg</t>
        </is>
      </c>
      <c r="B6747">
        <f>HYPERLINK("Объекты недвижимости, не соответствующие градостроительным нормам_00-022_Август/dfe3f57b-2715-4679-83f0-710df2ec0138.jpg","open")</f>
        <v/>
      </c>
      <c r="C6747" t="inlineStr">
        <is>
          <t>cbf95b01-f708-45a3-9ec0-3603469b538e</t>
        </is>
      </c>
      <c r="D6747" t="n">
        <v>55.68801</v>
      </c>
      <c r="E6747" t="n">
        <v>37.43147</v>
      </c>
      <c r="F6747" t="inlineStr"/>
      <c r="G6747" t="inlineStr"/>
      <c r="H6747" t="inlineStr"/>
    </row>
    <row r="6748">
      <c r="A6748" t="inlineStr">
        <is>
          <t>d4a2a882-099a-489b-8a1c-56fcd773435d.jpg</t>
        </is>
      </c>
      <c r="B6748">
        <f>HYPERLINK("Объекты недвижимости, не соответствующие градостроительным нормам_00-022_Август/d4a2a882-099a-489b-8a1c-56fcd773435d.jpg","open")</f>
        <v/>
      </c>
      <c r="C6748" t="inlineStr">
        <is>
          <t>a1a9db89-3f74-42ef-8fad-ad69705102cd</t>
        </is>
      </c>
      <c r="D6748" t="n">
        <v>55.68803</v>
      </c>
      <c r="E6748" t="n">
        <v>37.43159</v>
      </c>
      <c r="F6748" t="inlineStr"/>
      <c r="G6748" t="inlineStr"/>
      <c r="H6748" t="inlineStr"/>
    </row>
    <row r="6749">
      <c r="A6749" t="inlineStr">
        <is>
          <t>681e8ac2-0bb6-4237-ad76-c308a3f14826.jpg</t>
        </is>
      </c>
      <c r="B6749">
        <f>HYPERLINK("Объекты недвижимости, не соответствующие градостроительным нормам_00-022_Август/681e8ac2-0bb6-4237-ad76-c308a3f14826.jpg","open")</f>
        <v/>
      </c>
      <c r="C6749" t="inlineStr">
        <is>
          <t>ed2bf0f1-3a66-4913-896e-4420a9796c0b</t>
        </is>
      </c>
      <c r="D6749" t="n">
        <v>55.69405</v>
      </c>
      <c r="E6749" t="n">
        <v>37.71344</v>
      </c>
      <c r="F6749" t="inlineStr"/>
      <c r="G6749" t="inlineStr"/>
      <c r="H6749" t="inlineStr"/>
    </row>
    <row r="6750">
      <c r="A6750" t="inlineStr">
        <is>
          <t>6fc9a2ac-4f6d-493a-a4d4-f08abcaf8c1a.jpg</t>
        </is>
      </c>
      <c r="B6750">
        <f>HYPERLINK("Объекты недвижимости, не соответствующие градостроительным нормам_00-022_Август/6fc9a2ac-4f6d-493a-a4d4-f08abcaf8c1a.jpg","open")</f>
        <v/>
      </c>
      <c r="C6750" t="inlineStr">
        <is>
          <t>ed2bf0f1-3a66-4913-896e-4420a9796c0b</t>
        </is>
      </c>
      <c r="D6750" t="n">
        <v>55.69747</v>
      </c>
      <c r="E6750" t="n">
        <v>37.7113</v>
      </c>
      <c r="F6750" t="inlineStr"/>
      <c r="G6750" t="inlineStr"/>
      <c r="H6750" t="inlineStr"/>
    </row>
    <row r="6751">
      <c r="A6751" t="inlineStr">
        <is>
          <t>afeb0146-1482-483a-b497-6a2c2be3823a.jpg</t>
        </is>
      </c>
      <c r="B6751">
        <f>HYPERLINK("Объекты недвижимости, не соответствующие градостроительным нормам_00-022_Август/afeb0146-1482-483a-b497-6a2c2be3823a.jpg","open")</f>
        <v/>
      </c>
      <c r="C6751" t="inlineStr">
        <is>
          <t>f60286ac-55e7-4099-85bd-cc599a7a0c65</t>
        </is>
      </c>
      <c r="D6751" t="n">
        <v>55.75651</v>
      </c>
      <c r="E6751" t="n">
        <v>37.77481</v>
      </c>
      <c r="F6751" t="inlineStr"/>
      <c r="G6751" t="inlineStr"/>
      <c r="H6751" t="inlineStr"/>
    </row>
    <row r="6752">
      <c r="A6752" t="inlineStr">
        <is>
          <t>6a0921b1-8f9f-4509-9955-a5f676043adf.jpg</t>
        </is>
      </c>
      <c r="B6752">
        <f>HYPERLINK("Объекты недвижимости, не соответствующие градостроительным нормам_00-022_Август/6a0921b1-8f9f-4509-9955-a5f676043adf.jpg","open")</f>
        <v/>
      </c>
      <c r="C6752" t="inlineStr">
        <is>
          <t>8cde1fd0-eca1-4510-86ab-3c743b65fdfc</t>
        </is>
      </c>
      <c r="D6752" t="n">
        <v>55.821</v>
      </c>
      <c r="E6752" t="n">
        <v>37.64666</v>
      </c>
      <c r="F6752" t="inlineStr"/>
      <c r="G6752" t="inlineStr"/>
      <c r="H6752" t="inlineStr"/>
    </row>
    <row r="6753">
      <c r="A6753" t="inlineStr">
        <is>
          <t>69006cd4-f17a-4da1-b22c-0ef817a2f714.jpg</t>
        </is>
      </c>
      <c r="B6753">
        <f>HYPERLINK("Объекты недвижимости, не соответствующие градостроительным нормам_00-022_Август/69006cd4-f17a-4da1-b22c-0ef817a2f714.jpg","open")</f>
        <v/>
      </c>
      <c r="C6753" t="inlineStr">
        <is>
          <t>8cde1fd0-eca1-4510-86ab-3c743b65fdfc</t>
        </is>
      </c>
      <c r="D6753" t="n">
        <v>55.821</v>
      </c>
      <c r="E6753" t="n">
        <v>37.64679</v>
      </c>
      <c r="F6753" t="inlineStr"/>
      <c r="G6753" t="inlineStr"/>
      <c r="H6753" t="inlineStr"/>
    </row>
    <row r="6754">
      <c r="A6754" t="inlineStr">
        <is>
          <t>b058d708-75dd-4834-9f1b-ef7ae40f53c1.jpg</t>
        </is>
      </c>
      <c r="B6754">
        <f>HYPERLINK("Объекты недвижимости, не соответствующие градостроительным нормам_00-022_Август/b058d708-75dd-4834-9f1b-ef7ae40f53c1.jpg","open")</f>
        <v/>
      </c>
      <c r="C6754" t="inlineStr">
        <is>
          <t>1c951e11-4940-43c6-a447-394097e5609a</t>
        </is>
      </c>
      <c r="D6754" t="n">
        <v>55.821</v>
      </c>
      <c r="E6754" t="n">
        <v>37.6467</v>
      </c>
      <c r="F6754" t="inlineStr"/>
      <c r="G6754" t="inlineStr"/>
      <c r="H6754" t="inlineStr"/>
    </row>
    <row r="6755">
      <c r="A6755" t="inlineStr">
        <is>
          <t>94354903-a056-4555-af66-6bb79b50d5c6.jpg</t>
        </is>
      </c>
      <c r="B6755">
        <f>HYPERLINK("Объекты недвижимости, не соответствующие градостроительным нормам_00-022_Август/94354903-a056-4555-af66-6bb79b50d5c6.jpg","open")</f>
        <v/>
      </c>
      <c r="C6755" t="inlineStr">
        <is>
          <t>8cde1fd0-eca1-4510-86ab-3c743b65fdfc</t>
        </is>
      </c>
      <c r="D6755" t="n">
        <v>55.821</v>
      </c>
      <c r="E6755" t="n">
        <v>37.64691</v>
      </c>
      <c r="F6755" t="inlineStr"/>
      <c r="G6755" t="inlineStr"/>
      <c r="H6755" t="inlineStr"/>
    </row>
    <row r="6756">
      <c r="A6756" t="inlineStr">
        <is>
          <t>0b387cc3-b0ca-4615-9d13-19b19bc8988e.jpg</t>
        </is>
      </c>
      <c r="B6756">
        <f>HYPERLINK("Объекты недвижимости, не соответствующие градостроительным нормам_00-022_Август/0b387cc3-b0ca-4615-9d13-19b19bc8988e.jpg","open")</f>
        <v/>
      </c>
      <c r="C6756" t="inlineStr">
        <is>
          <t>ad64e6b9-1ed5-44d7-a101-4945a1f9dec6</t>
        </is>
      </c>
      <c r="D6756" t="n">
        <v>55.67001</v>
      </c>
      <c r="E6756" t="n">
        <v>37.574</v>
      </c>
      <c r="F6756" t="inlineStr"/>
      <c r="G6756" t="inlineStr"/>
      <c r="H6756" t="inlineStr"/>
    </row>
    <row r="6757">
      <c r="A6757" t="inlineStr">
        <is>
          <t>1ebdd543-1cab-438a-9934-06539ecae56e.jpg</t>
        </is>
      </c>
      <c r="B6757">
        <f>HYPERLINK("Объекты недвижимости, не соответствующие градостроительным нормам_00-022_Август/1ebdd543-1cab-438a-9934-06539ecae56e.jpg","open")</f>
        <v/>
      </c>
      <c r="C6757" t="inlineStr">
        <is>
          <t>685d9054-b74f-49ab-857b-109fd2cec80d</t>
        </is>
      </c>
      <c r="D6757" t="n">
        <v>55.53723</v>
      </c>
      <c r="E6757" t="n">
        <v>37.50558</v>
      </c>
      <c r="F6757" t="inlineStr"/>
      <c r="G6757" t="inlineStr"/>
      <c r="H6757" t="inlineStr"/>
    </row>
    <row r="6758">
      <c r="A6758" t="inlineStr">
        <is>
          <t>4710ec67-275e-4f7f-a897-f7534fd49c68.jpg</t>
        </is>
      </c>
      <c r="B6758">
        <f>HYPERLINK("Объекты недвижимости, не соответствующие градостроительным нормам_00-022_Август/4710ec67-275e-4f7f-a897-f7534fd49c68.jpg","open")</f>
        <v/>
      </c>
      <c r="C6758" t="inlineStr">
        <is>
          <t>1231bbc5-e64c-4dc7-9acc-77710f47607a</t>
        </is>
      </c>
      <c r="D6758" t="n">
        <v>55.53735</v>
      </c>
      <c r="E6758" t="n">
        <v>37.5055</v>
      </c>
      <c r="F6758" t="inlineStr"/>
      <c r="G6758" t="inlineStr"/>
      <c r="H6758" t="inlineStr"/>
    </row>
    <row r="6759">
      <c r="A6759" t="inlineStr">
        <is>
          <t>4ad4643a-fb8d-4b64-be69-b0254d78ab88.jpg</t>
        </is>
      </c>
      <c r="B6759">
        <f>HYPERLINK("Объекты недвижимости, не соответствующие градостроительным нормам_00-022_Август/4ad4643a-fb8d-4b64-be69-b0254d78ab88.jpg","open")</f>
        <v/>
      </c>
      <c r="C6759" t="inlineStr">
        <is>
          <t>685d9054-b74f-49ab-857b-109fd2cec80d</t>
        </is>
      </c>
      <c r="D6759" t="n">
        <v>55.53783</v>
      </c>
      <c r="E6759" t="n">
        <v>37.5066</v>
      </c>
      <c r="F6759" t="inlineStr"/>
      <c r="G6759" t="inlineStr"/>
      <c r="H6759" t="inlineStr"/>
    </row>
    <row r="6760">
      <c r="A6760" t="inlineStr">
        <is>
          <t>afabbff3-3bb3-4c91-8e53-d87609e9d8f7.jpg</t>
        </is>
      </c>
      <c r="B6760">
        <f>HYPERLINK("Объекты недвижимости, не соответствующие градостроительным нормам_00-022_Август/afabbff3-3bb3-4c91-8e53-d87609e9d8f7.jpg","open")</f>
        <v/>
      </c>
      <c r="C6760" t="inlineStr">
        <is>
          <t>ed2bf0f1-3a66-4913-896e-4420a9796c0b</t>
        </is>
      </c>
      <c r="D6760" t="n">
        <v>55.70339</v>
      </c>
      <c r="E6760" t="n">
        <v>37.68942</v>
      </c>
      <c r="F6760" t="inlineStr"/>
      <c r="G6760" t="inlineStr"/>
      <c r="H6760" t="inlineStr"/>
    </row>
    <row r="6761">
      <c r="A6761" t="inlineStr">
        <is>
          <t>355393ca-d448-439d-8967-a8f67bf9e40c.jpg</t>
        </is>
      </c>
      <c r="B6761">
        <f>HYPERLINK("Объекты недвижимости, не соответствующие градостроительным нормам_00-022_Август/355393ca-d448-439d-8967-a8f67bf9e40c.jpg","open")</f>
        <v/>
      </c>
      <c r="C6761" t="inlineStr">
        <is>
          <t>9fb3d110-951f-48da-9d90-cfd7e1b5800d</t>
        </is>
      </c>
      <c r="D6761" t="n">
        <v>55.65469</v>
      </c>
      <c r="E6761" t="n">
        <v>37.48133</v>
      </c>
      <c r="F6761" t="inlineStr"/>
      <c r="G6761" t="inlineStr"/>
      <c r="H6761" t="inlineStr"/>
    </row>
    <row r="6762">
      <c r="A6762" t="inlineStr">
        <is>
          <t>c71123a9-ec72-49bb-8f41-95b9dab895c0.jpg</t>
        </is>
      </c>
      <c r="B6762">
        <f>HYPERLINK("Объекты недвижимости, не соответствующие градостроительным нормам_00-022_Август/c71123a9-ec72-49bb-8f41-95b9dab895c0.jpg","open")</f>
        <v/>
      </c>
      <c r="C6762" t="inlineStr">
        <is>
          <t>61936922-4d4b-458e-80ea-6d4c450aa1d5</t>
        </is>
      </c>
      <c r="D6762" t="n">
        <v>55.6547</v>
      </c>
      <c r="E6762" t="n">
        <v>37.48132</v>
      </c>
      <c r="F6762" t="inlineStr"/>
      <c r="G6762" t="inlineStr"/>
      <c r="H6762" t="inlineStr"/>
    </row>
    <row r="6763">
      <c r="A6763" t="inlineStr">
        <is>
          <t>ef29a3e9-56cf-4ea0-9aea-4a239d91d9db.jpg</t>
        </is>
      </c>
      <c r="B6763">
        <f>HYPERLINK("Объекты недвижимости, не соответствующие градостроительным нормам_00-022_Август/ef29a3e9-56cf-4ea0-9aea-4a239d91d9db.jpg","open")</f>
        <v/>
      </c>
      <c r="C6763" t="inlineStr">
        <is>
          <t>db8b536c-32f2-4d9a-ae08-679d227e61f1</t>
        </is>
      </c>
      <c r="D6763" t="n">
        <v>55.66413</v>
      </c>
      <c r="E6763" t="n">
        <v>37.54829</v>
      </c>
      <c r="F6763" t="inlineStr"/>
      <c r="G6763" t="inlineStr"/>
      <c r="H6763" t="inlineStr"/>
    </row>
    <row r="6764">
      <c r="A6764" t="inlineStr">
        <is>
          <t>c0dbf01d-2d94-4dba-ac9c-6501c71cbde6.jpg</t>
        </is>
      </c>
      <c r="B6764">
        <f>HYPERLINK("Объекты недвижимости, не соответствующие градостроительным нормам_00-022_Август/c0dbf01d-2d94-4dba-ac9c-6501c71cbde6.jpg","open")</f>
        <v/>
      </c>
      <c r="C6764" t="inlineStr">
        <is>
          <t>99f3abba-c55b-49f0-9de5-9f88e9597cc0</t>
        </is>
      </c>
      <c r="D6764" t="n">
        <v>55.55143</v>
      </c>
      <c r="E6764" t="n">
        <v>37.58249</v>
      </c>
      <c r="F6764" t="inlineStr"/>
      <c r="G6764" t="inlineStr"/>
      <c r="H6764" t="inlineStr"/>
    </row>
    <row r="6765">
      <c r="A6765" t="inlineStr">
        <is>
          <t>17667e65-2818-41a0-b808-f16d5bb7b7ab.jpg</t>
        </is>
      </c>
      <c r="B6765">
        <f>HYPERLINK("Объекты недвижимости, не соответствующие градостроительным нормам_00-022_Август/17667e65-2818-41a0-b808-f16d5bb7b7ab.jpg","open")</f>
        <v/>
      </c>
      <c r="C6765" t="inlineStr">
        <is>
          <t>ed2bf0f1-3a66-4913-896e-4420a9796c0b</t>
        </is>
      </c>
      <c r="D6765" t="n">
        <v>55.7072</v>
      </c>
      <c r="E6765" t="n">
        <v>37.70076</v>
      </c>
      <c r="F6765" t="inlineStr"/>
      <c r="G6765" t="inlineStr"/>
      <c r="H6765" t="inlineStr"/>
    </row>
    <row r="6766">
      <c r="A6766" t="inlineStr">
        <is>
          <t>e9e55ebf-7a61-4e48-b3df-04dbd0299916.jpg</t>
        </is>
      </c>
      <c r="B6766">
        <f>HYPERLINK("Объекты недвижимости, не соответствующие градостроительным нормам_00-022_Август/e9e55ebf-7a61-4e48-b3df-04dbd0299916.jpg","open")</f>
        <v/>
      </c>
      <c r="C6766" t="inlineStr">
        <is>
          <t>ed2bf0f1-3a66-4913-896e-4420a9796c0b</t>
        </is>
      </c>
      <c r="D6766" t="n">
        <v>55.7066</v>
      </c>
      <c r="E6766" t="n">
        <v>37.69949</v>
      </c>
      <c r="F6766" t="inlineStr"/>
      <c r="G6766" t="inlineStr"/>
      <c r="H6766" t="inlineStr"/>
    </row>
    <row r="6767">
      <c r="A6767" t="inlineStr">
        <is>
          <t>8de9018f-b705-4f44-b671-1f5b782516e4.jpg</t>
        </is>
      </c>
      <c r="B6767">
        <f>HYPERLINK("Объекты недвижимости, не соответствующие градостроительным нормам_00-022_Август/8de9018f-b705-4f44-b671-1f5b782516e4.jpg","open")</f>
        <v/>
      </c>
      <c r="C6767" t="inlineStr">
        <is>
          <t>ed2bf0f1-3a66-4913-896e-4420a9796c0b</t>
        </is>
      </c>
      <c r="D6767" t="n">
        <v>55.70643</v>
      </c>
      <c r="E6767" t="n">
        <v>37.69464</v>
      </c>
      <c r="F6767" t="inlineStr"/>
      <c r="G6767" t="inlineStr"/>
      <c r="H6767" t="inlineStr"/>
    </row>
    <row r="6768">
      <c r="A6768" t="inlineStr">
        <is>
          <t>5ac27cc0-13bf-4f8a-a00b-a1eb6d6e5119.jpg</t>
        </is>
      </c>
      <c r="B6768">
        <f>HYPERLINK("Объекты недвижимости, не соответствующие градостроительным нормам_00-022_Август/5ac27cc0-13bf-4f8a-a00b-a1eb6d6e5119.jpg","open")</f>
        <v/>
      </c>
      <c r="C6768" t="inlineStr">
        <is>
          <t>685d9054-b74f-49ab-857b-109fd2cec80d</t>
        </is>
      </c>
      <c r="D6768" t="n">
        <v>55.53188</v>
      </c>
      <c r="E6768" t="n">
        <v>37.52012</v>
      </c>
      <c r="F6768" t="inlineStr"/>
      <c r="G6768" t="inlineStr"/>
      <c r="H6768" t="inlineStr"/>
    </row>
    <row r="6769">
      <c r="A6769" t="inlineStr">
        <is>
          <t>aa86fef3-c760-4ec7-a183-fe8f4b005be6.jpg</t>
        </is>
      </c>
      <c r="B6769">
        <f>HYPERLINK("Объекты недвижимости, не соответствующие градостроительным нормам_00-022_Август/aa86fef3-c760-4ec7-a183-fe8f4b005be6.jpg","open")</f>
        <v/>
      </c>
      <c r="C6769" t="inlineStr">
        <is>
          <t>f20fbc2b-b369-4734-bb66-92af02fbb0d1</t>
        </is>
      </c>
      <c r="D6769" t="n">
        <v>55.69645</v>
      </c>
      <c r="E6769" t="n">
        <v>37.84941</v>
      </c>
      <c r="F6769" t="inlineStr"/>
      <c r="G6769" t="inlineStr"/>
      <c r="H6769" t="inlineStr"/>
    </row>
    <row r="6770">
      <c r="A6770" t="inlineStr">
        <is>
          <t>2e332bec-b56a-461f-8f51-5ca0b7a46ff8.jpg</t>
        </is>
      </c>
      <c r="B6770">
        <f>HYPERLINK("Объекты недвижимости, не соответствующие градостроительным нормам_00-022_Август/2e332bec-b56a-461f-8f51-5ca0b7a46ff8.jpg","open")</f>
        <v/>
      </c>
      <c r="C6770" t="inlineStr">
        <is>
          <t>685d9054-b74f-49ab-857b-109fd2cec80d</t>
        </is>
      </c>
      <c r="D6770" t="n">
        <v>55.53133</v>
      </c>
      <c r="E6770" t="n">
        <v>37.51989</v>
      </c>
      <c r="F6770" t="inlineStr"/>
      <c r="G6770" t="inlineStr"/>
      <c r="H6770" t="inlineStr"/>
    </row>
    <row r="6771">
      <c r="A6771" t="inlineStr">
        <is>
          <t>f6ec0a40-d581-4187-a2d7-2d26a5647ba9.jpg</t>
        </is>
      </c>
      <c r="B6771">
        <f>HYPERLINK("Объекты недвижимости, не соответствующие градостроительным нормам_00-022_Август/f6ec0a40-d581-4187-a2d7-2d26a5647ba9.jpg","open")</f>
        <v/>
      </c>
      <c r="C6771" t="inlineStr">
        <is>
          <t>030e8755-17c1-44eb-9530-707d0d3121cb</t>
        </is>
      </c>
      <c r="D6771" t="n">
        <v>55.67876</v>
      </c>
      <c r="E6771" t="n">
        <v>37.67792</v>
      </c>
      <c r="F6771" t="inlineStr"/>
      <c r="G6771" t="inlineStr"/>
      <c r="H6771" t="inlineStr"/>
    </row>
    <row r="6772">
      <c r="A6772" t="inlineStr">
        <is>
          <t>f9855a64-7715-40d1-90b1-b5ccaa357539.jpg</t>
        </is>
      </c>
      <c r="B6772">
        <f>HYPERLINK("Объекты недвижимости, не соответствующие градостроительным нормам_00-022_Август/f9855a64-7715-40d1-90b1-b5ccaa357539.jpg","open")</f>
        <v/>
      </c>
      <c r="C6772" t="inlineStr">
        <is>
          <t>936502dd-24a4-4256-9fdf-0d8fb72af3ed</t>
        </is>
      </c>
      <c r="D6772" t="n">
        <v>55.67876</v>
      </c>
      <c r="E6772" t="n">
        <v>37.67804</v>
      </c>
      <c r="F6772" t="inlineStr"/>
      <c r="G6772" t="inlineStr"/>
      <c r="H6772" t="inlineStr"/>
    </row>
    <row r="6773">
      <c r="A6773" t="inlineStr">
        <is>
          <t>0b7d2076-eaf3-4f3d-a870-a678408191d5.jpg</t>
        </is>
      </c>
      <c r="B6773">
        <f>HYPERLINK("Объекты недвижимости, не соответствующие градостроительным нормам_00-022_Август/0b7d2076-eaf3-4f3d-a870-a678408191d5.jpg","open")</f>
        <v/>
      </c>
      <c r="C6773" t="inlineStr">
        <is>
          <t>685d9054-b74f-49ab-857b-109fd2cec80d</t>
        </is>
      </c>
      <c r="D6773" t="n">
        <v>55.53182</v>
      </c>
      <c r="E6773" t="n">
        <v>37.52019</v>
      </c>
      <c r="F6773" t="inlineStr"/>
      <c r="G6773" t="inlineStr"/>
      <c r="H6773" t="inlineStr"/>
    </row>
    <row r="6774">
      <c r="A6774" t="inlineStr">
        <is>
          <t>82245a18-95ba-4884-a8e4-be94929c00d7.jpg</t>
        </is>
      </c>
      <c r="B6774">
        <f>HYPERLINK("Объекты недвижимости, не соответствующие градостроительным нормам_00-022_Август/82245a18-95ba-4884-a8e4-be94929c00d7.jpg","open")</f>
        <v/>
      </c>
      <c r="C6774" t="inlineStr">
        <is>
          <t>685d9054-b74f-49ab-857b-109fd2cec80d</t>
        </is>
      </c>
      <c r="D6774" t="n">
        <v>55.53113</v>
      </c>
      <c r="E6774" t="n">
        <v>37.52223</v>
      </c>
      <c r="F6774" t="inlineStr"/>
      <c r="G6774" t="inlineStr"/>
      <c r="H6774" t="inlineStr"/>
    </row>
    <row r="6775">
      <c r="A6775" t="inlineStr">
        <is>
          <t>5f2de585-2e90-42ce-8cfc-763114115c59.jpg</t>
        </is>
      </c>
      <c r="B6775">
        <f>HYPERLINK("Объекты недвижимости, не соответствующие градостроительным нормам_00-022_Август/5f2de585-2e90-42ce-8cfc-763114115c59.jpg","open")</f>
        <v/>
      </c>
      <c r="C6775" t="inlineStr">
        <is>
          <t>685d9054-b74f-49ab-857b-109fd2cec80d</t>
        </is>
      </c>
      <c r="D6775" t="n">
        <v>55.53114</v>
      </c>
      <c r="E6775" t="n">
        <v>37.52226</v>
      </c>
      <c r="F6775" t="inlineStr"/>
      <c r="G6775" t="inlineStr"/>
      <c r="H6775" t="inlineStr"/>
    </row>
    <row r="6776">
      <c r="A6776" t="inlineStr">
        <is>
          <t>06acc71e-d987-466e-9a29-2138adb9edec.jpg</t>
        </is>
      </c>
      <c r="B6776">
        <f>HYPERLINK("Объекты недвижимости, не соответствующие градостроительным нормам_00-022_Август/06acc71e-d987-466e-9a29-2138adb9edec.jpg","open")</f>
        <v/>
      </c>
      <c r="C6776" t="inlineStr">
        <is>
          <t>1231bbc5-e64c-4dc7-9acc-77710f47607a</t>
        </is>
      </c>
      <c r="D6776" t="n">
        <v>55.53132</v>
      </c>
      <c r="E6776" t="n">
        <v>37.52368</v>
      </c>
      <c r="F6776" t="inlineStr"/>
      <c r="G6776" t="inlineStr"/>
      <c r="H6776" t="inlineStr"/>
    </row>
    <row r="6777">
      <c r="A6777" t="inlineStr">
        <is>
          <t>d13c1b46-f5c7-4e0c-8ecd-9bc38d684d3b.jpg</t>
        </is>
      </c>
      <c r="B6777">
        <f>HYPERLINK("Объекты недвижимости, не соответствующие градостроительным нормам_00-022_Август/d13c1b46-f5c7-4e0c-8ecd-9bc38d684d3b.jpg","open")</f>
        <v/>
      </c>
      <c r="C6777" t="inlineStr">
        <is>
          <t>685d9054-b74f-49ab-857b-109fd2cec80d</t>
        </is>
      </c>
      <c r="D6777" t="n">
        <v>55.53065</v>
      </c>
      <c r="E6777" t="n">
        <v>37.52212</v>
      </c>
      <c r="F6777" t="inlineStr"/>
      <c r="G6777" t="inlineStr"/>
      <c r="H6777" t="inlineStr"/>
    </row>
    <row r="6778">
      <c r="A6778" t="inlineStr">
        <is>
          <t>306e7fe3-20db-4a97-ad79-691616bfc627.jpg</t>
        </is>
      </c>
      <c r="B6778">
        <f>HYPERLINK("Объекты недвижимости, не соответствующие градостроительным нормам_00-022_Август/306e7fe3-20db-4a97-ad79-691616bfc627.jpg","open")</f>
        <v/>
      </c>
      <c r="C6778" t="inlineStr">
        <is>
          <t>31a713a9-b910-424b-b847-e0eaa2f70c70</t>
        </is>
      </c>
      <c r="D6778" t="n">
        <v>55.78235</v>
      </c>
      <c r="E6778" t="n">
        <v>37.69658</v>
      </c>
      <c r="F6778" t="inlineStr"/>
      <c r="G6778" t="inlineStr"/>
      <c r="H6778" t="inlineStr"/>
    </row>
    <row r="6779">
      <c r="A6779" t="inlineStr">
        <is>
          <t>188e6c0b-8cd1-4e6c-a123-1ac1d37190dc.jpg</t>
        </is>
      </c>
      <c r="B6779">
        <f>HYPERLINK("Объекты недвижимости, не соответствующие градостроительным нормам_00-022_Август/188e6c0b-8cd1-4e6c-a123-1ac1d37190dc.jpg","open")</f>
        <v/>
      </c>
      <c r="C6779" t="inlineStr">
        <is>
          <t>b0b7ea82-53be-40d0-b992-e2fd18611d5c</t>
        </is>
      </c>
      <c r="D6779" t="n">
        <v>55.69572</v>
      </c>
      <c r="E6779" t="n">
        <v>37.85226</v>
      </c>
      <c r="F6779" t="inlineStr"/>
      <c r="G6779" t="inlineStr"/>
      <c r="H6779" t="inlineStr"/>
    </row>
    <row r="6780">
      <c r="A6780" t="inlineStr">
        <is>
          <t>fb8dba39-b0c4-42bb-91f4-5b085b9d7294.jpg</t>
        </is>
      </c>
      <c r="B6780">
        <f>HYPERLINK("Объекты недвижимости, не соответствующие градостроительным нормам_00-022_Август/fb8dba39-b0c4-42bb-91f4-5b085b9d7294.jpg","open")</f>
        <v/>
      </c>
      <c r="C6780" t="inlineStr">
        <is>
          <t>ed2bf0f1-3a66-4913-896e-4420a9796c0b</t>
        </is>
      </c>
      <c r="D6780" t="n">
        <v>55.71685</v>
      </c>
      <c r="E6780" t="n">
        <v>37.69624</v>
      </c>
      <c r="F6780" t="inlineStr"/>
      <c r="G6780" t="inlineStr"/>
      <c r="H6780" t="inlineStr"/>
    </row>
    <row r="6781">
      <c r="A6781" t="inlineStr">
        <is>
          <t>e4257235-13c6-498f-aa5c-912100b3e51f.jpg</t>
        </is>
      </c>
      <c r="B6781">
        <f>HYPERLINK("Объекты недвижимости, не соответствующие градостроительным нормам_00-022_Август/e4257235-13c6-498f-aa5c-912100b3e51f.jpg","open")</f>
        <v/>
      </c>
      <c r="C6781" t="inlineStr">
        <is>
          <t>31a713a9-b910-424b-b847-e0eaa2f70c70</t>
        </is>
      </c>
      <c r="D6781" t="n">
        <v>55.77793</v>
      </c>
      <c r="E6781" t="n">
        <v>37.67492</v>
      </c>
      <c r="F6781" t="inlineStr"/>
      <c r="G6781" t="inlineStr"/>
      <c r="H6781" t="inlineStr"/>
    </row>
    <row r="6782">
      <c r="A6782" t="inlineStr">
        <is>
          <t>a00081f2-6412-412c-a3c3-e5809a687fdc.jpg</t>
        </is>
      </c>
      <c r="B6782">
        <f>HYPERLINK("Объекты недвижимости, не соответствующие градостроительным нормам_00-022_Август/a00081f2-6412-412c-a3c3-e5809a687fdc.jpg","open")</f>
        <v/>
      </c>
      <c r="C6782" t="inlineStr">
        <is>
          <t>685d9054-b74f-49ab-857b-109fd2cec80d</t>
        </is>
      </c>
      <c r="D6782" t="n">
        <v>55.53236</v>
      </c>
      <c r="E6782" t="n">
        <v>37.52583</v>
      </c>
      <c r="F6782" t="inlineStr"/>
      <c r="G6782" t="inlineStr"/>
      <c r="H6782" t="inlineStr"/>
    </row>
    <row r="6783">
      <c r="A6783" t="inlineStr">
        <is>
          <t>c6b6ff98-9c51-48a7-b873-ffcb9fe9434b.jpg</t>
        </is>
      </c>
      <c r="B6783">
        <f>HYPERLINK("Объекты недвижимости, не соответствующие градостроительным нормам_00-022_Август/c6b6ff98-9c51-48a7-b873-ffcb9fe9434b.jpg","open")</f>
        <v/>
      </c>
      <c r="C6783" t="inlineStr">
        <is>
          <t>1a55986c-2c3f-40c0-b3d1-014dce77832e</t>
        </is>
      </c>
      <c r="D6783" t="n">
        <v>55.71603</v>
      </c>
      <c r="E6783" t="n">
        <v>37.69783</v>
      </c>
      <c r="F6783" t="inlineStr"/>
      <c r="G6783" t="inlineStr"/>
      <c r="H6783" t="inlineStr"/>
    </row>
    <row r="6784">
      <c r="A6784" t="inlineStr">
        <is>
          <t>3b4fd403-6fc5-4308-995d-4c7e7c20fb3c.jpg</t>
        </is>
      </c>
      <c r="B6784">
        <f>HYPERLINK("Объекты недвижимости, не соответствующие градостроительным нормам_00-022_Август/3b4fd403-6fc5-4308-995d-4c7e7c20fb3c.jpg","open")</f>
        <v/>
      </c>
      <c r="C6784" t="inlineStr">
        <is>
          <t>685d9054-b74f-49ab-857b-109fd2cec80d</t>
        </is>
      </c>
      <c r="D6784" t="n">
        <v>55.53197</v>
      </c>
      <c r="E6784" t="n">
        <v>37.5256</v>
      </c>
      <c r="F6784" t="inlineStr"/>
      <c r="G6784" t="inlineStr"/>
      <c r="H6784" t="inlineStr"/>
    </row>
    <row r="6785">
      <c r="A6785" t="inlineStr">
        <is>
          <t>0409c22c-3d1e-4c90-9ccc-574d86056fc1.jpg</t>
        </is>
      </c>
      <c r="B6785">
        <f>HYPERLINK("Объекты недвижимости, не соответствующие градостроительным нормам_00-022_Август/0409c22c-3d1e-4c90-9ccc-574d86056fc1.jpg","open")</f>
        <v/>
      </c>
      <c r="C6785" t="inlineStr">
        <is>
          <t>1a55986c-2c3f-40c0-b3d1-014dce77832e</t>
        </is>
      </c>
      <c r="D6785" t="n">
        <v>55.71606</v>
      </c>
      <c r="E6785" t="n">
        <v>37.69832</v>
      </c>
      <c r="F6785" t="inlineStr"/>
      <c r="G6785" t="inlineStr"/>
      <c r="H6785" t="inlineStr"/>
    </row>
    <row r="6786">
      <c r="A6786" t="inlineStr">
        <is>
          <t>0244c425-92f9-4f13-94a1-84b91b948268.jpg</t>
        </is>
      </c>
      <c r="B6786">
        <f>HYPERLINK("Объекты недвижимости, не соответствующие градостроительным нормам_00-022_Август/0244c425-92f9-4f13-94a1-84b91b948268.jpg","open")</f>
        <v/>
      </c>
      <c r="C6786" t="inlineStr">
        <is>
          <t>685d9054-b74f-49ab-857b-109fd2cec80d</t>
        </is>
      </c>
      <c r="D6786" t="n">
        <v>55.53235</v>
      </c>
      <c r="E6786" t="n">
        <v>37.52581</v>
      </c>
      <c r="F6786" t="inlineStr"/>
      <c r="G6786" t="inlineStr"/>
      <c r="H6786" t="inlineStr"/>
    </row>
    <row r="6787">
      <c r="A6787" t="inlineStr">
        <is>
          <t>97579710-47fe-4e8d-85c7-ba74461890c6.jpg</t>
        </is>
      </c>
      <c r="B6787">
        <f>HYPERLINK("Объекты недвижимости, не соответствующие градостроительным нормам_00-022_Август/97579710-47fe-4e8d-85c7-ba74461890c6.jpg","open")</f>
        <v/>
      </c>
      <c r="C6787" t="inlineStr">
        <is>
          <t>1a55986c-2c3f-40c0-b3d1-014dce77832e</t>
        </is>
      </c>
      <c r="D6787" t="n">
        <v>55.71547</v>
      </c>
      <c r="E6787" t="n">
        <v>37.69602</v>
      </c>
      <c r="F6787" t="inlineStr"/>
      <c r="G6787" t="inlineStr"/>
      <c r="H6787" t="inlineStr"/>
    </row>
    <row r="6788">
      <c r="A6788" t="inlineStr">
        <is>
          <t>941301a6-f74c-461f-9cc4-634d72f2e4f7.jpg</t>
        </is>
      </c>
      <c r="B6788">
        <f>HYPERLINK("Объекты недвижимости, не соответствующие градостроительным нормам_00-022_Август/941301a6-f74c-461f-9cc4-634d72f2e4f7.jpg","open")</f>
        <v/>
      </c>
      <c r="C6788" t="inlineStr">
        <is>
          <t>1a55986c-2c3f-40c0-b3d1-014dce77832e</t>
        </is>
      </c>
      <c r="D6788" t="n">
        <v>55.71555</v>
      </c>
      <c r="E6788" t="n">
        <v>37.69706</v>
      </c>
      <c r="F6788" t="inlineStr"/>
      <c r="G6788" t="inlineStr"/>
      <c r="H6788" t="inlineStr"/>
    </row>
    <row r="6789">
      <c r="A6789" t="inlineStr">
        <is>
          <t>79ca9159-25dd-4a14-8fcd-6c9b0fcee4fb.jpg</t>
        </is>
      </c>
      <c r="B6789">
        <f>HYPERLINK("Объекты недвижимости, не соответствующие градостроительным нормам_00-022_Август/79ca9159-25dd-4a14-8fcd-6c9b0fcee4fb.jpg","open")</f>
        <v/>
      </c>
      <c r="C6789" t="inlineStr">
        <is>
          <t>ed2bf0f1-3a66-4913-896e-4420a9796c0b</t>
        </is>
      </c>
      <c r="D6789" t="n">
        <v>55.71423</v>
      </c>
      <c r="E6789" t="n">
        <v>37.69851</v>
      </c>
      <c r="F6789" t="inlineStr"/>
      <c r="G6789" t="inlineStr"/>
      <c r="H6789" t="inlineStr"/>
    </row>
    <row r="6790">
      <c r="A6790" t="inlineStr">
        <is>
          <t>6326173c-8b49-41d0-a619-fb8782b4654c.jpg</t>
        </is>
      </c>
      <c r="B6790">
        <f>HYPERLINK("Объекты недвижимости, не соответствующие градостроительным нормам_00-022_Август/6326173c-8b49-41d0-a619-fb8782b4654c.jpg","open")</f>
        <v/>
      </c>
      <c r="C6790" t="inlineStr">
        <is>
          <t>12e795ad-2aa7-49de-b2da-2c6aa35a4559</t>
        </is>
      </c>
      <c r="D6790" t="n">
        <v>55.66677</v>
      </c>
      <c r="E6790" t="n">
        <v>37.5766</v>
      </c>
      <c r="F6790" t="inlineStr"/>
      <c r="G6790" t="inlineStr"/>
      <c r="H6790" t="inlineStr"/>
    </row>
    <row r="6791">
      <c r="A6791" t="inlineStr">
        <is>
          <t>4f91812b-7755-477d-844f-21c279541ca3.jpg</t>
        </is>
      </c>
      <c r="B6791">
        <f>HYPERLINK("Объекты недвижимости, не соответствующие градостроительным нормам_00-022_Август/4f91812b-7755-477d-844f-21c279541ca3.jpg","open")</f>
        <v/>
      </c>
      <c r="C6791" t="inlineStr">
        <is>
          <t>685d9054-b74f-49ab-857b-109fd2cec80d</t>
        </is>
      </c>
      <c r="D6791" t="n">
        <v>55.53221</v>
      </c>
      <c r="E6791" t="n">
        <v>37.52631</v>
      </c>
      <c r="F6791" t="inlineStr"/>
      <c r="G6791" t="inlineStr"/>
      <c r="H6791" t="inlineStr"/>
    </row>
    <row r="6792">
      <c r="A6792" t="inlineStr">
        <is>
          <t>da10c5b1-fad1-4579-a5a9-e31778f526da.jpg</t>
        </is>
      </c>
      <c r="B6792">
        <f>HYPERLINK("Объекты недвижимости, не соответствующие градостроительным нормам_00-022_Август/da10c5b1-fad1-4579-a5a9-e31778f526da.jpg","open")</f>
        <v/>
      </c>
      <c r="C6792" t="inlineStr">
        <is>
          <t>685d9054-b74f-49ab-857b-109fd2cec80d</t>
        </is>
      </c>
      <c r="D6792" t="n">
        <v>55.53231</v>
      </c>
      <c r="E6792" t="n">
        <v>37.52582</v>
      </c>
      <c r="F6792" t="inlineStr"/>
      <c r="G6792" t="inlineStr"/>
      <c r="H6792" t="inlineStr"/>
    </row>
    <row r="6793">
      <c r="A6793" t="inlineStr">
        <is>
          <t>ed087625-fbee-452b-b0ef-6a21adbc52c9.jpg</t>
        </is>
      </c>
      <c r="B6793">
        <f>HYPERLINK("Объекты недвижимости, не соответствующие градостроительным нормам_00-022_Август/ed087625-fbee-452b-b0ef-6a21adbc52c9.jpg","open")</f>
        <v/>
      </c>
      <c r="C6793" t="inlineStr">
        <is>
          <t>685d9054-b74f-49ab-857b-109fd2cec80d</t>
        </is>
      </c>
      <c r="D6793" t="n">
        <v>55.53283</v>
      </c>
      <c r="E6793" t="n">
        <v>37.52436</v>
      </c>
      <c r="F6793" t="inlineStr"/>
      <c r="G6793" t="inlineStr"/>
      <c r="H6793" t="inlineStr"/>
    </row>
    <row r="6794">
      <c r="A6794" t="inlineStr">
        <is>
          <t>fb4b86ce-709b-40a2-a24d-1a8d7e439263.jpg</t>
        </is>
      </c>
      <c r="B6794">
        <f>HYPERLINK("Объекты недвижимости, не соответствующие градостроительным нормам_00-022_Август/fb4b86ce-709b-40a2-a24d-1a8d7e439263.jpg","open")</f>
        <v/>
      </c>
      <c r="C6794" t="inlineStr">
        <is>
          <t>b0429a31-0c70-4b9f-8ea5-73929d82f89e</t>
        </is>
      </c>
      <c r="D6794" t="n">
        <v>55.69183</v>
      </c>
      <c r="E6794" t="n">
        <v>37.53398</v>
      </c>
      <c r="F6794" t="inlineStr"/>
      <c r="G6794" t="inlineStr"/>
      <c r="H6794" t="inlineStr"/>
    </row>
    <row r="6795">
      <c r="A6795" t="inlineStr">
        <is>
          <t>ebcd955f-c8f6-44f9-8307-c2abfc117ac4.jpg</t>
        </is>
      </c>
      <c r="B6795">
        <f>HYPERLINK("Объекты недвижимости, не соответствующие градостроительным нормам_00-022_Август/ebcd955f-c8f6-44f9-8307-c2abfc117ac4.jpg","open")</f>
        <v/>
      </c>
      <c r="C6795" t="inlineStr">
        <is>
          <t>1a55986c-2c3f-40c0-b3d1-014dce77832e</t>
        </is>
      </c>
      <c r="D6795" t="n">
        <v>55.70909</v>
      </c>
      <c r="E6795" t="n">
        <v>37.70098</v>
      </c>
      <c r="F6795" t="inlineStr"/>
      <c r="G6795" t="inlineStr"/>
      <c r="H6795" t="inlineStr"/>
    </row>
    <row r="6796">
      <c r="A6796" t="inlineStr">
        <is>
          <t>3da04383-49b0-4073-9eec-41435471e315.jpg</t>
        </is>
      </c>
      <c r="B6796">
        <f>HYPERLINK("Объекты недвижимости, не соответствующие градостроительным нормам_00-022_Август/3da04383-49b0-4073-9eec-41435471e315.jpg","open")</f>
        <v/>
      </c>
      <c r="C6796" t="inlineStr">
        <is>
          <t>8cde1fd0-eca1-4510-86ab-3c743b65fdfc</t>
        </is>
      </c>
      <c r="D6796" t="n">
        <v>55.81628</v>
      </c>
      <c r="E6796" t="n">
        <v>37.655</v>
      </c>
      <c r="F6796" t="inlineStr"/>
      <c r="G6796" t="inlineStr"/>
      <c r="H6796" t="inlineStr"/>
    </row>
    <row r="6797">
      <c r="A6797" t="inlineStr">
        <is>
          <t>01d0d255-76d1-49b6-803c-9e463d278eb1.jpg</t>
        </is>
      </c>
      <c r="B6797">
        <f>HYPERLINK("Объекты недвижимости, не соответствующие градостроительным нормам_00-022_Август/01d0d255-76d1-49b6-803c-9e463d278eb1.jpg","open")</f>
        <v/>
      </c>
      <c r="C6797" t="inlineStr">
        <is>
          <t>1231bbc5-e64c-4dc7-9acc-77710f47607a</t>
        </is>
      </c>
      <c r="D6797" t="n">
        <v>55.53296</v>
      </c>
      <c r="E6797" t="n">
        <v>37.52713</v>
      </c>
      <c r="F6797" t="inlineStr"/>
      <c r="G6797" t="inlineStr"/>
      <c r="H6797" t="inlineStr"/>
    </row>
    <row r="6798">
      <c r="A6798" t="inlineStr">
        <is>
          <t>03577262-dbe1-46b5-b2b5-46dc0713b970.jpg</t>
        </is>
      </c>
      <c r="B6798">
        <f>HYPERLINK("Объекты недвижимости, не соответствующие градостроительным нормам_00-022_Август/03577262-dbe1-46b5-b2b5-46dc0713b970.jpg","open")</f>
        <v/>
      </c>
      <c r="C6798" t="inlineStr">
        <is>
          <t>685d9054-b74f-49ab-857b-109fd2cec80d</t>
        </is>
      </c>
      <c r="D6798" t="n">
        <v>55.53316</v>
      </c>
      <c r="E6798" t="n">
        <v>37.52694</v>
      </c>
      <c r="F6798" t="inlineStr"/>
      <c r="G6798" t="inlineStr"/>
      <c r="H6798" t="inlineStr"/>
    </row>
    <row r="6799">
      <c r="A6799" t="inlineStr">
        <is>
          <t>e1949135-792c-42b3-9aa0-082a6da3bbde.jpg</t>
        </is>
      </c>
      <c r="B6799">
        <f>HYPERLINK("Объекты недвижимости, не соответствующие градостроительным нормам_00-022_Август/e1949135-792c-42b3-9aa0-082a6da3bbde.jpg","open")</f>
        <v/>
      </c>
      <c r="C6799" t="inlineStr">
        <is>
          <t>1231bbc5-e64c-4dc7-9acc-77710f47607a</t>
        </is>
      </c>
      <c r="D6799" t="n">
        <v>55.53316</v>
      </c>
      <c r="E6799" t="n">
        <v>37.52694</v>
      </c>
      <c r="F6799" t="inlineStr"/>
      <c r="G6799" t="inlineStr"/>
      <c r="H6799" t="inlineStr"/>
    </row>
    <row r="6800">
      <c r="A6800" t="inlineStr">
        <is>
          <t>b7cb13cf-b7ab-438c-9fc8-54b0ea826527.jpg</t>
        </is>
      </c>
      <c r="B6800">
        <f>HYPERLINK("Объекты недвижимости, не соответствующие градостроительным нормам_00-022_Август/b7cb13cf-b7ab-438c-9fc8-54b0ea826527.jpg","open")</f>
        <v/>
      </c>
      <c r="C6800" t="inlineStr">
        <is>
          <t>8cde1fd0-eca1-4510-86ab-3c743b65fdfc</t>
        </is>
      </c>
      <c r="D6800" t="n">
        <v>55.81693</v>
      </c>
      <c r="E6800" t="n">
        <v>37.66207</v>
      </c>
      <c r="F6800" t="inlineStr"/>
      <c r="G6800" t="inlineStr"/>
      <c r="H6800" t="inlineStr"/>
    </row>
    <row r="6801">
      <c r="A6801" t="inlineStr">
        <is>
          <t>f9b9b6b0-537d-4aec-b963-4237fe67d125.jpg</t>
        </is>
      </c>
      <c r="B6801">
        <f>HYPERLINK("Объекты недвижимости, не соответствующие градостроительным нормам_00-022_Август/f9b9b6b0-537d-4aec-b963-4237fe67d125.jpg","open")</f>
        <v/>
      </c>
      <c r="C6801" t="inlineStr">
        <is>
          <t>685d9054-b74f-49ab-857b-109fd2cec80d</t>
        </is>
      </c>
      <c r="D6801" t="n">
        <v>55.52948</v>
      </c>
      <c r="E6801" t="n">
        <v>37.52021</v>
      </c>
      <c r="F6801" t="inlineStr"/>
      <c r="G6801" t="inlineStr"/>
      <c r="H6801" t="inlineStr"/>
    </row>
    <row r="6802">
      <c r="A6802" t="inlineStr">
        <is>
          <t>978f8c72-451c-4d15-9ec1-f651905c1dc8.jpg</t>
        </is>
      </c>
      <c r="B6802">
        <f>HYPERLINK("Объекты недвижимости, не соответствующие градостроительным нормам_00-022_Август/978f8c72-451c-4d15-9ec1-f651905c1dc8.jpg","open")</f>
        <v/>
      </c>
      <c r="C6802" t="inlineStr">
        <is>
          <t>dd22c7c9-0046-46d8-8631-55150dbf8ae5</t>
        </is>
      </c>
      <c r="D6802" t="n">
        <v>55.97946</v>
      </c>
      <c r="E6802" t="n">
        <v>37.40312</v>
      </c>
      <c r="F6802" t="inlineStr"/>
      <c r="G6802" t="inlineStr"/>
      <c r="H6802" t="inlineStr"/>
    </row>
    <row r="6803">
      <c r="A6803" t="inlineStr">
        <is>
          <t>1594f8e9-37f4-4770-99ce-c8cab0d3a55d.jpg</t>
        </is>
      </c>
      <c r="B6803">
        <f>HYPERLINK("Объекты недвижимости, не соответствующие градостроительным нормам_00-022_Август/1594f8e9-37f4-4770-99ce-c8cab0d3a55d.jpg","open")</f>
        <v/>
      </c>
      <c r="C6803" t="inlineStr">
        <is>
          <t>1c951e11-4940-43c6-a447-394097e5609a</t>
        </is>
      </c>
      <c r="D6803" t="n">
        <v>55.81366</v>
      </c>
      <c r="E6803" t="n">
        <v>37.66037</v>
      </c>
      <c r="F6803" t="inlineStr"/>
      <c r="G6803" t="inlineStr"/>
      <c r="H6803" t="inlineStr"/>
    </row>
    <row r="6804">
      <c r="A6804" t="inlineStr">
        <is>
          <t>8c11e715-0ed1-4e11-9688-da12ec47de53.jpg</t>
        </is>
      </c>
      <c r="B6804">
        <f>HYPERLINK("Объекты недвижимости, не соответствующие градостроительным нормам_00-022_Август/8c11e715-0ed1-4e11-9688-da12ec47de53.jpg","open")</f>
        <v/>
      </c>
      <c r="C6804" t="inlineStr">
        <is>
          <t>48b533d5-d106-4175-ac9b-d5ce8d90cccf</t>
        </is>
      </c>
      <c r="D6804" t="n">
        <v>55.70186</v>
      </c>
      <c r="E6804" t="n">
        <v>37.62291</v>
      </c>
      <c r="F6804" t="inlineStr"/>
      <c r="G6804" t="inlineStr"/>
      <c r="H6804" t="inlineStr"/>
    </row>
    <row r="6805">
      <c r="A6805" t="inlineStr">
        <is>
          <t>d27c7628-4371-42cf-b030-231c2ea224a9.jpg</t>
        </is>
      </c>
      <c r="B6805">
        <f>HYPERLINK("Объекты недвижимости, не соответствующие градостроительным нормам_00-022_Август/d27c7628-4371-42cf-b030-231c2ea224a9.jpg","open")</f>
        <v/>
      </c>
      <c r="C6805" t="inlineStr">
        <is>
          <t>1231bbc5-e64c-4dc7-9acc-77710f47607a</t>
        </is>
      </c>
      <c r="D6805" t="n">
        <v>55.53342</v>
      </c>
      <c r="E6805" t="n">
        <v>37.53201</v>
      </c>
      <c r="F6805" t="inlineStr"/>
      <c r="G6805" t="inlineStr"/>
      <c r="H6805" t="inlineStr"/>
    </row>
    <row r="6806">
      <c r="A6806" t="inlineStr">
        <is>
          <t>6e9e8568-c2ad-4f76-b9a3-6b08ee395a4a.jpg</t>
        </is>
      </c>
      <c r="B6806">
        <f>HYPERLINK("Объекты недвижимости, не соответствующие градостроительным нормам_00-022_Август/6e9e8568-c2ad-4f76-b9a3-6b08ee395a4a.jpg","open")</f>
        <v/>
      </c>
      <c r="C6806" t="inlineStr">
        <is>
          <t>685d9054-b74f-49ab-857b-109fd2cec80d</t>
        </is>
      </c>
      <c r="D6806" t="n">
        <v>55.5338</v>
      </c>
      <c r="E6806" t="n">
        <v>37.53224</v>
      </c>
      <c r="F6806" t="inlineStr"/>
      <c r="G6806" t="inlineStr"/>
      <c r="H6806" t="inlineStr"/>
    </row>
    <row r="6807">
      <c r="A6807" t="inlineStr">
        <is>
          <t>3ca75bb7-4cfa-4066-8c5c-ab028d044bfd.jpg</t>
        </is>
      </c>
      <c r="B6807">
        <f>HYPERLINK("Объекты недвижимости, не соответствующие градостроительным нормам_00-022_Август/3ca75bb7-4cfa-4066-8c5c-ab028d044bfd.jpg","open")</f>
        <v/>
      </c>
      <c r="C6807" t="inlineStr">
        <is>
          <t>1231bbc5-e64c-4dc7-9acc-77710f47607a</t>
        </is>
      </c>
      <c r="D6807" t="n">
        <v>55.53487</v>
      </c>
      <c r="E6807" t="n">
        <v>37.5346</v>
      </c>
      <c r="F6807" t="inlineStr"/>
      <c r="G6807" t="inlineStr"/>
      <c r="H6807" t="inlineStr"/>
    </row>
    <row r="6808">
      <c r="A6808" t="inlineStr">
        <is>
          <t>0a8d60a1-39c6-42fa-9172-8a167a439f30.jpg</t>
        </is>
      </c>
      <c r="B6808">
        <f>HYPERLINK("Объекты недвижимости, не соответствующие градостроительным нормам_00-022_Август/0a8d60a1-39c6-42fa-9172-8a167a439f30.jpg","open")</f>
        <v/>
      </c>
      <c r="C6808" t="inlineStr">
        <is>
          <t>dd22c7c9-0046-46d8-8631-55150dbf8ae5</t>
        </is>
      </c>
      <c r="D6808" t="n">
        <v>55.97946</v>
      </c>
      <c r="E6808" t="n">
        <v>37.40312</v>
      </c>
      <c r="F6808" t="inlineStr"/>
      <c r="G6808" t="inlineStr"/>
      <c r="H6808" t="inlineStr"/>
    </row>
    <row r="6809">
      <c r="A6809" t="inlineStr">
        <is>
          <t>c75d72ec-67fe-4793-bab5-b976cd476894.jpg</t>
        </is>
      </c>
      <c r="B6809">
        <f>HYPERLINK("Объекты недвижимости, не соответствующие градостроительным нормам_00-022_Август/c75d72ec-67fe-4793-bab5-b976cd476894.jpg","open")</f>
        <v/>
      </c>
      <c r="C6809" t="inlineStr">
        <is>
          <t>b0429a31-0c70-4b9f-8ea5-73929d82f89e</t>
        </is>
      </c>
      <c r="D6809" t="n">
        <v>55.68385</v>
      </c>
      <c r="E6809" t="n">
        <v>38.50923</v>
      </c>
      <c r="F6809" t="inlineStr"/>
      <c r="G6809" t="inlineStr"/>
      <c r="H6809" t="inlineStr"/>
    </row>
    <row r="6810">
      <c r="A6810" t="inlineStr">
        <is>
          <t>e4b39f10-1c3f-4cfd-98ab-516263904148.jpg</t>
        </is>
      </c>
      <c r="B6810">
        <f>HYPERLINK("Объекты недвижимости, не соответствующие градостроительным нормам_00-022_Август/e4b39f10-1c3f-4cfd-98ab-516263904148.jpg","open")</f>
        <v/>
      </c>
      <c r="C6810" t="inlineStr">
        <is>
          <t>99f3abba-c55b-49f0-9de5-9f88e9597cc0</t>
        </is>
      </c>
      <c r="D6810" t="n">
        <v>55.67489</v>
      </c>
      <c r="E6810" t="n">
        <v>38.51493</v>
      </c>
      <c r="F6810" t="inlineStr"/>
      <c r="G6810" t="inlineStr"/>
      <c r="H6810" t="inlineStr"/>
    </row>
    <row r="6811">
      <c r="A6811" t="inlineStr">
        <is>
          <t>fdb262a0-29cc-4a56-ae5f-9100461c8d47.jpg</t>
        </is>
      </c>
      <c r="B6811">
        <f>HYPERLINK("Объекты недвижимости, не соответствующие градостроительным нормам_00-022_Август/fdb262a0-29cc-4a56-ae5f-9100461c8d47.jpg","open")</f>
        <v/>
      </c>
      <c r="C6811" t="inlineStr">
        <is>
          <t>ffd931da-542f-43e9-979f-5552b17fe3dc</t>
        </is>
      </c>
      <c r="D6811" t="n">
        <v>55.76018</v>
      </c>
      <c r="E6811" t="n">
        <v>37.77499</v>
      </c>
      <c r="F6811" t="inlineStr"/>
      <c r="G6811" t="inlineStr"/>
      <c r="H6811" t="inlineStr"/>
    </row>
    <row r="6812">
      <c r="A6812" t="inlineStr">
        <is>
          <t>2aa7e220-779e-4e87-a96c-a15a1d38a85c.jpg</t>
        </is>
      </c>
      <c r="B6812">
        <f>HYPERLINK("Объекты недвижимости, не соответствующие градостроительным нормам_00-022_Август/2aa7e220-779e-4e87-a96c-a15a1d38a85c.jpg","open")</f>
        <v/>
      </c>
      <c r="C6812" t="inlineStr">
        <is>
          <t>8cde1fd0-eca1-4510-86ab-3c743b65fdfc</t>
        </is>
      </c>
      <c r="D6812" t="n">
        <v>55.82221</v>
      </c>
      <c r="E6812" t="n">
        <v>37.64861</v>
      </c>
      <c r="F6812" t="inlineStr"/>
      <c r="G6812" t="inlineStr"/>
      <c r="H6812" t="inlineStr"/>
    </row>
    <row r="6813">
      <c r="A6813" t="inlineStr">
        <is>
          <t>400254da-0947-42ed-be67-b1e3734af401.jpg</t>
        </is>
      </c>
      <c r="B6813">
        <f>HYPERLINK("Объекты недвижимости, не соответствующие градостроительным нормам_00-022_Август/400254da-0947-42ed-be67-b1e3734af401.jpg","open")</f>
        <v/>
      </c>
      <c r="C6813" t="inlineStr">
        <is>
          <t>dd22c7c9-0046-46d8-8631-55150dbf8ae5</t>
        </is>
      </c>
      <c r="D6813" t="n">
        <v>55.97946</v>
      </c>
      <c r="E6813" t="n">
        <v>37.40312</v>
      </c>
      <c r="F6813" t="inlineStr"/>
      <c r="G6813" t="inlineStr"/>
      <c r="H6813" t="inlineStr"/>
    </row>
    <row r="6814">
      <c r="A6814" t="inlineStr">
        <is>
          <t>455204f0-1657-4466-b282-fdf47b8519c1.jpg</t>
        </is>
      </c>
      <c r="B6814">
        <f>HYPERLINK("Объекты недвижимости, не соответствующие градостроительным нормам_00-022_Август/455204f0-1657-4466-b282-fdf47b8519c1.jpg","open")</f>
        <v/>
      </c>
      <c r="C6814" t="inlineStr">
        <is>
          <t>1c951e11-4940-43c6-a447-394097e5609a</t>
        </is>
      </c>
      <c r="D6814" t="n">
        <v>55.82126</v>
      </c>
      <c r="E6814" t="n">
        <v>37.64712</v>
      </c>
      <c r="F6814" t="inlineStr"/>
      <c r="G6814" t="inlineStr"/>
      <c r="H6814" t="inlineStr"/>
    </row>
    <row r="6815">
      <c r="A6815" t="inlineStr">
        <is>
          <t>d2465641-d678-4a5c-963e-39c3ea7d80c9.jpg</t>
        </is>
      </c>
      <c r="B6815">
        <f>HYPERLINK("Объекты недвижимости, не соответствующие градостроительным нормам_00-022_Август/d2465641-d678-4a5c-963e-39c3ea7d80c9.jpg","open")</f>
        <v/>
      </c>
      <c r="C6815" t="inlineStr">
        <is>
          <t>8cde1fd0-eca1-4510-86ab-3c743b65fdfc</t>
        </is>
      </c>
      <c r="D6815" t="n">
        <v>55.82126</v>
      </c>
      <c r="E6815" t="n">
        <v>37.64712</v>
      </c>
      <c r="F6815" t="inlineStr"/>
      <c r="G6815" t="inlineStr"/>
      <c r="H6815" t="inlineStr"/>
    </row>
    <row r="6816">
      <c r="A6816" t="inlineStr">
        <is>
          <t>3d254936-74a6-4ad6-9ecc-821c3cf920a2.jpg</t>
        </is>
      </c>
      <c r="B6816">
        <f>HYPERLINK("Объекты недвижимости, не соответствующие градостроительным нормам_00-022_Август/3d254936-74a6-4ad6-9ecc-821c3cf920a2.jpg","open")</f>
        <v/>
      </c>
      <c r="C6816" t="inlineStr">
        <is>
          <t>b0b7ea82-53be-40d0-b992-e2fd18611d5c</t>
        </is>
      </c>
      <c r="D6816" t="n">
        <v>55.69738</v>
      </c>
      <c r="E6816" t="n">
        <v>37.85281</v>
      </c>
      <c r="F6816" t="inlineStr"/>
      <c r="G6816" t="inlineStr"/>
      <c r="H6816" t="inlineStr"/>
    </row>
    <row r="6817">
      <c r="A6817" t="inlineStr">
        <is>
          <t>133bd836-78cc-400d-837e-b03cbf404fe6.jpg</t>
        </is>
      </c>
      <c r="B6817">
        <f>HYPERLINK("Объекты недвижимости, не соответствующие градостроительным нормам_00-022_Август/133bd836-78cc-400d-837e-b03cbf404fe6.jpg","open")</f>
        <v/>
      </c>
      <c r="C6817" t="inlineStr">
        <is>
          <t>8cde1fd0-eca1-4510-86ab-3c743b65fdfc</t>
        </is>
      </c>
      <c r="D6817" t="n">
        <v>55.82345</v>
      </c>
      <c r="E6817" t="n">
        <v>37.64658</v>
      </c>
      <c r="F6817" t="inlineStr"/>
      <c r="G6817" t="inlineStr"/>
      <c r="H6817" t="inlineStr"/>
    </row>
    <row r="6818">
      <c r="A6818" t="inlineStr">
        <is>
          <t>041f160e-1ba4-4ee7-8566-9125006281f9.jpg</t>
        </is>
      </c>
      <c r="B6818">
        <f>HYPERLINK("Объекты недвижимости, не соответствующие градостроительным нормам_00-022_Август/041f160e-1ba4-4ee7-8566-9125006281f9.jpg","open")</f>
        <v/>
      </c>
      <c r="C6818" t="inlineStr">
        <is>
          <t>b0429a31-0c70-4b9f-8ea5-73929d82f89e</t>
        </is>
      </c>
      <c r="D6818" t="n">
        <v>55.61424</v>
      </c>
      <c r="E6818" t="n">
        <v>37.76015</v>
      </c>
      <c r="F6818" t="inlineStr"/>
      <c r="G6818" t="inlineStr"/>
      <c r="H6818" t="inlineStr"/>
    </row>
    <row r="6819">
      <c r="A6819" t="inlineStr">
        <is>
          <t>726850d9-864d-473a-ae30-6acb5729f767.jpg</t>
        </is>
      </c>
      <c r="B6819">
        <f>HYPERLINK("Объекты недвижимости, не соответствующие градостроительным нормам_00-022_Август/726850d9-864d-473a-ae30-6acb5729f767.jpg","open")</f>
        <v/>
      </c>
      <c r="C6819" t="inlineStr">
        <is>
          <t>ed2bf0f1-3a66-4913-896e-4420a9796c0b</t>
        </is>
      </c>
      <c r="D6819" t="n">
        <v>55.72453</v>
      </c>
      <c r="E6819" t="n">
        <v>37.73767</v>
      </c>
      <c r="F6819" t="inlineStr"/>
      <c r="G6819" t="inlineStr"/>
      <c r="H6819" t="inlineStr"/>
    </row>
    <row r="6820">
      <c r="A6820" t="inlineStr">
        <is>
          <t>2106b6bf-4666-491e-984d-00e4841dbb56.jpg</t>
        </is>
      </c>
      <c r="B6820">
        <f>HYPERLINK("Объекты недвижимости, не соответствующие градостроительным нормам_00-022_Август/2106b6bf-4666-491e-984d-00e4841dbb56.jpg","open")</f>
        <v/>
      </c>
      <c r="C6820" t="inlineStr">
        <is>
          <t>789f6c51-64ee-4078-b7bd-443af8b8b68a</t>
        </is>
      </c>
      <c r="D6820" t="n">
        <v>55.86145</v>
      </c>
      <c r="E6820" t="n">
        <v>37.59684</v>
      </c>
      <c r="F6820" t="inlineStr"/>
      <c r="G6820" t="inlineStr"/>
      <c r="H6820" t="inlineStr"/>
    </row>
    <row r="6821">
      <c r="A6821" t="inlineStr">
        <is>
          <t>2e7859b5-f225-48ec-b5f7-19724eb0bff6.jpg</t>
        </is>
      </c>
      <c r="B6821">
        <f>HYPERLINK("Объекты недвижимости, не соответствующие градостроительным нормам_00-022_Август/2e7859b5-f225-48ec-b5f7-19724eb0bff6.jpg","open")</f>
        <v/>
      </c>
      <c r="C6821" t="inlineStr">
        <is>
          <t>2acfb2da-e3f6-464c-bd17-4b713522c142</t>
        </is>
      </c>
      <c r="D6821" t="n">
        <v>55.86146</v>
      </c>
      <c r="E6821" t="n">
        <v>37.59684</v>
      </c>
      <c r="F6821" t="inlineStr"/>
      <c r="G6821" t="inlineStr"/>
      <c r="H6821" t="inlineStr"/>
    </row>
    <row r="6822">
      <c r="A6822" t="inlineStr">
        <is>
          <t>0c02520f-bd5b-4a4f-80bf-99572b19e372.jpg</t>
        </is>
      </c>
      <c r="B6822">
        <f>HYPERLINK("Объекты недвижимости, не соответствующие градостроительным нормам_00-022_Август/0c02520f-bd5b-4a4f-80bf-99572b19e372.jpg","open")</f>
        <v/>
      </c>
      <c r="C6822" t="inlineStr">
        <is>
          <t>ed2bf0f1-3a66-4913-896e-4420a9796c0b</t>
        </is>
      </c>
      <c r="D6822" t="n">
        <v>55.72509</v>
      </c>
      <c r="E6822" t="n">
        <v>37.73766</v>
      </c>
      <c r="F6822" t="inlineStr"/>
      <c r="G6822" t="inlineStr"/>
      <c r="H6822" t="inlineStr"/>
    </row>
    <row r="6823">
      <c r="A6823" t="inlineStr">
        <is>
          <t>dec23fdb-1030-4a8e-a2ae-b1fe376dc1fd.jpg</t>
        </is>
      </c>
      <c r="B6823">
        <f>HYPERLINK("Объекты недвижимости, не соответствующие градостроительным нормам_00-022_Август/dec23fdb-1030-4a8e-a2ae-b1fe376dc1fd.jpg","open")</f>
        <v/>
      </c>
      <c r="C6823" t="inlineStr">
        <is>
          <t>1a55986c-2c3f-40c0-b3d1-014dce77832e</t>
        </is>
      </c>
      <c r="D6823" t="n">
        <v>55.72327</v>
      </c>
      <c r="E6823" t="n">
        <v>37.73401</v>
      </c>
      <c r="F6823" t="inlineStr"/>
      <c r="G6823" t="inlineStr"/>
      <c r="H6823" t="inlineStr"/>
    </row>
    <row r="6824">
      <c r="A6824" t="inlineStr">
        <is>
          <t>f629fda4-de51-4413-ae88-a659579b3d70.jpg</t>
        </is>
      </c>
      <c r="B6824">
        <f>HYPERLINK("Объекты недвижимости, не соответствующие градостроительным нормам_00-022_Август/f629fda4-de51-4413-ae88-a659579b3d70.jpg","open")</f>
        <v/>
      </c>
      <c r="C6824" t="inlineStr">
        <is>
          <t>ed2bf0f1-3a66-4913-896e-4420a9796c0b</t>
        </is>
      </c>
      <c r="D6824" t="n">
        <v>55.72327</v>
      </c>
      <c r="E6824" t="n">
        <v>37.73401</v>
      </c>
      <c r="F6824" t="inlineStr"/>
      <c r="G6824" t="inlineStr"/>
      <c r="H6824" t="inlineStr"/>
    </row>
    <row r="6825">
      <c r="A6825" t="inlineStr">
        <is>
          <t>69b98cf4-4d92-4007-82a7-ced8037d9049.jpg</t>
        </is>
      </c>
      <c r="B6825">
        <f>HYPERLINK("Объекты недвижимости, не соответствующие градостроительным нормам_00-022_Август/69b98cf4-4d92-4007-82a7-ced8037d9049.jpg","open")</f>
        <v/>
      </c>
      <c r="C6825" t="inlineStr">
        <is>
          <t>685d9054-b74f-49ab-857b-109fd2cec80d</t>
        </is>
      </c>
      <c r="D6825" t="n">
        <v>55.53633</v>
      </c>
      <c r="E6825" t="n">
        <v>37.54079</v>
      </c>
      <c r="F6825" t="inlineStr"/>
      <c r="G6825" t="inlineStr"/>
      <c r="H6825" t="inlineStr"/>
    </row>
    <row r="6826">
      <c r="A6826" t="inlineStr">
        <is>
          <t>211a1600-02ba-4498-863f-bfddb9987c55.jpg</t>
        </is>
      </c>
      <c r="B6826">
        <f>HYPERLINK("Объекты недвижимости, не соответствующие градостроительным нормам_00-022_Август/211a1600-02ba-4498-863f-bfddb9987c55.jpg","open")</f>
        <v/>
      </c>
      <c r="C6826" t="inlineStr">
        <is>
          <t>685d9054-b74f-49ab-857b-109fd2cec80d</t>
        </is>
      </c>
      <c r="D6826" t="n">
        <v>55.53932</v>
      </c>
      <c r="E6826" t="n">
        <v>37.54399</v>
      </c>
      <c r="F6826" t="inlineStr"/>
      <c r="G6826" t="inlineStr"/>
      <c r="H6826" t="inlineStr"/>
    </row>
    <row r="6827">
      <c r="A6827" t="inlineStr">
        <is>
          <t>d3961961-40e5-4a30-b6c3-8cd1cf0b0124.jpg</t>
        </is>
      </c>
      <c r="B6827">
        <f>HYPERLINK("Объекты недвижимости, не соответствующие градостроительным нормам_00-022_Август/d3961961-40e5-4a30-b6c3-8cd1cf0b0124.jpg","open")</f>
        <v/>
      </c>
      <c r="C6827" t="inlineStr">
        <is>
          <t>685d9054-b74f-49ab-857b-109fd2cec80d</t>
        </is>
      </c>
      <c r="D6827" t="n">
        <v>55.55357</v>
      </c>
      <c r="E6827" t="n">
        <v>37.55953</v>
      </c>
      <c r="F6827" t="inlineStr"/>
      <c r="G6827" t="inlineStr"/>
      <c r="H6827" t="inlineStr"/>
    </row>
    <row r="6828">
      <c r="A6828" t="inlineStr">
        <is>
          <t>707b65de-ef27-4ca0-99b0-1a1217f89f2b.jpg</t>
        </is>
      </c>
      <c r="B6828">
        <f>HYPERLINK("Объекты недвижимости, не соответствующие градостроительным нормам_00-022_Август/707b65de-ef27-4ca0-99b0-1a1217f89f2b.jpg","open")</f>
        <v/>
      </c>
      <c r="C6828" t="inlineStr">
        <is>
          <t>93848fc8-17e7-4748-9ebc-c7e379e11d2f</t>
        </is>
      </c>
      <c r="D6828" t="n">
        <v>55.75264</v>
      </c>
      <c r="E6828" t="n">
        <v>37.57889</v>
      </c>
      <c r="F6828" t="inlineStr"/>
      <c r="G6828" t="inlineStr"/>
      <c r="H6828" t="inlineStr"/>
    </row>
    <row r="6829">
      <c r="A6829" t="inlineStr">
        <is>
          <t>4e8a6341-7444-4f40-a9d7-eb55dd8fef40.jpg</t>
        </is>
      </c>
      <c r="B6829">
        <f>HYPERLINK("Объекты недвижимости, не соответствующие градостроительным нормам_00-022_Август/4e8a6341-7444-4f40-a9d7-eb55dd8fef40.jpg","open")</f>
        <v/>
      </c>
      <c r="C6829" t="inlineStr">
        <is>
          <t>685d9054-b74f-49ab-857b-109fd2cec80d</t>
        </is>
      </c>
      <c r="D6829" t="n">
        <v>55.55379</v>
      </c>
      <c r="E6829" t="n">
        <v>37.56305</v>
      </c>
      <c r="F6829" t="inlineStr"/>
      <c r="G6829" t="inlineStr"/>
      <c r="H6829" t="inlineStr"/>
    </row>
    <row r="6830">
      <c r="A6830" t="inlineStr">
        <is>
          <t>f4d5ca32-c0ef-4b5b-b1d3-49ef9c884cbf.jpg</t>
        </is>
      </c>
      <c r="B6830">
        <f>HYPERLINK("Объекты недвижимости, не соответствующие градостроительным нормам_00-022_Август/f4d5ca32-c0ef-4b5b-b1d3-49ef9c884cbf.jpg","open")</f>
        <v/>
      </c>
      <c r="C6830" t="inlineStr">
        <is>
          <t>8cde1fd0-eca1-4510-86ab-3c743b65fdfc</t>
        </is>
      </c>
      <c r="D6830" t="n">
        <v>55.82322</v>
      </c>
      <c r="E6830" t="n">
        <v>37.6579</v>
      </c>
      <c r="F6830" t="inlineStr"/>
      <c r="G6830" t="inlineStr"/>
      <c r="H6830" t="inlineStr"/>
    </row>
    <row r="6831">
      <c r="A6831" t="inlineStr">
        <is>
          <t>1e368778-c089-4e80-8063-811fe54bff16.jpg</t>
        </is>
      </c>
      <c r="B6831">
        <f>HYPERLINK("Объекты недвижимости, не соответствующие градостроительным нормам_00-022_Август/1e368778-c089-4e80-8063-811fe54bff16.jpg","open")</f>
        <v/>
      </c>
      <c r="C6831" t="inlineStr">
        <is>
          <t>1c951e11-4940-43c6-a447-394097e5609a</t>
        </is>
      </c>
      <c r="D6831" t="n">
        <v>55.82462</v>
      </c>
      <c r="E6831" t="n">
        <v>37.65921</v>
      </c>
      <c r="F6831" t="inlineStr"/>
      <c r="G6831" t="inlineStr"/>
      <c r="H6831" t="inlineStr"/>
    </row>
    <row r="6832">
      <c r="A6832" t="inlineStr">
        <is>
          <t>193d320e-ab7e-43b1-ab9d-8b8d2dda4b42.jpg</t>
        </is>
      </c>
      <c r="B6832">
        <f>HYPERLINK("Объекты недвижимости, не соответствующие градостроительным нормам_00-022_Август/193d320e-ab7e-43b1-ab9d-8b8d2dda4b42.jpg","open")</f>
        <v/>
      </c>
      <c r="C6832" t="inlineStr">
        <is>
          <t>1c951e11-4940-43c6-a447-394097e5609a</t>
        </is>
      </c>
      <c r="D6832" t="n">
        <v>55.82573</v>
      </c>
      <c r="E6832" t="n">
        <v>37.66022</v>
      </c>
      <c r="F6832" t="inlineStr"/>
      <c r="G6832" t="inlineStr"/>
      <c r="H6832" t="inlineStr"/>
    </row>
    <row r="6833">
      <c r="A6833" t="inlineStr">
        <is>
          <t>e2fb813f-4ca1-4014-8da0-f9c55b4aa511.jpg</t>
        </is>
      </c>
      <c r="B6833">
        <f>HYPERLINK("Объекты недвижимости, не соответствующие градостроительным нормам_00-022_Август/e2fb813f-4ca1-4014-8da0-f9c55b4aa511.jpg","open")</f>
        <v/>
      </c>
      <c r="C6833" t="inlineStr">
        <is>
          <t>8cde1fd0-eca1-4510-86ab-3c743b65fdfc</t>
        </is>
      </c>
      <c r="D6833" t="n">
        <v>55.82587</v>
      </c>
      <c r="E6833" t="n">
        <v>37.66029</v>
      </c>
      <c r="F6833" t="inlineStr"/>
      <c r="G6833" t="inlineStr"/>
      <c r="H6833" t="inlineStr"/>
    </row>
    <row r="6834">
      <c r="A6834" t="inlineStr">
        <is>
          <t>74ceee96-c5b6-438f-9db4-dfb3d36362a9.jpg</t>
        </is>
      </c>
      <c r="B6834">
        <f>HYPERLINK("Объекты недвижимости, не соответствующие градостроительным нормам_00-022_Август/74ceee96-c5b6-438f-9db4-dfb3d36362a9.jpg","open")</f>
        <v/>
      </c>
      <c r="C6834" t="inlineStr">
        <is>
          <t>1c951e11-4940-43c6-a447-394097e5609a</t>
        </is>
      </c>
      <c r="D6834" t="n">
        <v>55.82587</v>
      </c>
      <c r="E6834" t="n">
        <v>37.66029</v>
      </c>
      <c r="F6834" t="inlineStr"/>
      <c r="G6834" t="inlineStr"/>
      <c r="H6834" t="inlineStr"/>
    </row>
    <row r="6835">
      <c r="A6835" t="inlineStr">
        <is>
          <t>a183a054-21f8-451a-9af9-8cc93f919be6.jpg</t>
        </is>
      </c>
      <c r="B6835">
        <f>HYPERLINK("Объекты недвижимости, не соответствующие градостроительным нормам_00-022_Август/a183a054-21f8-451a-9af9-8cc93f919be6.jpg","open")</f>
        <v/>
      </c>
      <c r="C6835" t="inlineStr">
        <is>
          <t>99f3abba-c55b-49f0-9de5-9f88e9597cc0</t>
        </is>
      </c>
      <c r="D6835" t="n">
        <v>55.61504</v>
      </c>
      <c r="E6835" t="n">
        <v>37.75164</v>
      </c>
      <c r="F6835" t="inlineStr"/>
      <c r="G6835" t="inlineStr"/>
      <c r="H6835" t="inlineStr"/>
    </row>
    <row r="6836">
      <c r="A6836" t="inlineStr">
        <is>
          <t>5689f70b-3d1d-46a1-9eca-3a7f882afec1.jpg</t>
        </is>
      </c>
      <c r="B6836">
        <f>HYPERLINK("Объекты недвижимости, не соответствующие градостроительным нормам_00-022_Август/5689f70b-3d1d-46a1-9eca-3a7f882afec1.jpg","open")</f>
        <v/>
      </c>
      <c r="C6836" t="inlineStr">
        <is>
          <t>8cde1fd0-eca1-4510-86ab-3c743b65fdfc</t>
        </is>
      </c>
      <c r="D6836" t="n">
        <v>55.82494</v>
      </c>
      <c r="E6836" t="n">
        <v>37.65289</v>
      </c>
      <c r="F6836" t="inlineStr"/>
      <c r="G6836" t="inlineStr"/>
      <c r="H6836" t="inlineStr"/>
    </row>
    <row r="6837">
      <c r="A6837" t="inlineStr">
        <is>
          <t>7fe5e933-978c-4aaf-9930-2757836086b3.jpg</t>
        </is>
      </c>
      <c r="B6837">
        <f>HYPERLINK("Объекты недвижимости, не соответствующие градостроительным нормам_00-022_Август/7fe5e933-978c-4aaf-9930-2757836086b3.jpg","open")</f>
        <v/>
      </c>
      <c r="C6837" t="inlineStr">
        <is>
          <t>8cde1fd0-eca1-4510-86ab-3c743b65fdfc</t>
        </is>
      </c>
      <c r="D6837" t="n">
        <v>55.8262</v>
      </c>
      <c r="E6837" t="n">
        <v>37.65265</v>
      </c>
      <c r="F6837" t="inlineStr"/>
      <c r="G6837" t="inlineStr"/>
      <c r="H6837" t="inlineStr"/>
    </row>
    <row r="6838">
      <c r="A6838" t="inlineStr">
        <is>
          <t>741f4241-4d29-4470-a572-59e66167e622.jpg</t>
        </is>
      </c>
      <c r="B6838">
        <f>HYPERLINK("Объекты недвижимости, не соответствующие градостроительным нормам_00-022_Август/741f4241-4d29-4470-a572-59e66167e622.jpg","open")</f>
        <v/>
      </c>
      <c r="C6838" t="inlineStr">
        <is>
          <t>acedacc2-0d8b-4fc1-9622-25621a89d071</t>
        </is>
      </c>
      <c r="D6838" t="n">
        <v>55.80704</v>
      </c>
      <c r="E6838" t="n">
        <v>37.76609</v>
      </c>
      <c r="F6838" t="inlineStr"/>
      <c r="G6838" t="inlineStr"/>
      <c r="H6838" t="inlineStr"/>
    </row>
    <row r="6839">
      <c r="A6839" t="inlineStr">
        <is>
          <t>b3112f5d-cdde-4279-9b34-b03eec2bf4e8.jpg</t>
        </is>
      </c>
      <c r="B6839">
        <f>HYPERLINK("Объекты недвижимости, не соответствующие градостроительным нормам_00-022_Август/b3112f5d-cdde-4279-9b34-b03eec2bf4e8.jpg","open")</f>
        <v/>
      </c>
      <c r="C6839" t="inlineStr">
        <is>
          <t>8cde1fd0-eca1-4510-86ab-3c743b65fdfc</t>
        </is>
      </c>
      <c r="D6839" t="n">
        <v>55.82617</v>
      </c>
      <c r="E6839" t="n">
        <v>37.6527</v>
      </c>
      <c r="F6839" t="inlineStr"/>
      <c r="G6839" t="inlineStr"/>
      <c r="H6839" t="inlineStr"/>
    </row>
    <row r="6840">
      <c r="A6840" t="inlineStr">
        <is>
          <t>8d83147e-5e13-4104-9514-bc51cc7f5d29.jpg</t>
        </is>
      </c>
      <c r="B6840">
        <f>HYPERLINK("Объекты недвижимости, не соответствующие градостроительным нормам_00-022_Август/8d83147e-5e13-4104-9514-bc51cc7f5d29.jpg","open")</f>
        <v/>
      </c>
      <c r="C6840" t="inlineStr">
        <is>
          <t>1c951e11-4940-43c6-a447-394097e5609a</t>
        </is>
      </c>
      <c r="D6840" t="n">
        <v>55.82593</v>
      </c>
      <c r="E6840" t="n">
        <v>37.65415</v>
      </c>
      <c r="F6840" t="inlineStr"/>
      <c r="G6840" t="inlineStr"/>
      <c r="H6840" t="inlineStr"/>
    </row>
    <row r="6841">
      <c r="A6841" t="inlineStr">
        <is>
          <t>bcfc27e1-9fa5-4b75-b9f1-dfe9852e58fb.jpg</t>
        </is>
      </c>
      <c r="B6841">
        <f>HYPERLINK("Объекты недвижимости, не соответствующие градостроительным нормам_00-022_Август/bcfc27e1-9fa5-4b75-b9f1-dfe9852e58fb.jpg","open")</f>
        <v/>
      </c>
      <c r="C6841" t="inlineStr">
        <is>
          <t>685d9054-b74f-49ab-857b-109fd2cec80d</t>
        </is>
      </c>
      <c r="D6841" t="n">
        <v>55.63048</v>
      </c>
      <c r="E6841" t="n">
        <v>37.64621</v>
      </c>
      <c r="F6841" t="inlineStr"/>
      <c r="G6841" t="inlineStr"/>
      <c r="H6841" t="inlineStr"/>
    </row>
    <row r="6842">
      <c r="A6842" t="inlineStr">
        <is>
          <t>184bb80e-c8c9-4d1b-b3d8-655890033a3c.jpg</t>
        </is>
      </c>
      <c r="B6842">
        <f>HYPERLINK("Объекты недвижимости, не соответствующие градостроительным нормам_00-022_Август/184bb80e-c8c9-4d1b-b3d8-655890033a3c.jpg","open")</f>
        <v/>
      </c>
      <c r="C6842" t="inlineStr">
        <is>
          <t>685d9054-b74f-49ab-857b-109fd2cec80d</t>
        </is>
      </c>
      <c r="D6842" t="n">
        <v>55.6374</v>
      </c>
      <c r="E6842" t="n">
        <v>37.66978</v>
      </c>
      <c r="F6842" t="inlineStr"/>
      <c r="G6842" t="inlineStr"/>
      <c r="H6842" t="inlineStr"/>
    </row>
    <row r="6843">
      <c r="A6843" t="inlineStr">
        <is>
          <t>80116535-29a2-4ec2-a884-22dbc0e7777b.jpg</t>
        </is>
      </c>
      <c r="B6843">
        <f>HYPERLINK("Объекты недвижимости, не соответствующие градостроительным нормам_00-022_Август/80116535-29a2-4ec2-a884-22dbc0e7777b.jpg","open")</f>
        <v/>
      </c>
      <c r="C6843" t="inlineStr">
        <is>
          <t>8cde1fd0-eca1-4510-86ab-3c743b65fdfc</t>
        </is>
      </c>
      <c r="D6843" t="n">
        <v>55.82556</v>
      </c>
      <c r="E6843" t="n">
        <v>37.65504</v>
      </c>
      <c r="F6843" t="inlineStr"/>
      <c r="G6843" t="inlineStr"/>
      <c r="H6843" t="inlineStr"/>
    </row>
    <row r="6844">
      <c r="A6844" t="inlineStr">
        <is>
          <t>987eb6d2-fca6-4342-9bc6-6276013d8cc0.jpg</t>
        </is>
      </c>
      <c r="B6844">
        <f>HYPERLINK("Объекты недвижимости, не соответствующие градостроительным нормам_00-022_Август/987eb6d2-fca6-4342-9bc6-6276013d8cc0.jpg","open")</f>
        <v/>
      </c>
      <c r="C6844" t="inlineStr">
        <is>
          <t>1c951e11-4940-43c6-a447-394097e5609a</t>
        </is>
      </c>
      <c r="D6844" t="n">
        <v>55.82556</v>
      </c>
      <c r="E6844" t="n">
        <v>37.65504</v>
      </c>
      <c r="F6844" t="inlineStr"/>
      <c r="G6844" t="inlineStr"/>
      <c r="H6844" t="inlineStr"/>
    </row>
    <row r="6845">
      <c r="A6845" t="inlineStr">
        <is>
          <t>1e451b6a-0da0-48bd-a765-ef572754dca1.jpg</t>
        </is>
      </c>
      <c r="B6845">
        <f>HYPERLINK("Объекты недвижимости, не соответствующие градостроительным нормам_00-022_Август/1e451b6a-0da0-48bd-a765-ef572754dca1.jpg","open")</f>
        <v/>
      </c>
      <c r="C6845" t="inlineStr">
        <is>
          <t>8cde1fd0-eca1-4510-86ab-3c743b65fdfc</t>
        </is>
      </c>
      <c r="D6845" t="n">
        <v>55.82565</v>
      </c>
      <c r="E6845" t="n">
        <v>37.65484</v>
      </c>
      <c r="F6845" t="inlineStr"/>
      <c r="G6845" t="inlineStr"/>
      <c r="H6845" t="inlineStr"/>
    </row>
    <row r="6846">
      <c r="A6846" t="inlineStr">
        <is>
          <t>924a62ef-bdcb-486c-98b0-a50a36b9ae6b.jpg</t>
        </is>
      </c>
      <c r="B6846">
        <f>HYPERLINK("Объекты недвижимости, не соответствующие градостроительным нормам_00-022_Август/924a62ef-bdcb-486c-98b0-a50a36b9ae6b.jpg","open")</f>
        <v/>
      </c>
      <c r="C6846" t="inlineStr">
        <is>
          <t>93848fc8-17e7-4748-9ebc-c7e379e11d2f</t>
        </is>
      </c>
      <c r="D6846" t="n">
        <v>55.75264</v>
      </c>
      <c r="E6846" t="n">
        <v>37.57889</v>
      </c>
      <c r="F6846" t="inlineStr"/>
      <c r="G6846" t="inlineStr"/>
      <c r="H6846" t="inlineStr"/>
    </row>
    <row r="6847">
      <c r="A6847" t="inlineStr">
        <is>
          <t>3789b8a6-6d97-4274-a7ba-fbe08e37c1bf.jpg</t>
        </is>
      </c>
      <c r="B6847">
        <f>HYPERLINK("Объекты недвижимости, не соответствующие градостроительным нормам_00-022_Август/3789b8a6-6d97-4274-a7ba-fbe08e37c1bf.jpg","open")</f>
        <v/>
      </c>
      <c r="C6847" t="inlineStr">
        <is>
          <t>f60286ac-55e7-4099-85bd-cc599a7a0c65</t>
        </is>
      </c>
      <c r="D6847" t="n">
        <v>55.7564</v>
      </c>
      <c r="E6847" t="n">
        <v>37.77692</v>
      </c>
      <c r="F6847" t="inlineStr"/>
      <c r="G6847" t="inlineStr"/>
      <c r="H6847" t="inlineStr"/>
    </row>
    <row r="6848">
      <c r="A6848" t="inlineStr">
        <is>
          <t>6cba3f2a-8a88-44fe-8eea-d25adf098752.jpg</t>
        </is>
      </c>
      <c r="B6848">
        <f>HYPERLINK("Объекты недвижимости, не соответствующие градостроительным нормам_00-022_Август/6cba3f2a-8a88-44fe-8eea-d25adf098752.jpg","open")</f>
        <v/>
      </c>
      <c r="C6848" t="inlineStr">
        <is>
          <t>685d9054-b74f-49ab-857b-109fd2cec80d</t>
        </is>
      </c>
      <c r="D6848" t="n">
        <v>55.66623</v>
      </c>
      <c r="E6848" t="n">
        <v>37.72192</v>
      </c>
      <c r="F6848" t="inlineStr"/>
      <c r="G6848" t="inlineStr"/>
      <c r="H6848" t="inlineStr"/>
    </row>
    <row r="6849">
      <c r="A6849" t="inlineStr">
        <is>
          <t>e4369c89-0363-47b2-aa38-86ef2344a64c.jpg</t>
        </is>
      </c>
      <c r="B6849">
        <f>HYPERLINK("Объекты недвижимости, не соответствующие градостроительным нормам_00-022_Август/e4369c89-0363-47b2-aa38-86ef2344a64c.jpg","open")</f>
        <v/>
      </c>
      <c r="C6849" t="inlineStr">
        <is>
          <t>a28f597e-d1cd-4d3b-b572-c86d033412e9</t>
        </is>
      </c>
      <c r="D6849" t="n">
        <v>55.63427</v>
      </c>
      <c r="E6849" t="n">
        <v>37.38625</v>
      </c>
      <c r="F6849" t="inlineStr"/>
      <c r="G6849" t="inlineStr"/>
      <c r="H6849" t="inlineStr"/>
    </row>
    <row r="6850">
      <c r="A6850" t="inlineStr">
        <is>
          <t>683ecd9f-0d49-4ecf-bdb7-70f4ff046218.jpg</t>
        </is>
      </c>
      <c r="B6850">
        <f>HYPERLINK("Объекты недвижимости, не соответствующие градостроительным нормам_00-022_Август/683ecd9f-0d49-4ecf-bdb7-70f4ff046218.jpg","open")</f>
        <v/>
      </c>
      <c r="C6850" t="inlineStr">
        <is>
          <t>036c664f-5408-4fd0-b479-342c00468eeb</t>
        </is>
      </c>
      <c r="D6850" t="n">
        <v>55.63427</v>
      </c>
      <c r="E6850" t="n">
        <v>37.38625</v>
      </c>
      <c r="F6850" t="inlineStr"/>
      <c r="G6850" t="inlineStr"/>
      <c r="H6850" t="inlineStr"/>
    </row>
    <row r="6851">
      <c r="A6851" t="inlineStr">
        <is>
          <t>e7e5a8ba-7739-4d7e-b89c-12b0b11eecdd.jpg</t>
        </is>
      </c>
      <c r="B6851">
        <f>HYPERLINK("Объекты недвижимости, не соответствующие градостроительным нормам_00-022_Август/e7e5a8ba-7739-4d7e-b89c-12b0b11eecdd.jpg","open")</f>
        <v/>
      </c>
      <c r="C6851" t="inlineStr">
        <is>
          <t>fb40ed24-21ef-458a-a239-038ab19932cc</t>
        </is>
      </c>
      <c r="D6851" t="n">
        <v>55.81951</v>
      </c>
      <c r="E6851" t="n">
        <v>37.75141</v>
      </c>
      <c r="F6851" t="inlineStr"/>
      <c r="G6851" t="inlineStr"/>
      <c r="H6851" t="inlineStr"/>
    </row>
    <row r="6852">
      <c r="A6852" t="inlineStr">
        <is>
          <t>240bbbcf-86d5-49e1-88b5-ddd8d683fc5a.jpg</t>
        </is>
      </c>
      <c r="B6852">
        <f>HYPERLINK("Объекты недвижимости, не соответствующие градостроительным нормам_00-022_Август/240bbbcf-86d5-49e1-88b5-ddd8d683fc5a.jpg","open")</f>
        <v/>
      </c>
      <c r="C6852" t="inlineStr">
        <is>
          <t>685d9054-b74f-49ab-857b-109fd2cec80d</t>
        </is>
      </c>
      <c r="D6852" t="n">
        <v>55.73427</v>
      </c>
      <c r="E6852" t="n">
        <v>37.70885</v>
      </c>
      <c r="F6852" t="inlineStr"/>
      <c r="G6852" t="inlineStr"/>
      <c r="H6852" t="inlineStr"/>
    </row>
    <row r="6853">
      <c r="A6853" t="inlineStr">
        <is>
          <t>988fd8a0-82cc-4f70-aa0b-3f55991f3c98.jpg</t>
        </is>
      </c>
      <c r="B6853">
        <f>HYPERLINK("Объекты недвижимости, не соответствующие градостроительным нормам_00-022_Август/988fd8a0-82cc-4f70-aa0b-3f55991f3c98.jpg","open")</f>
        <v/>
      </c>
      <c r="C6853" t="inlineStr">
        <is>
          <t>f60286ac-55e7-4099-85bd-cc599a7a0c65</t>
        </is>
      </c>
      <c r="D6853" t="n">
        <v>55.75566</v>
      </c>
      <c r="E6853" t="n">
        <v>37.77797</v>
      </c>
      <c r="F6853" t="inlineStr"/>
      <c r="G6853" t="inlineStr"/>
      <c r="H6853" t="inlineStr"/>
    </row>
    <row r="6854">
      <c r="A6854" t="inlineStr">
        <is>
          <t>f10a276f-69fa-482d-88c8-391be9944334.jpg</t>
        </is>
      </c>
      <c r="B6854">
        <f>HYPERLINK("Объекты недвижимости, не соответствующие градостроительным нормам_00-022_Август/f10a276f-69fa-482d-88c8-391be9944334.jpg","open")</f>
        <v/>
      </c>
      <c r="C6854" t="inlineStr">
        <is>
          <t>685d9054-b74f-49ab-857b-109fd2cec80d</t>
        </is>
      </c>
      <c r="D6854" t="n">
        <v>55.73498</v>
      </c>
      <c r="E6854" t="n">
        <v>37.70602</v>
      </c>
      <c r="F6854" t="inlineStr"/>
      <c r="G6854" t="inlineStr"/>
      <c r="H6854" t="inlineStr"/>
    </row>
    <row r="6855">
      <c r="A6855" t="inlineStr">
        <is>
          <t>bdbdab97-3dbe-417d-9b0c-185c8bd91d97.jpg</t>
        </is>
      </c>
      <c r="B6855">
        <f>HYPERLINK("Объекты недвижимости, не соответствующие градостроительным нормам_00-022_Август/bdbdab97-3dbe-417d-9b0c-185c8bd91d97.jpg","open")</f>
        <v/>
      </c>
      <c r="C6855" t="inlineStr">
        <is>
          <t>685d9054-b74f-49ab-857b-109fd2cec80d</t>
        </is>
      </c>
      <c r="D6855" t="n">
        <v>55.73533</v>
      </c>
      <c r="E6855" t="n">
        <v>37.70482</v>
      </c>
      <c r="F6855" t="inlineStr"/>
      <c r="G6855" t="inlineStr"/>
      <c r="H6855" t="inlineStr"/>
    </row>
    <row r="6856">
      <c r="A6856" t="inlineStr">
        <is>
          <t>1355444f-103f-483f-bc77-cc21ea4b338d.jpg</t>
        </is>
      </c>
      <c r="B6856">
        <f>HYPERLINK("Объекты недвижимости, не соответствующие градостроительным нормам_00-022_Август/1355444f-103f-483f-bc77-cc21ea4b338d.jpg","open")</f>
        <v/>
      </c>
      <c r="C6856" t="inlineStr">
        <is>
          <t>2acfb2da-e3f6-464c-bd17-4b713522c142</t>
        </is>
      </c>
      <c r="D6856" t="n">
        <v>55.86404</v>
      </c>
      <c r="E6856" t="n">
        <v>37.59404</v>
      </c>
      <c r="F6856" t="inlineStr"/>
      <c r="G6856" t="inlineStr"/>
      <c r="H6856" t="inlineStr"/>
    </row>
    <row r="6857">
      <c r="A6857" t="inlineStr">
        <is>
          <t>1ffe3109-ca90-4dec-97fa-087111416309.jpg</t>
        </is>
      </c>
      <c r="B6857">
        <f>HYPERLINK("Объекты недвижимости, не соответствующие градостроительным нормам_00-022_Август/1ffe3109-ca90-4dec-97fa-087111416309.jpg","open")</f>
        <v/>
      </c>
      <c r="C6857" t="inlineStr">
        <is>
          <t>8cde1fd0-eca1-4510-86ab-3c743b65fdfc</t>
        </is>
      </c>
      <c r="D6857" t="n">
        <v>55.8044</v>
      </c>
      <c r="E6857" t="n">
        <v>37.63621</v>
      </c>
      <c r="F6857" t="inlineStr"/>
      <c r="G6857" t="inlineStr"/>
      <c r="H6857" t="inlineStr"/>
    </row>
    <row r="6858">
      <c r="A6858" t="inlineStr">
        <is>
          <t>bdb00471-d6f9-49c6-baa6-dafbda6eeffa.jpg</t>
        </is>
      </c>
      <c r="B6858">
        <f>HYPERLINK("Объекты недвижимости, не соответствующие градостроительным нормам_00-022_Август/bdb00471-d6f9-49c6-baa6-dafbda6eeffa.jpg","open")</f>
        <v/>
      </c>
      <c r="C6858" t="inlineStr">
        <is>
          <t>ed2bf0f1-3a66-4913-896e-4420a9796c0b</t>
        </is>
      </c>
      <c r="D6858" t="n">
        <v>55.72297</v>
      </c>
      <c r="E6858" t="n">
        <v>37.71393</v>
      </c>
      <c r="F6858" t="inlineStr"/>
      <c r="G6858" t="inlineStr"/>
      <c r="H6858" t="inlineStr"/>
    </row>
    <row r="6859">
      <c r="A6859" t="inlineStr">
        <is>
          <t>616c4c7a-72b3-40bf-9f8b-eec60e42aebf.jpg</t>
        </is>
      </c>
      <c r="B6859">
        <f>HYPERLINK("Объекты недвижимости, не соответствующие градостроительным нормам_00-022_Август/616c4c7a-72b3-40bf-9f8b-eec60e42aebf.jpg","open")</f>
        <v/>
      </c>
      <c r="C6859" t="inlineStr">
        <is>
          <t>1c951e11-4940-43c6-a447-394097e5609a</t>
        </is>
      </c>
      <c r="D6859" t="n">
        <v>55.79463</v>
      </c>
      <c r="E6859" t="n">
        <v>37.63401</v>
      </c>
      <c r="F6859" t="inlineStr"/>
      <c r="G6859" t="inlineStr"/>
      <c r="H6859" t="inlineStr"/>
    </row>
    <row r="6860">
      <c r="A6860" t="inlineStr">
        <is>
          <t>eee7cd7c-38cb-4e90-bd17-987690f80406.jpg</t>
        </is>
      </c>
      <c r="B6860">
        <f>HYPERLINK("Объекты недвижимости, не соответствующие градостроительным нормам_00-022_Август/eee7cd7c-38cb-4e90-bd17-987690f80406.jpg","open")</f>
        <v/>
      </c>
      <c r="C6860" t="inlineStr">
        <is>
          <t>789f6c51-64ee-4078-b7bd-443af8b8b68a</t>
        </is>
      </c>
      <c r="D6860" t="n">
        <v>55.86231</v>
      </c>
      <c r="E6860" t="n">
        <v>37.59226</v>
      </c>
      <c r="F6860" t="inlineStr"/>
      <c r="G6860" t="inlineStr"/>
      <c r="H6860" t="inlineStr"/>
    </row>
    <row r="6861">
      <c r="A6861" t="inlineStr">
        <is>
          <t>cd557d99-932b-407a-809c-e6a7b7db66ac.jpg</t>
        </is>
      </c>
      <c r="B6861">
        <f>HYPERLINK("Объекты недвижимости, не соответствующие градостроительным нормам_00-022_Август/cd557d99-932b-407a-809c-e6a7b7db66ac.jpg","open")</f>
        <v/>
      </c>
      <c r="C6861" t="inlineStr">
        <is>
          <t>ed2bf0f1-3a66-4913-896e-4420a9796c0b</t>
        </is>
      </c>
      <c r="D6861" t="n">
        <v>55.7137</v>
      </c>
      <c r="E6861" t="n">
        <v>37.71675</v>
      </c>
      <c r="F6861" t="inlineStr"/>
      <c r="G6861" t="inlineStr"/>
      <c r="H6861" t="inlineStr"/>
    </row>
    <row r="6862">
      <c r="A6862" t="inlineStr">
        <is>
          <t>7d5d5373-56e6-46dd-9e22-9da00c5f040e.jpg</t>
        </is>
      </c>
      <c r="B6862">
        <f>HYPERLINK("Объекты недвижимости, не соответствующие градостроительным нормам_00-022_Август/7d5d5373-56e6-46dd-9e22-9da00c5f040e.jpg","open")</f>
        <v/>
      </c>
      <c r="C6862" t="inlineStr">
        <is>
          <t>8cde1fd0-eca1-4510-86ab-3c743b65fdfc</t>
        </is>
      </c>
      <c r="D6862" t="n">
        <v>55.77482</v>
      </c>
      <c r="E6862" t="n">
        <v>37.68361</v>
      </c>
      <c r="F6862" t="inlineStr"/>
      <c r="G6862" t="inlineStr"/>
      <c r="H6862" t="inlineStr"/>
    </row>
    <row r="6863">
      <c r="A6863" t="inlineStr">
        <is>
          <t>ae67e54b-3469-463d-8bcb-0f83192d5fb1.jpg</t>
        </is>
      </c>
      <c r="B6863">
        <f>HYPERLINK("Объекты недвижимости, не соответствующие градостроительным нормам_00-022_Август/ae67e54b-3469-463d-8bcb-0f83192d5fb1.jpg","open")</f>
        <v/>
      </c>
      <c r="C6863" t="inlineStr">
        <is>
          <t>1c951e11-4940-43c6-a447-394097e5609a</t>
        </is>
      </c>
      <c r="D6863" t="n">
        <v>55.77482</v>
      </c>
      <c r="E6863" t="n">
        <v>37.68361</v>
      </c>
      <c r="F6863" t="inlineStr"/>
      <c r="G6863" t="inlineStr"/>
      <c r="H6863" t="inlineStr"/>
    </row>
    <row r="6864">
      <c r="A6864" t="inlineStr">
        <is>
          <t>4e784adb-c437-4db3-9e4b-afbcb4170142.jpg</t>
        </is>
      </c>
      <c r="B6864">
        <f>HYPERLINK("Объекты недвижимости, не соответствующие градостроительным нормам_00-022_Август/4e784adb-c437-4db3-9e4b-afbcb4170142.jpg","open")</f>
        <v/>
      </c>
      <c r="C6864" t="inlineStr">
        <is>
          <t>8cde1fd0-eca1-4510-86ab-3c743b65fdfc</t>
        </is>
      </c>
      <c r="D6864" t="n">
        <v>55.76423</v>
      </c>
      <c r="E6864" t="n">
        <v>37.74582</v>
      </c>
      <c r="F6864" t="inlineStr"/>
      <c r="G6864" t="inlineStr"/>
      <c r="H6864" t="inlineStr"/>
    </row>
    <row r="6865">
      <c r="A6865" t="inlineStr">
        <is>
          <t>10d3fc9c-6ab8-4f01-aac7-c09da2fb852c.jpg</t>
        </is>
      </c>
      <c r="B6865">
        <f>HYPERLINK("Объекты недвижимости, не соответствующие градостроительным нормам_00-022_Август/10d3fc9c-6ab8-4f01-aac7-c09da2fb852c.jpg","open")</f>
        <v/>
      </c>
      <c r="C6865" t="inlineStr">
        <is>
          <t>1231bbc5-e64c-4dc7-9acc-77710f47607a</t>
        </is>
      </c>
      <c r="D6865" t="n">
        <v>55.73667</v>
      </c>
      <c r="E6865" t="n">
        <v>37.56264</v>
      </c>
      <c r="F6865" t="inlineStr"/>
      <c r="G6865" t="inlineStr"/>
      <c r="H6865" t="inlineStr"/>
    </row>
    <row r="6866">
      <c r="A6866" t="inlineStr">
        <is>
          <t>e3ab4670-4e74-486f-8a00-b79969975643.jpg</t>
        </is>
      </c>
      <c r="B6866">
        <f>HYPERLINK("Объекты недвижимости, не соответствующие градостроительным нормам_00-022_Август/e3ab4670-4e74-486f-8a00-b79969975643.jpg","open")</f>
        <v/>
      </c>
      <c r="C6866" t="inlineStr">
        <is>
          <t>1c951e11-4940-43c6-a447-394097e5609a</t>
        </is>
      </c>
      <c r="D6866" t="n">
        <v>55.76659</v>
      </c>
      <c r="E6866" t="n">
        <v>37.77456</v>
      </c>
      <c r="F6866" t="inlineStr"/>
      <c r="G6866" t="inlineStr"/>
      <c r="H6866" t="inlineStr"/>
    </row>
    <row r="6867">
      <c r="A6867" t="inlineStr">
        <is>
          <t>4d4d87a4-c6d1-4909-8097-a8cb848a8845.jpg</t>
        </is>
      </c>
      <c r="B6867">
        <f>HYPERLINK("Объекты недвижимости, не соответствующие градостроительным нормам_00-022_Август/4d4d87a4-c6d1-4909-8097-a8cb848a8845.jpg","open")</f>
        <v/>
      </c>
      <c r="C6867" t="inlineStr">
        <is>
          <t>acedacc2-0d8b-4fc1-9622-25621a89d071</t>
        </is>
      </c>
      <c r="D6867" t="n">
        <v>55.78258</v>
      </c>
      <c r="E6867" t="n">
        <v>37.69893</v>
      </c>
      <c r="F6867" t="inlineStr"/>
      <c r="G6867" t="inlineStr"/>
      <c r="H6867" t="inlineStr"/>
    </row>
    <row r="6868">
      <c r="A6868" t="inlineStr">
        <is>
          <t>f6061973-4c7c-4318-b7b0-8ec7d2338ba7.jpg</t>
        </is>
      </c>
      <c r="B6868">
        <f>HYPERLINK("Объекты недвижимости, не соответствующие градостроительным нормам_00-022_Август/f6061973-4c7c-4318-b7b0-8ec7d2338ba7.jpg","open")</f>
        <v/>
      </c>
      <c r="C6868" t="inlineStr">
        <is>
          <t>789f6c51-64ee-4078-b7bd-443af8b8b68a</t>
        </is>
      </c>
      <c r="D6868" t="n">
        <v>55.85259</v>
      </c>
      <c r="E6868" t="n">
        <v>37.58255</v>
      </c>
      <c r="F6868" t="inlineStr"/>
      <c r="G6868" t="inlineStr"/>
      <c r="H6868" t="inlineStr"/>
    </row>
    <row r="6869">
      <c r="A6869" t="inlineStr">
        <is>
          <t>4244f68c-6f13-4d0d-aba5-684d46f4b330.jpg</t>
        </is>
      </c>
      <c r="B6869">
        <f>HYPERLINK("Объекты недвижимости, не соответствующие градостроительным нормам_00-022_Август/4244f68c-6f13-4d0d-aba5-684d46f4b330.jpg","open")</f>
        <v/>
      </c>
      <c r="C6869" t="inlineStr">
        <is>
          <t>2acfb2da-e3f6-464c-bd17-4b713522c142</t>
        </is>
      </c>
      <c r="D6869" t="n">
        <v>55.85258</v>
      </c>
      <c r="E6869" t="n">
        <v>37.58257</v>
      </c>
      <c r="F6869" t="inlineStr"/>
      <c r="G6869" t="inlineStr"/>
      <c r="H6869" t="inlineStr"/>
    </row>
    <row r="6870">
      <c r="A6870" t="inlineStr">
        <is>
          <t>cd1d930e-f164-4dc4-b332-42afeca264f0.jpg</t>
        </is>
      </c>
      <c r="B6870">
        <f>HYPERLINK("Объекты недвижимости, не соответствующие градостроительным нормам_00-022_Август/cd1d930e-f164-4dc4-b332-42afeca264f0.jpg","open")</f>
        <v/>
      </c>
      <c r="C6870" t="inlineStr">
        <is>
          <t>2acfb2da-e3f6-464c-bd17-4b713522c142</t>
        </is>
      </c>
      <c r="D6870" t="n">
        <v>55.85241</v>
      </c>
      <c r="E6870" t="n">
        <v>37.58299</v>
      </c>
      <c r="F6870" t="inlineStr"/>
      <c r="G6870" t="inlineStr"/>
      <c r="H6870" t="inlineStr"/>
    </row>
    <row r="6871">
      <c r="A6871" t="inlineStr">
        <is>
          <t>00529226-6cbc-4576-895d-20a23c1d6eb4.jpg</t>
        </is>
      </c>
      <c r="B6871">
        <f>HYPERLINK("Объекты недвижимости, не соответствующие градостроительным нормам_00-022_Август/00529226-6cbc-4576-895d-20a23c1d6eb4.jpg","open")</f>
        <v/>
      </c>
      <c r="C6871" t="inlineStr">
        <is>
          <t>936502dd-24a4-4256-9fdf-0d8fb72af3ed</t>
        </is>
      </c>
      <c r="D6871" t="n">
        <v>55.68126</v>
      </c>
      <c r="E6871" t="n">
        <v>37.67569</v>
      </c>
      <c r="F6871" t="inlineStr"/>
      <c r="G6871" t="inlineStr"/>
      <c r="H6871" t="inlineStr"/>
    </row>
    <row r="6872">
      <c r="A6872" t="inlineStr">
        <is>
          <t>c0a0f87f-652c-4e2b-bc23-af3f5946d3c8.jpg</t>
        </is>
      </c>
      <c r="B6872">
        <f>HYPERLINK("Объекты недвижимости, не соответствующие градостроительным нормам_00-022_Август/c0a0f87f-652c-4e2b-bc23-af3f5946d3c8.jpg","open")</f>
        <v/>
      </c>
      <c r="C6872" t="inlineStr">
        <is>
          <t>036c664f-5408-4fd0-b479-342c00468eeb</t>
        </is>
      </c>
      <c r="D6872" t="n">
        <v>55.70448</v>
      </c>
      <c r="E6872" t="n">
        <v>37.66</v>
      </c>
      <c r="F6872" t="inlineStr"/>
      <c r="G6872" t="inlineStr"/>
      <c r="H6872" t="inlineStr"/>
    </row>
    <row r="6873">
      <c r="A6873" t="inlineStr">
        <is>
          <t>626f219b-e378-4b2e-a7b2-465997e86160.jpg</t>
        </is>
      </c>
      <c r="B6873">
        <f>HYPERLINK("Объекты недвижимости, не соответствующие градостроительным нормам_00-022_Август/626f219b-e378-4b2e-a7b2-465997e86160.jpg","open")</f>
        <v/>
      </c>
      <c r="C6873" t="inlineStr">
        <is>
          <t>57aae8a4-582b-4309-8045-c8127a9f86ae</t>
        </is>
      </c>
      <c r="D6873" t="n">
        <v>55.75813</v>
      </c>
      <c r="E6873" t="n">
        <v>37.68584</v>
      </c>
      <c r="F6873" t="inlineStr"/>
      <c r="G6873" t="inlineStr"/>
      <c r="H6873" t="inlineStr"/>
    </row>
    <row r="6874">
      <c r="A6874" t="inlineStr">
        <is>
          <t>5ab6e1c8-8049-43da-a127-711d75a9ae1f.jpg</t>
        </is>
      </c>
      <c r="B6874">
        <f>HYPERLINK("Объекты недвижимости, не соответствующие градостроительным нормам_00-022_Август/5ab6e1c8-8049-43da-a127-711d75a9ae1f.jpg","open")</f>
        <v/>
      </c>
      <c r="C6874" t="inlineStr">
        <is>
          <t>ffd931da-542f-43e9-979f-5552b17fe3dc</t>
        </is>
      </c>
      <c r="D6874" t="n">
        <v>55.75045</v>
      </c>
      <c r="E6874" t="n">
        <v>37.71023</v>
      </c>
      <c r="F6874" t="inlineStr"/>
      <c r="G6874" t="inlineStr"/>
      <c r="H6874" t="inlineStr"/>
    </row>
    <row r="6875">
      <c r="A6875" t="inlineStr">
        <is>
          <t>9215902c-5c37-4441-9de7-bed7fb2219df.jpg</t>
        </is>
      </c>
      <c r="B6875">
        <f>HYPERLINK("Объекты недвижимости, не соответствующие градостроительным нормам_00-022_Август/9215902c-5c37-4441-9de7-bed7fb2219df.jpg","open")</f>
        <v/>
      </c>
      <c r="C6875" t="inlineStr">
        <is>
          <t>b0b7ea82-53be-40d0-b992-e2fd18611d5c</t>
        </is>
      </c>
      <c r="D6875" t="n">
        <v>55.7444</v>
      </c>
      <c r="E6875" t="n">
        <v>37.70287</v>
      </c>
      <c r="F6875" t="inlineStr"/>
      <c r="G6875" t="inlineStr"/>
      <c r="H6875" t="inlineStr"/>
    </row>
    <row r="6876">
      <c r="A6876" t="inlineStr">
        <is>
          <t>c078a384-6384-4b61-b2ce-531ec178690e.jpg</t>
        </is>
      </c>
      <c r="B6876">
        <f>HYPERLINK("Объекты недвижимости, не соответствующие градостроительным нормам_00-022_Август/c078a384-6384-4b61-b2ce-531ec178690e.jpg","open")</f>
        <v/>
      </c>
      <c r="C6876" t="inlineStr">
        <is>
          <t>936502dd-24a4-4256-9fdf-0d8fb72af3ed</t>
        </is>
      </c>
      <c r="D6876" t="n">
        <v>55.71344</v>
      </c>
      <c r="E6876" t="n">
        <v>37.67923</v>
      </c>
      <c r="F6876" t="inlineStr"/>
      <c r="G6876" t="inlineStr"/>
      <c r="H6876" t="inlineStr"/>
    </row>
    <row r="6877">
      <c r="A6877" t="inlineStr">
        <is>
          <t>85105509-41da-494f-8b7f-2e960448c4da.jpg</t>
        </is>
      </c>
      <c r="B6877">
        <f>HYPERLINK("Объекты недвижимости, не соответствующие градостроительным нормам_00-022_Август/85105509-41da-494f-8b7f-2e960448c4da.jpg","open")</f>
        <v/>
      </c>
      <c r="C6877" t="inlineStr">
        <is>
          <t>b0b7ea82-53be-40d0-b992-e2fd18611d5c</t>
        </is>
      </c>
      <c r="D6877" t="n">
        <v>55.75305</v>
      </c>
      <c r="E6877" t="n">
        <v>37.70284</v>
      </c>
      <c r="F6877" t="inlineStr"/>
      <c r="G6877" t="inlineStr"/>
      <c r="H6877" t="inlineStr"/>
    </row>
    <row r="6878">
      <c r="A6878" t="inlineStr">
        <is>
          <t>dbe52cc3-9239-4cb7-9edb-22b2e688d373.jpg</t>
        </is>
      </c>
      <c r="B6878">
        <f>HYPERLINK("Объекты недвижимости, не соответствующие градостроительным нормам_00-022_Август/dbe52cc3-9239-4cb7-9edb-22b2e688d373.jpg","open")</f>
        <v/>
      </c>
      <c r="C6878" t="inlineStr">
        <is>
          <t>b0429a31-0c70-4b9f-8ea5-73929d82f89e</t>
        </is>
      </c>
      <c r="D6878" t="n">
        <v>55.74346</v>
      </c>
      <c r="E6878" t="n">
        <v>37.69878</v>
      </c>
      <c r="F6878" t="inlineStr"/>
      <c r="G6878" t="inlineStr"/>
      <c r="H6878" t="inlineStr"/>
    </row>
    <row r="6879">
      <c r="A6879" t="inlineStr">
        <is>
          <t>263dc27f-b36b-44d6-a05c-bbd07287f6f3.jpg</t>
        </is>
      </c>
      <c r="B6879">
        <f>HYPERLINK("Объекты недвижимости, не соответствующие градостроительным нормам_00-022_Август/263dc27f-b36b-44d6-a05c-bbd07287f6f3.jpg","open")</f>
        <v/>
      </c>
      <c r="C6879" t="inlineStr">
        <is>
          <t>b0429a31-0c70-4b9f-8ea5-73929d82f89e</t>
        </is>
      </c>
      <c r="D6879" t="n">
        <v>55.7436</v>
      </c>
      <c r="E6879" t="n">
        <v>37.69857</v>
      </c>
      <c r="F6879" t="inlineStr"/>
      <c r="G6879" t="inlineStr"/>
      <c r="H6879" t="inlineStr"/>
    </row>
    <row r="6880">
      <c r="A6880" t="inlineStr">
        <is>
          <t>51aff8dc-6d76-4054-ba26-7e74a2d7059f.jpg</t>
        </is>
      </c>
      <c r="B6880">
        <f>HYPERLINK("Объекты недвижимости, не соответствующие градостроительным нормам_00-022_Август/51aff8dc-6d76-4054-ba26-7e74a2d7059f.jpg","open")</f>
        <v/>
      </c>
      <c r="C6880" t="inlineStr">
        <is>
          <t>936502dd-24a4-4256-9fdf-0d8fb72af3ed</t>
        </is>
      </c>
      <c r="D6880" t="n">
        <v>55.7342</v>
      </c>
      <c r="E6880" t="n">
        <v>37.7081</v>
      </c>
      <c r="F6880" t="inlineStr"/>
      <c r="G6880" t="inlineStr"/>
      <c r="H6880" t="inlineStr"/>
    </row>
    <row r="6881">
      <c r="A6881" t="inlineStr">
        <is>
          <t>749eb99a-d6f6-4182-8c39-c3bc838497e5.jpg</t>
        </is>
      </c>
      <c r="B6881">
        <f>HYPERLINK("Объекты недвижимости, не соответствующие градостроительным нормам_00-022_Август/749eb99a-d6f6-4182-8c39-c3bc838497e5.jpg","open")</f>
        <v/>
      </c>
      <c r="C6881" t="inlineStr">
        <is>
          <t>61936922-4d4b-458e-80ea-6d4c450aa1d5</t>
        </is>
      </c>
      <c r="D6881" t="n">
        <v>55.85902</v>
      </c>
      <c r="E6881" t="n">
        <v>37.4597</v>
      </c>
      <c r="F6881" t="inlineStr"/>
      <c r="G6881" t="inlineStr"/>
      <c r="H6881" t="inlineStr"/>
    </row>
    <row r="6882">
      <c r="A6882" t="inlineStr">
        <is>
          <t>23fe045a-fb2b-4b12-8823-44241f153677.jpg</t>
        </is>
      </c>
      <c r="B6882">
        <f>HYPERLINK("Объекты недвижимости, не соответствующие градостроительным нормам_00-022_Август/23fe045a-fb2b-4b12-8823-44241f153677.jpg","open")</f>
        <v/>
      </c>
      <c r="C6882" t="inlineStr">
        <is>
          <t>8beacb4f-617e-4b34-8030-60c4dff5f8d1</t>
        </is>
      </c>
      <c r="D6882" t="n">
        <v>55.75114</v>
      </c>
      <c r="E6882" t="n">
        <v>37.58345</v>
      </c>
      <c r="F6882" t="inlineStr"/>
      <c r="G6882" t="inlineStr"/>
      <c r="H6882" t="inlineStr"/>
    </row>
    <row r="6883">
      <c r="A6883" t="inlineStr">
        <is>
          <t>4676d680-b2be-4cb3-9bd2-a45db8b07e8a.jpg</t>
        </is>
      </c>
      <c r="B6883">
        <f>HYPERLINK("Объекты недвижимости, не соответствующие градостроительным нормам_00-022_Август/4676d680-b2be-4cb3-9bd2-a45db8b07e8a.jpg","open")</f>
        <v/>
      </c>
      <c r="C6883" t="inlineStr">
        <is>
          <t>8beacb4f-617e-4b34-8030-60c4dff5f8d1</t>
        </is>
      </c>
      <c r="D6883" t="n">
        <v>55.73126</v>
      </c>
      <c r="E6883" t="n">
        <v>37.54571</v>
      </c>
      <c r="F6883" t="inlineStr"/>
      <c r="G6883" t="inlineStr"/>
      <c r="H6883" t="inlineStr"/>
    </row>
    <row r="6884">
      <c r="A6884" t="inlineStr">
        <is>
          <t>c32186ea-bd86-4b06-a882-9f333fc8b780.jpg</t>
        </is>
      </c>
      <c r="B6884">
        <f>HYPERLINK("Объекты недвижимости, не соответствующие градостроительным нормам_00-022_Август/c32186ea-bd86-4b06-a882-9f333fc8b780.jpg","open")</f>
        <v/>
      </c>
      <c r="C6884" t="inlineStr">
        <is>
          <t>cbf95b01-f708-45a3-9ec0-3603469b538e</t>
        </is>
      </c>
      <c r="D6884" t="n">
        <v>55.6669</v>
      </c>
      <c r="E6884" t="n">
        <v>37.42835</v>
      </c>
      <c r="F6884" t="inlineStr"/>
      <c r="G6884" t="inlineStr"/>
      <c r="H6884" t="inlineStr"/>
    </row>
    <row r="6885">
      <c r="A6885" t="inlineStr">
        <is>
          <t>78c526da-72a3-471a-bd1a-e3270d267de7.jpg</t>
        </is>
      </c>
      <c r="B6885">
        <f>HYPERLINK("Объекты недвижимости, не соответствующие градостроительным нормам_00-022_Август/78c526da-72a3-471a-bd1a-e3270d267de7.jpg","open")</f>
        <v/>
      </c>
      <c r="C6885" t="inlineStr">
        <is>
          <t>cbf95b01-f708-45a3-9ec0-3603469b538e</t>
        </is>
      </c>
      <c r="D6885" t="n">
        <v>55.67023</v>
      </c>
      <c r="E6885" t="n">
        <v>37.44894</v>
      </c>
      <c r="F6885" t="inlineStr"/>
      <c r="G6885" t="inlineStr"/>
      <c r="H6885" t="inlineStr"/>
    </row>
    <row r="6886">
      <c r="A6886" t="inlineStr">
        <is>
          <t>4758e337-01a9-45ae-83f8-3fbc2523d857.jpg</t>
        </is>
      </c>
      <c r="B6886">
        <f>HYPERLINK("Объекты недвижимости, не соответствующие градостроительным нормам_00-022_Август/4758e337-01a9-45ae-83f8-3fbc2523d857.jpg","open")</f>
        <v/>
      </c>
      <c r="C6886" t="inlineStr">
        <is>
          <t>e26f5fc2-1353-4f29-85f3-87c56419161c</t>
        </is>
      </c>
      <c r="D6886" t="n">
        <v>55.97795</v>
      </c>
      <c r="E6886" t="n">
        <v>37.42915</v>
      </c>
      <c r="F6886" t="inlineStr"/>
      <c r="G6886" t="inlineStr"/>
      <c r="H6886" t="inlineStr"/>
    </row>
    <row r="6887">
      <c r="A6887" t="inlineStr">
        <is>
          <t>85185aaa-ad3f-4f00-a406-d4a4fa2c4857.jpg</t>
        </is>
      </c>
      <c r="B6887">
        <f>HYPERLINK("Объекты недвижимости, не соответствующие градостроительным нормам_00-022_Август/85185aaa-ad3f-4f00-a406-d4a4fa2c4857.jpg","open")</f>
        <v/>
      </c>
      <c r="C6887" t="inlineStr">
        <is>
          <t>e26f5fc2-1353-4f29-85f3-87c56419161c</t>
        </is>
      </c>
      <c r="D6887" t="n">
        <v>55.78243</v>
      </c>
      <c r="E6887" t="n">
        <v>37.67091</v>
      </c>
      <c r="F6887" t="inlineStr"/>
      <c r="G6887" t="inlineStr"/>
      <c r="H6887" t="inlineStr"/>
    </row>
    <row r="6888">
      <c r="A6888" t="inlineStr">
        <is>
          <t>780aefb7-7988-42ef-8136-6dcc033f80b5.jpg</t>
        </is>
      </c>
      <c r="B6888">
        <f>HYPERLINK("Объекты недвижимости, не соответствующие градостроительным нормам_00-022_Август/780aefb7-7988-42ef-8136-6dcc033f80b5.jpg","open")</f>
        <v/>
      </c>
      <c r="C6888" t="inlineStr">
        <is>
          <t>cbf95b01-f708-45a3-9ec0-3603469b538e</t>
        </is>
      </c>
      <c r="D6888" t="n">
        <v>55.71</v>
      </c>
      <c r="E6888" t="n">
        <v>37.52318</v>
      </c>
      <c r="F6888" t="inlineStr"/>
      <c r="G6888" t="inlineStr"/>
      <c r="H6888" t="inlineStr"/>
    </row>
    <row r="6889">
      <c r="A6889" t="inlineStr">
        <is>
          <t>d18dc1c2-3e78-4c5b-80d3-33f748374f72.jpg</t>
        </is>
      </c>
      <c r="B6889">
        <f>HYPERLINK("Объекты недвижимости, не соответствующие градостроительным нормам_00-022_Август/d18dc1c2-3e78-4c5b-80d3-33f748374f72.jpg","open")</f>
        <v/>
      </c>
      <c r="C6889" t="inlineStr">
        <is>
          <t>cbf95b01-f708-45a3-9ec0-3603469b538e</t>
        </is>
      </c>
      <c r="D6889" t="n">
        <v>55.71</v>
      </c>
      <c r="E6889" t="n">
        <v>37.52318</v>
      </c>
      <c r="F6889" t="inlineStr"/>
      <c r="G6889" t="inlineStr"/>
      <c r="H6889" t="inlineStr"/>
    </row>
    <row r="6890">
      <c r="A6890" t="inlineStr">
        <is>
          <t>e79e658b-1042-48b4-8bdf-deeed8a87aed.jpg</t>
        </is>
      </c>
      <c r="B6890">
        <f>HYPERLINK("Объекты недвижимости, не соответствующие градостроительным нормам_00-022_Август/e79e658b-1042-48b4-8bdf-deeed8a87aed.jpg","open")</f>
        <v/>
      </c>
      <c r="C6890" t="inlineStr">
        <is>
          <t>cbf95b01-f708-45a3-9ec0-3603469b538e</t>
        </is>
      </c>
      <c r="D6890" t="n">
        <v>55.71</v>
      </c>
      <c r="E6890" t="n">
        <v>37.52318</v>
      </c>
      <c r="F6890" t="inlineStr"/>
      <c r="G6890" t="inlineStr"/>
      <c r="H6890" t="inlineStr"/>
    </row>
    <row r="6891">
      <c r="A6891" t="inlineStr">
        <is>
          <t>a289f089-0ffb-4a87-896f-6f6e63959d17.jpg</t>
        </is>
      </c>
      <c r="B6891">
        <f>HYPERLINK("Объекты недвижимости, не соответствующие градостроительным нормам_00-022_Август/a289f089-0ffb-4a87-896f-6f6e63959d17.jpg","open")</f>
        <v/>
      </c>
      <c r="C6891" t="inlineStr">
        <is>
          <t>cbf95b01-f708-45a3-9ec0-3603469b538e</t>
        </is>
      </c>
      <c r="D6891" t="n">
        <v>55.71</v>
      </c>
      <c r="E6891" t="n">
        <v>37.52318</v>
      </c>
      <c r="F6891" t="inlineStr"/>
      <c r="G6891" t="inlineStr"/>
      <c r="H6891" t="inlineStr"/>
    </row>
    <row r="6892">
      <c r="A6892" t="inlineStr">
        <is>
          <t>74fd1bfa-cd82-4c7d-ab98-d3ddec1b125f.jpg</t>
        </is>
      </c>
      <c r="B6892">
        <f>HYPERLINK("Объекты недвижимости, не соответствующие градостроительным нормам_00-022_Август/74fd1bfa-cd82-4c7d-ab98-d3ddec1b125f.jpg","open")</f>
        <v/>
      </c>
      <c r="C6892" t="inlineStr">
        <is>
          <t>9fb3d110-951f-48da-9d90-cfd7e1b5800d</t>
        </is>
      </c>
      <c r="D6892" t="n">
        <v>55.85902</v>
      </c>
      <c r="E6892" t="n">
        <v>37.4597</v>
      </c>
      <c r="F6892" t="inlineStr"/>
      <c r="G6892" t="inlineStr"/>
      <c r="H6892" t="inlineStr"/>
    </row>
    <row r="6893">
      <c r="A6893" t="inlineStr">
        <is>
          <t>36b2e910-9772-4b6f-8ad4-91ab45bf9a37.jpg</t>
        </is>
      </c>
      <c r="B6893">
        <f>HYPERLINK("Объекты недвижимости, не соответствующие градостроительным нормам_00-022_Август/36b2e910-9772-4b6f-8ad4-91ab45bf9a37.jpg","open")</f>
        <v/>
      </c>
      <c r="C6893" t="inlineStr">
        <is>
          <t>fb9a37cc-57a6-447c-98bb-0b299f09c809</t>
        </is>
      </c>
      <c r="D6893" t="n">
        <v>55.75442</v>
      </c>
      <c r="E6893" t="n">
        <v>37.6876</v>
      </c>
      <c r="F6893" t="inlineStr"/>
      <c r="G6893" t="inlineStr"/>
      <c r="H6893" t="inlineStr"/>
    </row>
    <row r="6894">
      <c r="A6894" t="inlineStr">
        <is>
          <t>1e1a5586-7aaa-4b1b-9e5c-2e49cc505612.jpg</t>
        </is>
      </c>
      <c r="B6894">
        <f>HYPERLINK("Объекты недвижимости, не соответствующие градостроительным нормам_00-022_Август/1e1a5586-7aaa-4b1b-9e5c-2e49cc505612.jpg","open")</f>
        <v/>
      </c>
      <c r="C6894" t="inlineStr">
        <is>
          <t>685d9054-b74f-49ab-857b-109fd2cec80d</t>
        </is>
      </c>
      <c r="D6894" t="n">
        <v>55.74878</v>
      </c>
      <c r="E6894" t="n">
        <v>37.73798</v>
      </c>
      <c r="F6894" t="inlineStr"/>
      <c r="G6894" t="inlineStr"/>
      <c r="H6894" t="inlineStr"/>
    </row>
    <row r="6895">
      <c r="A6895" t="inlineStr">
        <is>
          <t>c9a38a96-53ac-4760-8f47-96ac55ede02b.jpg</t>
        </is>
      </c>
      <c r="B6895">
        <f>HYPERLINK("Объекты недвижимости, не соответствующие градостроительным нормам_00-022_Август/c9a38a96-53ac-4760-8f47-96ac55ede02b.jpg","open")</f>
        <v/>
      </c>
      <c r="C6895" t="inlineStr">
        <is>
          <t>fb9a37cc-57a6-447c-98bb-0b299f09c809</t>
        </is>
      </c>
      <c r="D6895" t="n">
        <v>55.75442</v>
      </c>
      <c r="E6895" t="n">
        <v>37.6876</v>
      </c>
      <c r="F6895" t="inlineStr"/>
      <c r="G6895" t="inlineStr"/>
      <c r="H6895" t="inlineStr"/>
    </row>
    <row r="6896">
      <c r="A6896" t="inlineStr">
        <is>
          <t>5f68d9b9-793b-43cd-980c-80ff5de1166b.jpg</t>
        </is>
      </c>
      <c r="B6896">
        <f>HYPERLINK("Объекты недвижимости, не соответствующие градостроительным нормам_00-022_Август/5f68d9b9-793b-43cd-980c-80ff5de1166b.jpg","open")</f>
        <v/>
      </c>
      <c r="C6896" t="inlineStr">
        <is>
          <t>685d9054-b74f-49ab-857b-109fd2cec80d</t>
        </is>
      </c>
      <c r="D6896" t="n">
        <v>55.74058</v>
      </c>
      <c r="E6896" t="n">
        <v>37.72978</v>
      </c>
      <c r="F6896" t="inlineStr"/>
      <c r="G6896" t="inlineStr"/>
      <c r="H6896" t="inlineStr"/>
    </row>
    <row r="6897">
      <c r="A6897" t="inlineStr">
        <is>
          <t>4e73d669-bc4f-4e70-8742-2e8d74c4318c.jpg</t>
        </is>
      </c>
      <c r="B6897">
        <f>HYPERLINK("Объекты недвижимости, не соответствующие градостроительным нормам_00-022_Август/4e73d669-bc4f-4e70-8742-2e8d74c4318c.jpg","open")</f>
        <v/>
      </c>
      <c r="C6897" t="inlineStr">
        <is>
          <t>b23a39fd-838c-435a-bacd-b4d6bb842c62</t>
        </is>
      </c>
      <c r="D6897" t="n">
        <v>55.75442</v>
      </c>
      <c r="E6897" t="n">
        <v>37.6876</v>
      </c>
      <c r="F6897" t="inlineStr"/>
      <c r="G6897" t="inlineStr"/>
      <c r="H6897" t="inlineStr"/>
    </row>
    <row r="6898">
      <c r="A6898" t="inlineStr">
        <is>
          <t>34e0c980-40d7-480c-bdf2-0ed7ed023b5d.jpg</t>
        </is>
      </c>
      <c r="B6898">
        <f>HYPERLINK("Объекты недвижимости, не соответствующие градостроительным нормам_00-022_Август/34e0c980-40d7-480c-bdf2-0ed7ed023b5d.jpg","open")</f>
        <v/>
      </c>
      <c r="C6898" t="inlineStr">
        <is>
          <t>9f88688f-4c81-42a8-b76a-3c3e7edf869e</t>
        </is>
      </c>
      <c r="D6898" t="n">
        <v>55.94088</v>
      </c>
      <c r="E6898" t="n">
        <v>37.38587</v>
      </c>
      <c r="F6898" t="inlineStr"/>
      <c r="G6898" t="inlineStr"/>
      <c r="H6898" t="inlineStr"/>
    </row>
    <row r="6899">
      <c r="A6899" t="inlineStr">
        <is>
          <t>61d54ff2-01e9-47b6-89d2-b750ac393d5b.jpg</t>
        </is>
      </c>
      <c r="B6899">
        <f>HYPERLINK("Объекты недвижимости, не соответствующие градостроительным нормам_00-022_Август/61d54ff2-01e9-47b6-89d2-b750ac393d5b.jpg","open")</f>
        <v/>
      </c>
      <c r="C6899" t="inlineStr">
        <is>
          <t>685d9054-b74f-49ab-857b-109fd2cec80d</t>
        </is>
      </c>
      <c r="D6899" t="n">
        <v>55.67678</v>
      </c>
      <c r="E6899" t="n">
        <v>37.72894</v>
      </c>
      <c r="F6899" t="inlineStr"/>
      <c r="G6899" t="inlineStr"/>
      <c r="H6899" t="inlineStr"/>
    </row>
    <row r="6900">
      <c r="A6900" t="inlineStr">
        <is>
          <t>0e07a2a0-45ed-416e-8bab-1a5512063031.jpg</t>
        </is>
      </c>
      <c r="B6900">
        <f>HYPERLINK("Объекты недвижимости, не соответствующие градостроительным нормам_00-022_Август/0e07a2a0-45ed-416e-8bab-1a5512063031.jpg","open")</f>
        <v/>
      </c>
      <c r="C6900" t="inlineStr">
        <is>
          <t>685d9054-b74f-49ab-857b-109fd2cec80d</t>
        </is>
      </c>
      <c r="D6900" t="n">
        <v>55.64083</v>
      </c>
      <c r="E6900" t="n">
        <v>37.6882</v>
      </c>
      <c r="F6900" t="inlineStr"/>
      <c r="G6900" t="inlineStr"/>
      <c r="H6900" t="inlineStr"/>
    </row>
    <row r="6901">
      <c r="A6901" t="inlineStr">
        <is>
          <t>853874f1-79db-4fd6-b593-079699305754.jpg</t>
        </is>
      </c>
      <c r="B6901">
        <f>HYPERLINK("Объекты недвижимости, не соответствующие градостроительным нормам_00-022_Август/853874f1-79db-4fd6-b593-079699305754.jpg","open")</f>
        <v/>
      </c>
      <c r="C6901" t="inlineStr">
        <is>
          <t>8cde1fd0-eca1-4510-86ab-3c743b65fdfc</t>
        </is>
      </c>
      <c r="D6901" t="n">
        <v>55.79129</v>
      </c>
      <c r="E6901" t="n">
        <v>37.93866</v>
      </c>
      <c r="F6901" t="inlineStr"/>
      <c r="G6901" t="inlineStr"/>
      <c r="H6901" t="inlineStr"/>
    </row>
    <row r="6902">
      <c r="A6902" t="inlineStr">
        <is>
          <t>6c2af540-375d-4ba5-9bd5-fb63de8d24ac.jpg</t>
        </is>
      </c>
      <c r="B6902">
        <f>HYPERLINK("Объекты недвижимости, не соответствующие градостроительным нормам_00-022_Август/6c2af540-375d-4ba5-9bd5-fb63de8d24ac.jpg","open")</f>
        <v/>
      </c>
      <c r="C6902" t="inlineStr">
        <is>
          <t>8cde1fd0-eca1-4510-86ab-3c743b65fdfc</t>
        </is>
      </c>
      <c r="D6902" t="n">
        <v>55.79129</v>
      </c>
      <c r="E6902" t="n">
        <v>37.93866</v>
      </c>
      <c r="F6902" t="inlineStr"/>
      <c r="G6902" t="inlineStr"/>
      <c r="H6902" t="inlineStr"/>
    </row>
    <row r="6903">
      <c r="A6903" t="inlineStr">
        <is>
          <t>99b3d228-7802-4285-b748-d41197ce89d1.jpg</t>
        </is>
      </c>
      <c r="B6903">
        <f>HYPERLINK("Объекты недвижимости, не соответствующие градостроительным нормам_00-022_Август/99b3d228-7802-4285-b748-d41197ce89d1.jpg","open")</f>
        <v/>
      </c>
      <c r="C6903" t="inlineStr">
        <is>
          <t>1a55986c-2c3f-40c0-b3d1-014dce77832e</t>
        </is>
      </c>
      <c r="D6903" t="n">
        <v>55.79037</v>
      </c>
      <c r="E6903" t="n">
        <v>38.15181</v>
      </c>
      <c r="F6903" t="inlineStr"/>
      <c r="G6903" t="inlineStr"/>
      <c r="H6903" t="inlineStr"/>
    </row>
    <row r="6904">
      <c r="A6904" t="inlineStr">
        <is>
          <t>ed630899-2472-4c93-bb28-dcb16808c667.jpg</t>
        </is>
      </c>
      <c r="B6904">
        <f>HYPERLINK("Объекты недвижимости, не соответствующие градостроительным нормам_00-022_Август/ed630899-2472-4c93-bb28-dcb16808c667.jpg","open")</f>
        <v/>
      </c>
      <c r="C6904" t="inlineStr">
        <is>
          <t>ed2bf0f1-3a66-4913-896e-4420a9796c0b</t>
        </is>
      </c>
      <c r="D6904" t="n">
        <v>55.79037</v>
      </c>
      <c r="E6904" t="n">
        <v>38.15181</v>
      </c>
      <c r="F6904" t="inlineStr"/>
      <c r="G6904" t="inlineStr"/>
      <c r="H6904" t="inlineStr"/>
    </row>
    <row r="6905">
      <c r="A6905" t="inlineStr">
        <is>
          <t>be0a6401-8edb-461e-ad2b-e07f156f0b7f.jpg</t>
        </is>
      </c>
      <c r="B6905">
        <f>HYPERLINK("Объекты недвижимости, не соответствующие градостроительным нормам_00-022_Август/be0a6401-8edb-461e-ad2b-e07f156f0b7f.jpg","open")</f>
        <v/>
      </c>
      <c r="C6905" t="inlineStr">
        <is>
          <t>685d9054-b74f-49ab-857b-109fd2cec80d</t>
        </is>
      </c>
      <c r="D6905" t="n">
        <v>55.5537</v>
      </c>
      <c r="E6905" t="n">
        <v>37.56004</v>
      </c>
      <c r="F6905" t="inlineStr"/>
      <c r="G6905" t="inlineStr"/>
      <c r="H6905" t="inlineStr"/>
    </row>
    <row r="6906">
      <c r="A6906" t="inlineStr">
        <is>
          <t>e702f6fa-cd34-47d6-a5a2-73e68f93d1cd.jpg</t>
        </is>
      </c>
      <c r="B6906">
        <f>HYPERLINK("Объекты недвижимости, не соответствующие градостроительным нормам_00-022_Август/e702f6fa-cd34-47d6-a5a2-73e68f93d1cd.jpg","open")</f>
        <v/>
      </c>
      <c r="C6906" t="inlineStr">
        <is>
          <t>685d9054-b74f-49ab-857b-109fd2cec80d</t>
        </is>
      </c>
      <c r="D6906" t="n">
        <v>55.55238</v>
      </c>
      <c r="E6906" t="n">
        <v>37.55503</v>
      </c>
      <c r="F6906" t="inlineStr"/>
      <c r="G6906" t="inlineStr"/>
      <c r="H6906" t="inlineStr"/>
    </row>
    <row r="6907">
      <c r="A6907" t="inlineStr">
        <is>
          <t>a172b3db-2db8-469e-906c-50de3e421984.jpg</t>
        </is>
      </c>
      <c r="B6907">
        <f>HYPERLINK("Объекты недвижимости, не соответствующие градостроительным нормам_00-022_Август/a172b3db-2db8-469e-906c-50de3e421984.jpg","open")</f>
        <v/>
      </c>
      <c r="C6907" t="inlineStr">
        <is>
          <t>57812597-37e6-414c-8b11-8c661dbfeb70</t>
        </is>
      </c>
      <c r="D6907" t="n">
        <v>55.67164</v>
      </c>
      <c r="E6907" t="n">
        <v>37.47689</v>
      </c>
      <c r="F6907" t="inlineStr"/>
      <c r="G6907" t="inlineStr"/>
      <c r="H6907" t="inlineStr"/>
    </row>
    <row r="6908">
      <c r="A6908" t="inlineStr">
        <is>
          <t>ab9d7296-8d6a-4162-a6d9-c9595901bcc3.jpg</t>
        </is>
      </c>
      <c r="B6908">
        <f>HYPERLINK("Объекты недвижимости, не соответствующие градостроительным нормам_00-022_Август/ab9d7296-8d6a-4162-a6d9-c9595901bcc3.jpg","open")</f>
        <v/>
      </c>
      <c r="C6908" t="inlineStr">
        <is>
          <t>685d9054-b74f-49ab-857b-109fd2cec80d</t>
        </is>
      </c>
      <c r="D6908" t="n">
        <v>55.53781</v>
      </c>
      <c r="E6908" t="n">
        <v>37.53308</v>
      </c>
      <c r="F6908" t="inlineStr"/>
      <c r="G6908" t="inlineStr"/>
      <c r="H6908" t="inlineStr"/>
    </row>
    <row r="6909">
      <c r="A6909" t="inlineStr">
        <is>
          <t>ab81ac49-3f13-449f-ade0-cc136311637a.jpg</t>
        </is>
      </c>
      <c r="B6909">
        <f>HYPERLINK("Объекты недвижимости, не соответствующие градостроительным нормам_00-022_Август/ab81ac49-3f13-449f-ade0-cc136311637a.jpg","open")</f>
        <v/>
      </c>
      <c r="C6909" t="inlineStr">
        <is>
          <t>1231bbc5-e64c-4dc7-9acc-77710f47607a</t>
        </is>
      </c>
      <c r="D6909" t="n">
        <v>55.53688</v>
      </c>
      <c r="E6909" t="n">
        <v>37.53227</v>
      </c>
      <c r="F6909" t="inlineStr"/>
      <c r="G6909" t="inlineStr"/>
      <c r="H6909" t="inlineStr"/>
    </row>
    <row r="6910">
      <c r="A6910" t="inlineStr">
        <is>
          <t>02e568de-1df8-48f4-9e2a-f2ce1102453d.jpg</t>
        </is>
      </c>
      <c r="B6910">
        <f>HYPERLINK("Объекты недвижимости, не соответствующие градостроительным нормам_00-022_Август/02e568de-1df8-48f4-9e2a-f2ce1102453d.jpg","open")</f>
        <v/>
      </c>
      <c r="C6910" t="inlineStr">
        <is>
          <t>685d9054-b74f-49ab-857b-109fd2cec80d</t>
        </is>
      </c>
      <c r="D6910" t="n">
        <v>55.53645</v>
      </c>
      <c r="E6910" t="n">
        <v>37.53222</v>
      </c>
      <c r="F6910" t="inlineStr"/>
      <c r="G6910" t="inlineStr"/>
      <c r="H6910" t="inlineStr"/>
    </row>
    <row r="6911">
      <c r="A6911" t="inlineStr">
        <is>
          <t>cad3c158-2512-4023-97fc-6ba65cefb020.jpg</t>
        </is>
      </c>
      <c r="B6911">
        <f>HYPERLINK("Объекты недвижимости, не соответствующие градостроительным нормам_00-022_Август/cad3c158-2512-4023-97fc-6ba65cefb020.jpg","open")</f>
        <v/>
      </c>
      <c r="C6911" t="inlineStr">
        <is>
          <t>685d9054-b74f-49ab-857b-109fd2cec80d</t>
        </is>
      </c>
      <c r="D6911" t="n">
        <v>55.53602</v>
      </c>
      <c r="E6911" t="n">
        <v>37.53142</v>
      </c>
      <c r="F6911" t="inlineStr"/>
      <c r="G6911" t="inlineStr"/>
      <c r="H6911" t="inlineStr"/>
    </row>
    <row r="6912">
      <c r="A6912" t="inlineStr">
        <is>
          <t>aded108c-5650-4c14-81b8-5fe9d999a814.jpg</t>
        </is>
      </c>
      <c r="B6912">
        <f>HYPERLINK("Объекты недвижимости, не соответствующие градостроительным нормам_00-022_Август/aded108c-5650-4c14-81b8-5fe9d999a814.jpg","open")</f>
        <v/>
      </c>
      <c r="C6912" t="inlineStr">
        <is>
          <t>ed2bf0f1-3a66-4913-896e-4420a9796c0b</t>
        </is>
      </c>
      <c r="D6912" t="n">
        <v>55.68734</v>
      </c>
      <c r="E6912" t="n">
        <v>37.54412</v>
      </c>
      <c r="F6912" t="inlineStr"/>
      <c r="G6912" t="inlineStr"/>
      <c r="H6912" t="inlineStr"/>
    </row>
    <row r="6913">
      <c r="A6913" t="inlineStr">
        <is>
          <t>4fab1fe1-3781-4bf2-a880-f8b50ea9fbc1.jpg</t>
        </is>
      </c>
      <c r="B6913">
        <f>HYPERLINK("Объекты недвижимости, не соответствующие градостроительным нормам_00-022_Август/4fab1fe1-3781-4bf2-a880-f8b50ea9fbc1.jpg","open")</f>
        <v/>
      </c>
      <c r="C6913" t="inlineStr">
        <is>
          <t>1c951e11-4940-43c6-a447-394097e5609a</t>
        </is>
      </c>
      <c r="D6913" t="n">
        <v>55.77808</v>
      </c>
      <c r="E6913" t="n">
        <v>37.58191</v>
      </c>
      <c r="F6913" t="inlineStr"/>
      <c r="G6913" t="inlineStr"/>
      <c r="H6913" t="inlineStr"/>
    </row>
    <row r="6914">
      <c r="A6914" t="inlineStr">
        <is>
          <t>dd832add-d0d5-47cf-b231-94985ec89603.jpg</t>
        </is>
      </c>
      <c r="B6914">
        <f>HYPERLINK("Объекты недвижимости, не соответствующие градостроительным нормам_00-022_Август/dd832add-d0d5-47cf-b231-94985ec89603.jpg","open")</f>
        <v/>
      </c>
      <c r="C6914" t="inlineStr">
        <is>
          <t>8cde1fd0-eca1-4510-86ab-3c743b65fdfc</t>
        </is>
      </c>
      <c r="D6914" t="n">
        <v>55.77811</v>
      </c>
      <c r="E6914" t="n">
        <v>37.58191</v>
      </c>
      <c r="F6914" t="inlineStr"/>
      <c r="G6914" t="inlineStr"/>
      <c r="H6914" t="inlineStr"/>
    </row>
    <row r="6915">
      <c r="A6915" t="inlineStr">
        <is>
          <t>b8d855ef-9588-47fe-b327-9f2e2feeaebf.jpg</t>
        </is>
      </c>
      <c r="B6915">
        <f>HYPERLINK("Объекты недвижимости, не соответствующие градостроительным нормам_00-022_Август/b8d855ef-9588-47fe-b327-9f2e2feeaebf.jpg","open")</f>
        <v/>
      </c>
      <c r="C6915" t="inlineStr">
        <is>
          <t>1a55986c-2c3f-40c0-b3d1-014dce77832e</t>
        </is>
      </c>
      <c r="D6915" t="n">
        <v>55.68389</v>
      </c>
      <c r="E6915" t="n">
        <v>37.53851</v>
      </c>
      <c r="F6915" t="inlineStr"/>
      <c r="G6915" t="inlineStr"/>
      <c r="H6915" t="inlineStr"/>
    </row>
    <row r="6916">
      <c r="A6916" t="inlineStr">
        <is>
          <t>dfc2d2af-1217-4e36-9e9a-d6487d4d66fe.jpg</t>
        </is>
      </c>
      <c r="B6916">
        <f>HYPERLINK("Объекты недвижимости, не соответствующие градостроительным нормам_00-022_Август/dfc2d2af-1217-4e36-9e9a-d6487d4d66fe.jpg","open")</f>
        <v/>
      </c>
      <c r="C6916" t="inlineStr">
        <is>
          <t>8cde1fd0-eca1-4510-86ab-3c743b65fdfc</t>
        </is>
      </c>
      <c r="D6916" t="n">
        <v>55.78379</v>
      </c>
      <c r="E6916" t="n">
        <v>37.58556</v>
      </c>
      <c r="F6916" t="inlineStr"/>
      <c r="G6916" t="inlineStr"/>
      <c r="H6916" t="inlineStr"/>
    </row>
    <row r="6917">
      <c r="A6917" t="inlineStr">
        <is>
          <t>ebde5ea7-50b7-4f6e-92e6-95d095270593.jpg</t>
        </is>
      </c>
      <c r="B6917">
        <f>HYPERLINK("Объекты недвижимости, не соответствующие градостроительным нормам_00-022_Август/ebde5ea7-50b7-4f6e-92e6-95d095270593.jpg","open")</f>
        <v/>
      </c>
      <c r="C6917" t="inlineStr">
        <is>
          <t>8cde1fd0-eca1-4510-86ab-3c743b65fdfc</t>
        </is>
      </c>
      <c r="D6917" t="n">
        <v>55.78583</v>
      </c>
      <c r="E6917" t="n">
        <v>37.5843</v>
      </c>
      <c r="F6917" t="inlineStr"/>
      <c r="G6917" t="inlineStr"/>
      <c r="H6917" t="inlineStr"/>
    </row>
    <row r="6918">
      <c r="A6918" t="inlineStr">
        <is>
          <t>835df37e-5218-4fde-afef-b97cfc2b7d4f.jpg</t>
        </is>
      </c>
      <c r="B6918">
        <f>HYPERLINK("Объекты недвижимости, не соответствующие градостроительным нормам_00-022_Август/835df37e-5218-4fde-afef-b97cfc2b7d4f.jpg","open")</f>
        <v/>
      </c>
      <c r="C6918" t="inlineStr">
        <is>
          <t>036c664f-5408-4fd0-b479-342c00468eeb</t>
        </is>
      </c>
      <c r="D6918" t="n">
        <v>55.6344</v>
      </c>
      <c r="E6918" t="n">
        <v>37.60365</v>
      </c>
      <c r="F6918" t="inlineStr"/>
      <c r="G6918" t="inlineStr"/>
      <c r="H6918" t="inlineStr"/>
    </row>
    <row r="6919">
      <c r="A6919" t="inlineStr">
        <is>
          <t>db0f2a60-0c91-4381-b64a-d89a05f6c32c.jpg</t>
        </is>
      </c>
      <c r="B6919">
        <f>HYPERLINK("Объекты недвижимости, не соответствующие градостроительным нормам_00-022_Август/db0f2a60-0c91-4381-b64a-d89a05f6c32c.jpg","open")</f>
        <v/>
      </c>
      <c r="C6919" t="inlineStr">
        <is>
          <t>d2c4eccd-3e4b-406c-a903-0f5e43d0be35</t>
        </is>
      </c>
      <c r="D6919" t="n">
        <v>55.72316</v>
      </c>
      <c r="E6919" t="n">
        <v>37.44801</v>
      </c>
      <c r="F6919" t="inlineStr"/>
      <c r="G6919" t="inlineStr"/>
      <c r="H6919" t="inlineStr"/>
    </row>
    <row r="6920">
      <c r="A6920" t="inlineStr">
        <is>
          <t>302e598e-09e2-4d82-b62a-732bf4c7f626.jpg</t>
        </is>
      </c>
      <c r="B6920">
        <f>HYPERLINK("Объекты недвижимости, не соответствующие градостроительным нормам_00-022_Август/302e598e-09e2-4d82-b62a-732bf4c7f626.jpg","open")</f>
        <v/>
      </c>
      <c r="C6920" t="inlineStr">
        <is>
          <t>8cde1fd0-eca1-4510-86ab-3c743b65fdfc</t>
        </is>
      </c>
      <c r="D6920" t="n">
        <v>55.79113</v>
      </c>
      <c r="E6920" t="n">
        <v>37.58671</v>
      </c>
      <c r="F6920" t="inlineStr"/>
      <c r="G6920" t="inlineStr"/>
      <c r="H6920" t="inlineStr"/>
    </row>
    <row r="6921">
      <c r="A6921" t="inlineStr">
        <is>
          <t>6e40545d-035b-4bc4-a69b-6d07530edd58.jpg</t>
        </is>
      </c>
      <c r="B6921">
        <f>HYPERLINK("Объекты недвижимости, не соответствующие градостроительным нормам_00-022_Август/6e40545d-035b-4bc4-a69b-6d07530edd58.jpg","open")</f>
        <v/>
      </c>
      <c r="C6921" t="inlineStr">
        <is>
          <t>cbf95b01-f708-45a3-9ec0-3603469b538e</t>
        </is>
      </c>
      <c r="D6921" t="n">
        <v>55.71</v>
      </c>
      <c r="E6921" t="n">
        <v>37.52318</v>
      </c>
      <c r="F6921" t="inlineStr"/>
      <c r="G6921" t="inlineStr"/>
      <c r="H6921" t="inlineStr"/>
    </row>
    <row r="6922">
      <c r="A6922" t="inlineStr">
        <is>
          <t>f7948559-c897-4c00-8ea5-daad803b9ef8.jpg</t>
        </is>
      </c>
      <c r="B6922">
        <f>HYPERLINK("Объекты недвижимости, не соответствующие градостроительным нормам_00-022_Август/f7948559-c897-4c00-8ea5-daad803b9ef8.jpg","open")</f>
        <v/>
      </c>
      <c r="C6922" t="inlineStr">
        <is>
          <t>8cde1fd0-eca1-4510-86ab-3c743b65fdfc</t>
        </is>
      </c>
      <c r="D6922" t="n">
        <v>55.78071</v>
      </c>
      <c r="E6922" t="n">
        <v>37.58342</v>
      </c>
      <c r="F6922" t="inlineStr"/>
      <c r="G6922" t="inlineStr"/>
      <c r="H6922" t="inlineStr"/>
    </row>
    <row r="6923">
      <c r="A6923" t="inlineStr">
        <is>
          <t>4958b601-fc58-4fc9-b6f2-d141e4083e2b.jpg</t>
        </is>
      </c>
      <c r="B6923">
        <f>HYPERLINK("Объекты недвижимости, не соответствующие градостроительным нормам_00-022_Август/4958b601-fc58-4fc9-b6f2-d141e4083e2b.jpg","open")</f>
        <v/>
      </c>
      <c r="C6923" t="inlineStr">
        <is>
          <t>8cde1fd0-eca1-4510-86ab-3c743b65fdfc</t>
        </is>
      </c>
      <c r="D6923" t="n">
        <v>55.78327</v>
      </c>
      <c r="E6923" t="n">
        <v>37.57168</v>
      </c>
      <c r="F6923" t="inlineStr"/>
      <c r="G6923" t="inlineStr"/>
      <c r="H6923" t="inlineStr"/>
    </row>
    <row r="6924">
      <c r="A6924" t="inlineStr">
        <is>
          <t>b700f035-661a-4372-8e12-c9e063f18860.jpg</t>
        </is>
      </c>
      <c r="B6924">
        <f>HYPERLINK("Объекты недвижимости, не соответствующие градостроительным нормам_00-022_Август/b700f035-661a-4372-8e12-c9e063f18860.jpg","open")</f>
        <v/>
      </c>
      <c r="C6924" t="inlineStr">
        <is>
          <t>b0429a31-0c70-4b9f-8ea5-73929d82f89e</t>
        </is>
      </c>
      <c r="D6924" t="n">
        <v>55.65107</v>
      </c>
      <c r="E6924" t="n">
        <v>37.61948</v>
      </c>
      <c r="F6924" t="inlineStr"/>
      <c r="G6924" t="inlineStr"/>
      <c r="H6924" t="inlineStr"/>
    </row>
    <row r="6925">
      <c r="A6925" t="inlineStr">
        <is>
          <t>a03b49ad-dbec-47e7-b8b9-17178a705b09.jpg</t>
        </is>
      </c>
      <c r="B6925">
        <f>HYPERLINK("Объекты недвижимости, не соответствующие градостроительным нормам_00-022_Август/a03b49ad-dbec-47e7-b8b9-17178a705b09.jpg","open")</f>
        <v/>
      </c>
      <c r="C6925" t="inlineStr">
        <is>
          <t>b6b3590f-f506-4399-8205-e7ac710132e7</t>
        </is>
      </c>
      <c r="D6925" t="n">
        <v>55.79776</v>
      </c>
      <c r="E6925" t="n">
        <v>37.54047</v>
      </c>
      <c r="F6925" t="inlineStr"/>
      <c r="G6925" t="inlineStr"/>
      <c r="H6925" t="inlineStr"/>
    </row>
    <row r="6926">
      <c r="A6926" t="inlineStr">
        <is>
          <t>e102ad4d-020a-4aff-8910-38e6e1786b40.jpg</t>
        </is>
      </c>
      <c r="B6926">
        <f>HYPERLINK("Объекты недвижимости, не соответствующие градостроительным нормам_00-022_Август/e102ad4d-020a-4aff-8910-38e6e1786b40.jpg","open")</f>
        <v/>
      </c>
      <c r="C6926" t="inlineStr">
        <is>
          <t>e26f5fc2-1353-4f29-85f3-87c56419161c</t>
        </is>
      </c>
      <c r="D6926" t="n">
        <v>55.79212</v>
      </c>
      <c r="E6926" t="n">
        <v>37.63637</v>
      </c>
      <c r="F6926" t="inlineStr"/>
      <c r="G6926" t="inlineStr"/>
      <c r="H6926" t="inlineStr"/>
    </row>
    <row r="6927">
      <c r="A6927" t="inlineStr">
        <is>
          <t>ee8d00c9-f219-4b74-a426-15ac25474004.jpg</t>
        </is>
      </c>
      <c r="B6927">
        <f>HYPERLINK("Объекты недвижимости, не соответствующие градостроительным нормам_00-022_Август/ee8d00c9-f219-4b74-a426-15ac25474004.jpg","open")</f>
        <v/>
      </c>
      <c r="C6927" t="inlineStr">
        <is>
          <t>1231bbc5-e64c-4dc7-9acc-77710f47607a</t>
        </is>
      </c>
      <c r="D6927" t="n">
        <v>55.53497</v>
      </c>
      <c r="E6927" t="n">
        <v>37.51899</v>
      </c>
      <c r="F6927" t="inlineStr"/>
      <c r="G6927" t="inlineStr"/>
      <c r="H6927" t="inlineStr"/>
    </row>
    <row r="6928">
      <c r="A6928" t="inlineStr">
        <is>
          <t>fbd41c34-ad98-4b2a-aab7-878d32a79dd0.jpg</t>
        </is>
      </c>
      <c r="B6928">
        <f>HYPERLINK("Объекты недвижимости, не соответствующие градостроительным нормам_00-022_Август/fbd41c34-ad98-4b2a-aab7-878d32a79dd0.jpg","open")</f>
        <v/>
      </c>
      <c r="C6928" t="inlineStr">
        <is>
          <t>f60286ac-55e7-4099-85bd-cc599a7a0c65</t>
        </is>
      </c>
      <c r="D6928" t="n">
        <v>55.75142</v>
      </c>
      <c r="E6928" t="n">
        <v>37.78138</v>
      </c>
      <c r="F6928" t="inlineStr"/>
      <c r="G6928" t="inlineStr"/>
      <c r="H6928" t="inlineStr"/>
    </row>
    <row r="6929">
      <c r="A6929" t="inlineStr">
        <is>
          <t>cb369ee8-98af-40c5-a559-49c9e1f45a53.jpg</t>
        </is>
      </c>
      <c r="B6929">
        <f>HYPERLINK("Объекты недвижимости, не соответствующие градостроительным нормам_00-022_Август/cb369ee8-98af-40c5-a559-49c9e1f45a53.jpg","open")</f>
        <v/>
      </c>
      <c r="C6929" t="inlineStr">
        <is>
          <t>8cde1fd0-eca1-4510-86ab-3c743b65fdfc</t>
        </is>
      </c>
      <c r="D6929" t="n">
        <v>55.78905</v>
      </c>
      <c r="E6929" t="n">
        <v>37.57127</v>
      </c>
      <c r="F6929" t="inlineStr"/>
      <c r="G6929" t="inlineStr"/>
      <c r="H6929" t="inlineStr"/>
    </row>
    <row r="6930">
      <c r="A6930" t="inlineStr">
        <is>
          <t>38097d6b-602f-4e94-9f2c-777b09fb076a.jpg</t>
        </is>
      </c>
      <c r="B6930">
        <f>HYPERLINK("Объекты недвижимости, не соответствующие градостроительным нормам_00-022_Август/38097d6b-602f-4e94-9f2c-777b09fb076a.jpg","open")</f>
        <v/>
      </c>
      <c r="C6930" t="inlineStr">
        <is>
          <t>ed2bf0f1-3a66-4913-896e-4420a9796c0b</t>
        </is>
      </c>
      <c r="D6930" t="n">
        <v>55.57576</v>
      </c>
      <c r="E6930" t="n">
        <v>37.45945</v>
      </c>
      <c r="F6930" t="inlineStr"/>
      <c r="G6930" t="inlineStr"/>
      <c r="H6930" t="inlineStr"/>
    </row>
    <row r="6931">
      <c r="A6931" t="inlineStr">
        <is>
          <t>cf220c78-5190-4997-80a2-0c52c2678dc5.jpg</t>
        </is>
      </c>
      <c r="B6931">
        <f>HYPERLINK("Объекты недвижимости, не соответствующие градостроительным нормам_00-022_Август/cf220c78-5190-4997-80a2-0c52c2678dc5.jpg","open")</f>
        <v/>
      </c>
      <c r="C6931" t="inlineStr">
        <is>
          <t>9fb3d110-951f-48da-9d90-cfd7e1b5800d</t>
        </is>
      </c>
      <c r="D6931" t="n">
        <v>55.66093</v>
      </c>
      <c r="E6931" t="n">
        <v>37.48693</v>
      </c>
      <c r="F6931" t="inlineStr"/>
      <c r="G6931" t="inlineStr"/>
      <c r="H6931" t="inlineStr"/>
    </row>
    <row r="6932">
      <c r="A6932" t="inlineStr">
        <is>
          <t>e17a5f71-0228-4c3b-a4aa-94a18fa41bd9.jpg</t>
        </is>
      </c>
      <c r="B6932">
        <f>HYPERLINK("Объекты недвижимости, не соответствующие градостроительным нормам_00-022_Август/e17a5f71-0228-4c3b-a4aa-94a18fa41bd9.jpg","open")</f>
        <v/>
      </c>
      <c r="C6932" t="inlineStr">
        <is>
          <t>61936922-4d4b-458e-80ea-6d4c450aa1d5</t>
        </is>
      </c>
      <c r="D6932" t="n">
        <v>55.66093</v>
      </c>
      <c r="E6932" t="n">
        <v>37.48695</v>
      </c>
      <c r="F6932" t="inlineStr"/>
      <c r="G6932" t="inlineStr"/>
      <c r="H6932" t="inlineStr"/>
    </row>
    <row r="6933">
      <c r="A6933" t="inlineStr">
        <is>
          <t>49b0d777-5d3f-4436-b92f-28d07bd78367.jpg</t>
        </is>
      </c>
      <c r="B6933">
        <f>HYPERLINK("Объекты недвижимости, не соответствующие градостроительным нормам_00-022_Август/49b0d777-5d3f-4436-b92f-28d07bd78367.jpg","open")</f>
        <v/>
      </c>
      <c r="C6933" t="inlineStr">
        <is>
          <t>8cde1fd0-eca1-4510-86ab-3c743b65fdfc</t>
        </is>
      </c>
      <c r="D6933" t="n">
        <v>55.78615</v>
      </c>
      <c r="E6933" t="n">
        <v>37.57956</v>
      </c>
      <c r="F6933" t="inlineStr"/>
      <c r="G6933" t="inlineStr"/>
      <c r="H6933" t="inlineStr"/>
    </row>
    <row r="6934">
      <c r="A6934" t="inlineStr">
        <is>
          <t>a494f514-2e5e-4ab4-ac45-40684d24e8b7.jpg</t>
        </is>
      </c>
      <c r="B6934">
        <f>HYPERLINK("Объекты недвижимости, не соответствующие градостроительным нормам_00-022_Август/a494f514-2e5e-4ab4-ac45-40684d24e8b7.jpg","open")</f>
        <v/>
      </c>
      <c r="C6934" t="inlineStr">
        <is>
          <t>ffd931da-542f-43e9-979f-5552b17fe3dc</t>
        </is>
      </c>
      <c r="D6934" t="n">
        <v>55.75418</v>
      </c>
      <c r="E6934" t="n">
        <v>37.7789</v>
      </c>
      <c r="F6934" t="inlineStr"/>
      <c r="G6934" t="inlineStr"/>
      <c r="H6934" t="inlineStr"/>
    </row>
    <row r="6935">
      <c r="A6935" t="inlineStr">
        <is>
          <t>c3a6e52f-7141-48bf-ae66-52bf4733dbcd.jpg</t>
        </is>
      </c>
      <c r="B6935">
        <f>HYPERLINK("Объекты недвижимости, не соответствующие градостроительным нормам_00-022_Август/c3a6e52f-7141-48bf-ae66-52bf4733dbcd.jpg","open")</f>
        <v/>
      </c>
      <c r="C6935" t="inlineStr">
        <is>
          <t>9fb3d110-951f-48da-9d90-cfd7e1b5800d</t>
        </is>
      </c>
      <c r="D6935" t="n">
        <v>55.66293</v>
      </c>
      <c r="E6935" t="n">
        <v>37.48828</v>
      </c>
      <c r="F6935" t="inlineStr"/>
      <c r="G6935" t="inlineStr"/>
      <c r="H6935" t="inlineStr"/>
    </row>
    <row r="6936">
      <c r="A6936" t="inlineStr">
        <is>
          <t>4af9b1d3-db71-4089-b221-f9b2dccffc76.jpg</t>
        </is>
      </c>
      <c r="B6936">
        <f>HYPERLINK("Объекты недвижимости, не соответствующие градостроительным нормам_00-022_Август/4af9b1d3-db71-4089-b221-f9b2dccffc76.jpg","open")</f>
        <v/>
      </c>
      <c r="C6936" t="inlineStr">
        <is>
          <t>caa4772d-6278-4484-a046-ee25514bf521</t>
        </is>
      </c>
      <c r="D6936" t="n">
        <v>55.73249</v>
      </c>
      <c r="E6936" t="n">
        <v>37.69616</v>
      </c>
      <c r="F6936" t="inlineStr"/>
      <c r="G6936" t="inlineStr"/>
      <c r="H6936" t="inlineStr"/>
    </row>
    <row r="6937">
      <c r="A6937" t="inlineStr">
        <is>
          <t>4a087d5b-f1ff-495c-bff6-411b16e81178.jpg</t>
        </is>
      </c>
      <c r="B6937">
        <f>HYPERLINK("Объекты недвижимости, не соответствующие градостроительным нормам_00-022_Август/4a087d5b-f1ff-495c-bff6-411b16e81178.jpg","open")</f>
        <v/>
      </c>
      <c r="C6937" t="inlineStr">
        <is>
          <t>61936922-4d4b-458e-80ea-6d4c450aa1d5</t>
        </is>
      </c>
      <c r="D6937" t="n">
        <v>55.66074</v>
      </c>
      <c r="E6937" t="n">
        <v>37.48789</v>
      </c>
      <c r="F6937" t="inlineStr"/>
      <c r="G6937" t="inlineStr"/>
      <c r="H6937" t="inlineStr"/>
    </row>
    <row r="6938">
      <c r="A6938" t="inlineStr">
        <is>
          <t>7f8aab45-9652-4cd0-a2e4-eaf85dde17f4.jpg</t>
        </is>
      </c>
      <c r="B6938">
        <f>HYPERLINK("Объекты недвижимости, не соответствующие градостроительным нормам_00-022_Август/7f8aab45-9652-4cd0-a2e4-eaf85dde17f4.jpg","open")</f>
        <v/>
      </c>
      <c r="C6938" t="inlineStr">
        <is>
          <t>036c664f-5408-4fd0-b479-342c00468eeb</t>
        </is>
      </c>
      <c r="D6938" t="n">
        <v>55.64946</v>
      </c>
      <c r="E6938" t="n">
        <v>37.51</v>
      </c>
      <c r="F6938" t="inlineStr"/>
      <c r="G6938" t="inlineStr"/>
      <c r="H6938" t="inlineStr"/>
    </row>
    <row r="6939">
      <c r="A6939" t="inlineStr">
        <is>
          <t>5ec5fef7-7a69-47dd-9a5c-92f72a3a13d0.jpg</t>
        </is>
      </c>
      <c r="B6939">
        <f>HYPERLINK("Объекты недвижимости, не соответствующие градостроительным нормам_00-022_Август/5ec5fef7-7a69-47dd-9a5c-92f72a3a13d0.jpg","open")</f>
        <v/>
      </c>
      <c r="C6939" t="inlineStr">
        <is>
          <t>cbf95b01-f708-45a3-9ec0-3603469b538e</t>
        </is>
      </c>
      <c r="D6939" t="n">
        <v>55.84356</v>
      </c>
      <c r="E6939" t="n">
        <v>37.57585</v>
      </c>
      <c r="F6939" t="inlineStr"/>
      <c r="G6939" t="inlineStr"/>
      <c r="H6939" t="inlineStr"/>
    </row>
    <row r="6940">
      <c r="A6940" t="inlineStr">
        <is>
          <t>cf53c986-0c0c-43f6-b1e4-06a596336afe.jpg</t>
        </is>
      </c>
      <c r="B6940">
        <f>HYPERLINK("Объекты недвижимости, не соответствующие градостроительным нормам_00-022_Август/cf53c986-0c0c-43f6-b1e4-06a596336afe.jpg","open")</f>
        <v/>
      </c>
      <c r="C6940" t="inlineStr">
        <is>
          <t>cbf95b01-f708-45a3-9ec0-3603469b538e</t>
        </is>
      </c>
      <c r="D6940" t="n">
        <v>55.84356</v>
      </c>
      <c r="E6940" t="n">
        <v>37.57585</v>
      </c>
      <c r="F6940" t="inlineStr"/>
      <c r="G6940" t="inlineStr"/>
      <c r="H6940" t="inlineStr"/>
    </row>
    <row r="6941">
      <c r="A6941" t="inlineStr">
        <is>
          <t>5240a2c1-d93a-4693-a3e6-de7533219490.jpg</t>
        </is>
      </c>
      <c r="B6941">
        <f>HYPERLINK("Объекты недвижимости, не соответствующие градостроительным нормам_00-022_Август/5240a2c1-d93a-4693-a3e6-de7533219490.jpg","open")</f>
        <v/>
      </c>
      <c r="C6941" t="inlineStr">
        <is>
          <t>cbf95b01-f708-45a3-9ec0-3603469b538e</t>
        </is>
      </c>
      <c r="D6941" t="n">
        <v>55.84356</v>
      </c>
      <c r="E6941" t="n">
        <v>37.57585</v>
      </c>
      <c r="F6941" t="inlineStr"/>
      <c r="G6941" t="inlineStr"/>
      <c r="H6941" t="inlineStr"/>
    </row>
    <row r="6942">
      <c r="A6942" t="inlineStr">
        <is>
          <t>6d624b08-93ee-46c2-9c58-0ed5112a18f4.jpg</t>
        </is>
      </c>
      <c r="B6942">
        <f>HYPERLINK("Объекты недвижимости, не соответствующие градостроительным нормам_00-022_Август/6d624b08-93ee-46c2-9c58-0ed5112a18f4.jpg","open")</f>
        <v/>
      </c>
      <c r="C6942" t="inlineStr">
        <is>
          <t>8cde1fd0-eca1-4510-86ab-3c743b65fdfc</t>
        </is>
      </c>
      <c r="D6942" t="n">
        <v>55.78754</v>
      </c>
      <c r="E6942" t="n">
        <v>37.57254</v>
      </c>
      <c r="F6942" t="inlineStr"/>
      <c r="G6942" t="inlineStr"/>
      <c r="H6942" t="inlineStr"/>
    </row>
    <row r="6943">
      <c r="A6943" t="inlineStr">
        <is>
          <t>2dd5e18e-7018-463a-b0e8-648d23ba08ca.jpg</t>
        </is>
      </c>
      <c r="B6943">
        <f>HYPERLINK("Объекты недвижимости, не соответствующие градостроительным нормам_00-022_Август/2dd5e18e-7018-463a-b0e8-648d23ba08ca.jpg","open")</f>
        <v/>
      </c>
      <c r="C6943" t="inlineStr">
        <is>
          <t>93848fc8-17e7-4748-9ebc-c7e379e11d2f</t>
        </is>
      </c>
      <c r="D6943" t="n">
        <v>55.75195</v>
      </c>
      <c r="E6943" t="n">
        <v>37.71649</v>
      </c>
      <c r="F6943" t="inlineStr"/>
      <c r="G6943" t="inlineStr"/>
      <c r="H6943" t="inlineStr"/>
    </row>
    <row r="6944">
      <c r="A6944" t="inlineStr">
        <is>
          <t>b04c5b9d-8dfc-45b9-b44d-aca8e9bf05fb.jpg</t>
        </is>
      </c>
      <c r="B6944">
        <f>HYPERLINK("Объекты недвижимости, не соответствующие градостроительным нормам_00-022_Август/b04c5b9d-8dfc-45b9-b44d-aca8e9bf05fb.jpg","open")</f>
        <v/>
      </c>
      <c r="C6944" t="inlineStr">
        <is>
          <t>685d9054-b74f-49ab-857b-109fd2cec80d</t>
        </is>
      </c>
      <c r="D6944" t="n">
        <v>55.53709</v>
      </c>
      <c r="E6944" t="n">
        <v>37.52834</v>
      </c>
      <c r="F6944" t="inlineStr"/>
      <c r="G6944" t="inlineStr"/>
      <c r="H6944" t="inlineStr"/>
    </row>
    <row r="6945">
      <c r="A6945" t="inlineStr">
        <is>
          <t>213b9486-40c0-411b-b679-cfb3666aa82d.jpg</t>
        </is>
      </c>
      <c r="B6945">
        <f>HYPERLINK("Объекты недвижимости, не соответствующие градостроительным нормам_00-022_Август/213b9486-40c0-411b-b679-cfb3666aa82d.jpg","open")</f>
        <v/>
      </c>
      <c r="C6945" t="inlineStr">
        <is>
          <t>50e4626c-a80e-42ab-b999-b5092c2c063f</t>
        </is>
      </c>
      <c r="D6945" t="n">
        <v>55.73809</v>
      </c>
      <c r="E6945" t="n">
        <v>37.72066</v>
      </c>
      <c r="F6945" t="inlineStr"/>
      <c r="G6945" t="inlineStr"/>
      <c r="H6945" t="inlineStr"/>
    </row>
    <row r="6946">
      <c r="A6946" t="inlineStr">
        <is>
          <t>b6758513-566c-47c9-b08c-b36504008578.jpg</t>
        </is>
      </c>
      <c r="B6946">
        <f>HYPERLINK("Объекты недвижимости, не соответствующие градостроительным нормам_00-022_Август/b6758513-566c-47c9-b08c-b36504008578.jpg","open")</f>
        <v/>
      </c>
      <c r="C6946" t="inlineStr">
        <is>
          <t>93848fc8-17e7-4748-9ebc-c7e379e11d2f</t>
        </is>
      </c>
      <c r="D6946" t="n">
        <v>55.75195</v>
      </c>
      <c r="E6946" t="n">
        <v>37.71649</v>
      </c>
      <c r="F6946" t="inlineStr"/>
      <c r="G6946" t="inlineStr"/>
      <c r="H6946" t="inlineStr"/>
    </row>
    <row r="6947">
      <c r="A6947" t="inlineStr">
        <is>
          <t>c281fc93-3530-4398-8cfa-5449c660b871.jpg</t>
        </is>
      </c>
      <c r="B6947">
        <f>HYPERLINK("Объекты недвижимости, не соответствующие градостроительным нормам_00-022_Август/c281fc93-3530-4398-8cfa-5449c660b871.jpg","open")</f>
        <v/>
      </c>
      <c r="C6947" t="inlineStr">
        <is>
          <t>685d9054-b74f-49ab-857b-109fd2cec80d</t>
        </is>
      </c>
      <c r="D6947" t="n">
        <v>55.53749</v>
      </c>
      <c r="E6947" t="n">
        <v>37.52956</v>
      </c>
      <c r="F6947" t="inlineStr"/>
      <c r="G6947" t="inlineStr"/>
      <c r="H6947" t="inlineStr"/>
    </row>
    <row r="6948">
      <c r="A6948" t="inlineStr">
        <is>
          <t>66930b10-0a8c-46d2-83c5-92f365f56900.jpg</t>
        </is>
      </c>
      <c r="B6948">
        <f>HYPERLINK("Объекты недвижимости, не соответствующие градостроительным нормам_00-022_Август/66930b10-0a8c-46d2-83c5-92f365f56900.jpg","open")</f>
        <v/>
      </c>
      <c r="C6948" t="inlineStr">
        <is>
          <t>31a713a9-b910-424b-b847-e0eaa2f70c70</t>
        </is>
      </c>
      <c r="D6948" t="n">
        <v>55.50505</v>
      </c>
      <c r="E6948" t="n">
        <v>37.56342</v>
      </c>
      <c r="F6948" t="inlineStr"/>
      <c r="G6948" t="inlineStr"/>
      <c r="H6948" t="inlineStr"/>
    </row>
    <row r="6949">
      <c r="A6949" t="inlineStr">
        <is>
          <t>6f131b33-edcf-42bf-a423-7b17c7c3346c.jpg</t>
        </is>
      </c>
      <c r="B6949">
        <f>HYPERLINK("Объекты недвижимости, не соответствующие градостроительным нормам_00-022_Август/6f131b33-edcf-42bf-a423-7b17c7c3346c.jpg","open")</f>
        <v/>
      </c>
      <c r="C6949" t="inlineStr">
        <is>
          <t>1231bbc5-e64c-4dc7-9acc-77710f47607a</t>
        </is>
      </c>
      <c r="D6949" t="n">
        <v>55.53804</v>
      </c>
      <c r="E6949" t="n">
        <v>37.53071</v>
      </c>
      <c r="F6949" t="inlineStr"/>
      <c r="G6949" t="inlineStr"/>
      <c r="H6949" t="inlineStr"/>
    </row>
    <row r="6950">
      <c r="A6950" t="inlineStr">
        <is>
          <t>f33e1d2d-c1db-4044-83d9-39ecd476cbfc.jpg</t>
        </is>
      </c>
      <c r="B6950">
        <f>HYPERLINK("Объекты недвижимости, не соответствующие градостроительным нормам_00-022_Август/f33e1d2d-c1db-4044-83d9-39ecd476cbfc.jpg","open")</f>
        <v/>
      </c>
      <c r="C6950" t="inlineStr">
        <is>
          <t>685d9054-b74f-49ab-857b-109fd2cec80d</t>
        </is>
      </c>
      <c r="D6950" t="n">
        <v>55.53804</v>
      </c>
      <c r="E6950" t="n">
        <v>37.53073</v>
      </c>
      <c r="F6950" t="inlineStr"/>
      <c r="G6950" t="inlineStr"/>
      <c r="H6950" t="inlineStr"/>
    </row>
    <row r="6951">
      <c r="A6951" t="inlineStr">
        <is>
          <t>7e3e1c5e-21bc-481e-9f0f-7612dff6eda8.jpg</t>
        </is>
      </c>
      <c r="B6951">
        <f>HYPERLINK("Объекты недвижимости, не соответствующие градостроительным нормам_00-022_Август/7e3e1c5e-21bc-481e-9f0f-7612dff6eda8.jpg","open")</f>
        <v/>
      </c>
      <c r="C6951" t="inlineStr">
        <is>
          <t>1231bbc5-e64c-4dc7-9acc-77710f47607a</t>
        </is>
      </c>
      <c r="D6951" t="n">
        <v>55.53789</v>
      </c>
      <c r="E6951" t="n">
        <v>37.53124</v>
      </c>
      <c r="F6951" t="inlineStr"/>
      <c r="G6951" t="inlineStr"/>
      <c r="H6951" t="inlineStr"/>
    </row>
    <row r="6952">
      <c r="A6952" t="inlineStr">
        <is>
          <t>a480703a-1c26-42e9-9a94-72b5e1c0661d.jpg</t>
        </is>
      </c>
      <c r="B6952">
        <f>HYPERLINK("Объекты недвижимости, не соответствующие градостроительным нормам_00-022_Август/a480703a-1c26-42e9-9a94-72b5e1c0661d.jpg","open")</f>
        <v/>
      </c>
      <c r="C6952" t="inlineStr">
        <is>
          <t>1231bbc5-e64c-4dc7-9acc-77710f47607a</t>
        </is>
      </c>
      <c r="D6952" t="n">
        <v>55.53804</v>
      </c>
      <c r="E6952" t="n">
        <v>37.53207</v>
      </c>
      <c r="F6952" t="inlineStr"/>
      <c r="G6952" t="inlineStr"/>
      <c r="H6952" t="inlineStr"/>
    </row>
    <row r="6953">
      <c r="A6953" t="inlineStr">
        <is>
          <t>df786a17-4937-489d-9e01-e74443e6cc7b.jpg</t>
        </is>
      </c>
      <c r="B6953">
        <f>HYPERLINK("Объекты недвижимости, не соответствующие градостроительным нормам_00-022_Август/df786a17-4937-489d-9e01-e74443e6cc7b.jpg","open")</f>
        <v/>
      </c>
      <c r="C6953" t="inlineStr">
        <is>
          <t>685d9054-b74f-49ab-857b-109fd2cec80d</t>
        </is>
      </c>
      <c r="D6953" t="n">
        <v>55.53804</v>
      </c>
      <c r="E6953" t="n">
        <v>37.53207</v>
      </c>
      <c r="F6953" t="inlineStr"/>
      <c r="G6953" t="inlineStr"/>
      <c r="H6953" t="inlineStr"/>
    </row>
    <row r="6954">
      <c r="A6954" t="inlineStr">
        <is>
          <t>fd0fc3fe-0c57-43f2-b86f-9902ea23769f.jpg</t>
        </is>
      </c>
      <c r="B6954">
        <f>HYPERLINK("Объекты недвижимости, не соответствующие градостроительным нормам_00-022_Август/fd0fc3fe-0c57-43f2-b86f-9902ea23769f.jpg","open")</f>
        <v/>
      </c>
      <c r="C6954" t="inlineStr">
        <is>
          <t>1c951e11-4940-43c6-a447-394097e5609a</t>
        </is>
      </c>
      <c r="D6954" t="n">
        <v>55.78532</v>
      </c>
      <c r="E6954" t="n">
        <v>37.58609</v>
      </c>
      <c r="F6954" t="inlineStr"/>
      <c r="G6954" t="inlineStr"/>
      <c r="H6954" t="inlineStr"/>
    </row>
    <row r="6955">
      <c r="A6955" t="inlineStr">
        <is>
          <t>b854e7aa-85c0-4026-95b7-b2e79e746416.jpg</t>
        </is>
      </c>
      <c r="B6955">
        <f>HYPERLINK("Объекты недвижимости, не соответствующие градостроительным нормам_00-022_Август/b854e7aa-85c0-4026-95b7-b2e79e746416.jpg","open")</f>
        <v/>
      </c>
      <c r="C6955" t="inlineStr">
        <is>
          <t>8cde1fd0-eca1-4510-86ab-3c743b65fdfc</t>
        </is>
      </c>
      <c r="D6955" t="n">
        <v>55.78531</v>
      </c>
      <c r="E6955" t="n">
        <v>37.58607</v>
      </c>
      <c r="F6955" t="inlineStr"/>
      <c r="G6955" t="inlineStr"/>
      <c r="H6955" t="inlineStr"/>
    </row>
    <row r="6956">
      <c r="A6956" t="inlineStr">
        <is>
          <t>3e2431af-d2a6-4be0-ba4f-e3fa561d4553.jpg</t>
        </is>
      </c>
      <c r="B6956">
        <f>HYPERLINK("Объекты недвижимости, не соответствующие градостроительным нормам_00-022_Август/3e2431af-d2a6-4be0-ba4f-e3fa561d4553.jpg","open")</f>
        <v/>
      </c>
      <c r="C6956" t="inlineStr">
        <is>
          <t>caa4772d-6278-4484-a046-ee25514bf521</t>
        </is>
      </c>
      <c r="D6956" t="n">
        <v>55.72917</v>
      </c>
      <c r="E6956" t="n">
        <v>37.69358</v>
      </c>
      <c r="F6956" t="inlineStr"/>
      <c r="G6956" t="inlineStr"/>
      <c r="H6956" t="inlineStr"/>
    </row>
    <row r="6957">
      <c r="A6957" t="inlineStr">
        <is>
          <t>09ce088b-068d-4084-83c5-d09c5b1bd34b.jpg</t>
        </is>
      </c>
      <c r="B6957">
        <f>HYPERLINK("Объекты недвижимости, не соответствующие градостроительным нормам_00-022_Август/09ce088b-068d-4084-83c5-d09c5b1bd34b.jpg","open")</f>
        <v/>
      </c>
      <c r="C6957" t="inlineStr">
        <is>
          <t>1231bbc5-e64c-4dc7-9acc-77710f47607a</t>
        </is>
      </c>
      <c r="D6957" t="n">
        <v>55.53915</v>
      </c>
      <c r="E6957" t="n">
        <v>37.53185</v>
      </c>
      <c r="F6957" t="inlineStr"/>
      <c r="G6957" t="inlineStr"/>
      <c r="H6957" t="inlineStr"/>
    </row>
    <row r="6958">
      <c r="A6958" t="inlineStr">
        <is>
          <t>1059126c-1cc0-4f45-9e8d-874c1e3b9057.jpg</t>
        </is>
      </c>
      <c r="B6958">
        <f>HYPERLINK("Объекты недвижимости, не соответствующие градостроительным нормам_00-022_Август/1059126c-1cc0-4f45-9e8d-874c1e3b9057.jpg","open")</f>
        <v/>
      </c>
      <c r="C6958" t="inlineStr">
        <is>
          <t>685d9054-b74f-49ab-857b-109fd2cec80d</t>
        </is>
      </c>
      <c r="D6958" t="n">
        <v>55.53905</v>
      </c>
      <c r="E6958" t="n">
        <v>37.53191</v>
      </c>
      <c r="F6958" t="inlineStr"/>
      <c r="G6958" t="inlineStr"/>
      <c r="H6958" t="inlineStr"/>
    </row>
    <row r="6959">
      <c r="A6959" t="inlineStr">
        <is>
          <t>af530ae1-47b1-4050-aff9-a77d98045d42.jpg</t>
        </is>
      </c>
      <c r="B6959">
        <f>HYPERLINK("Объекты недвижимости, не соответствующие градостроительным нормам_00-022_Август/af530ae1-47b1-4050-aff9-a77d98045d42.jpg","open")</f>
        <v/>
      </c>
      <c r="C6959" t="inlineStr">
        <is>
          <t>cbf95b01-f708-45a3-9ec0-3603469b538e</t>
        </is>
      </c>
      <c r="D6959" t="n">
        <v>55.84356</v>
      </c>
      <c r="E6959" t="n">
        <v>37.57585</v>
      </c>
      <c r="F6959" t="inlineStr"/>
      <c r="G6959" t="inlineStr"/>
      <c r="H6959" t="inlineStr"/>
    </row>
    <row r="6960">
      <c r="A6960" t="inlineStr">
        <is>
          <t>362738aa-b5eb-4ea7-9653-5c71c8f1659e.jpg</t>
        </is>
      </c>
      <c r="B6960">
        <f>HYPERLINK("Объекты недвижимости, не соответствующие градостроительным нормам_00-022_Август/362738aa-b5eb-4ea7-9653-5c71c8f1659e.jpg","open")</f>
        <v/>
      </c>
      <c r="C6960" t="inlineStr">
        <is>
          <t>50e4626c-a80e-42ab-b999-b5092c2c063f</t>
        </is>
      </c>
      <c r="D6960" t="n">
        <v>55.75278</v>
      </c>
      <c r="E6960" t="n">
        <v>37.71646</v>
      </c>
      <c r="F6960" t="inlineStr"/>
      <c r="G6960" t="inlineStr"/>
      <c r="H6960" t="inlineStr"/>
    </row>
    <row r="6961">
      <c r="A6961" t="inlineStr">
        <is>
          <t>1b11fd07-eb9b-4ae9-bac7-185f0187ce34.jpg</t>
        </is>
      </c>
      <c r="B6961">
        <f>HYPERLINK("Объекты недвижимости, не соответствующие градостроительным нормам_00-022_Август/1b11fd07-eb9b-4ae9-bac7-185f0187ce34.jpg","open")</f>
        <v/>
      </c>
      <c r="C6961" t="inlineStr">
        <is>
          <t>e26f5fc2-1353-4f29-85f3-87c56419161c</t>
        </is>
      </c>
      <c r="D6961" t="n">
        <v>55.89862</v>
      </c>
      <c r="E6961" t="n">
        <v>37.58164</v>
      </c>
      <c r="F6961" t="inlineStr"/>
      <c r="G6961" t="inlineStr"/>
      <c r="H6961" t="inlineStr"/>
    </row>
    <row r="6962">
      <c r="A6962" t="inlineStr">
        <is>
          <t>dc9228fa-ba93-4081-a47f-62663c037f98.jpg</t>
        </is>
      </c>
      <c r="B6962">
        <f>HYPERLINK("Объекты недвижимости, не соответствующие градостроительным нормам_00-022_Август/dc9228fa-ba93-4081-a47f-62663c037f98.jpg","open")</f>
        <v/>
      </c>
      <c r="C6962" t="inlineStr">
        <is>
          <t>685d9054-b74f-49ab-857b-109fd2cec80d</t>
        </is>
      </c>
      <c r="D6962" t="n">
        <v>55.53806</v>
      </c>
      <c r="E6962" t="n">
        <v>37.53066</v>
      </c>
      <c r="F6962" t="inlineStr"/>
      <c r="G6962" t="inlineStr"/>
      <c r="H6962" t="inlineStr"/>
    </row>
    <row r="6963">
      <c r="A6963" t="inlineStr">
        <is>
          <t>85ca199a-6d7f-4b29-9249-ffaa17dcf8cf.jpg</t>
        </is>
      </c>
      <c r="B6963">
        <f>HYPERLINK("Объекты недвижимости, не соответствующие градостроительным нормам_00-022_Август/85ca199a-6d7f-4b29-9249-ffaa17dcf8cf.jpg","open")</f>
        <v/>
      </c>
      <c r="C6963" t="inlineStr">
        <is>
          <t>685d9054-b74f-49ab-857b-109fd2cec80d</t>
        </is>
      </c>
      <c r="D6963" t="n">
        <v>55.53789</v>
      </c>
      <c r="E6963" t="n">
        <v>37.53123</v>
      </c>
      <c r="F6963" t="inlineStr"/>
      <c r="G6963" t="inlineStr"/>
      <c r="H6963" t="inlineStr"/>
    </row>
    <row r="6964">
      <c r="A6964" t="inlineStr">
        <is>
          <t>35ab7503-fc19-4db9-8d43-2a2623ed7d2f.jpg</t>
        </is>
      </c>
      <c r="B6964">
        <f>HYPERLINK("Объекты недвижимости, не соответствующие градостроительным нормам_00-022_Август/35ab7503-fc19-4db9-8d43-2a2623ed7d2f.jpg","open")</f>
        <v/>
      </c>
      <c r="C6964" t="inlineStr">
        <is>
          <t>caa4772d-6278-4484-a046-ee25514bf521</t>
        </is>
      </c>
      <c r="D6964" t="n">
        <v>55.72803</v>
      </c>
      <c r="E6964" t="n">
        <v>37.69257</v>
      </c>
      <c r="F6964" t="inlineStr"/>
      <c r="G6964" t="inlineStr"/>
      <c r="H6964" t="inlineStr"/>
    </row>
    <row r="6965">
      <c r="A6965" t="inlineStr">
        <is>
          <t>630d440a-b24c-4e93-abb0-f11242484a28.jpg</t>
        </is>
      </c>
      <c r="B6965">
        <f>HYPERLINK("Объекты недвижимости, не соответствующие градостроительным нормам_00-022_Август/630d440a-b24c-4e93-abb0-f11242484a28.jpg","open")</f>
        <v/>
      </c>
      <c r="C6965" t="inlineStr">
        <is>
          <t>8cde1fd0-eca1-4510-86ab-3c743b65fdfc</t>
        </is>
      </c>
      <c r="D6965" t="n">
        <v>55.78279</v>
      </c>
      <c r="E6965" t="n">
        <v>37.53164</v>
      </c>
      <c r="F6965" t="inlineStr"/>
      <c r="G6965" t="inlineStr"/>
      <c r="H6965" t="inlineStr"/>
    </row>
    <row r="6966">
      <c r="A6966" t="inlineStr">
        <is>
          <t>71f28ba2-78df-4393-a018-000aa676c6a5.jpg</t>
        </is>
      </c>
      <c r="B6966">
        <f>HYPERLINK("Объекты недвижимости, не соответствующие градостроительным нормам_00-022_Август/71f28ba2-78df-4393-a018-000aa676c6a5.jpg","open")</f>
        <v/>
      </c>
      <c r="C6966" t="inlineStr">
        <is>
          <t>31a713a9-b910-424b-b847-e0eaa2f70c70</t>
        </is>
      </c>
      <c r="D6966" t="n">
        <v>55.50603</v>
      </c>
      <c r="E6966" t="n">
        <v>37.56028</v>
      </c>
      <c r="F6966" t="inlineStr"/>
      <c r="G6966" t="inlineStr"/>
      <c r="H6966" t="inlineStr"/>
    </row>
    <row r="6967">
      <c r="A6967" t="inlineStr">
        <is>
          <t>b383112a-c99e-4bf1-b761-dbc10a9bf9c0.jpg</t>
        </is>
      </c>
      <c r="B6967">
        <f>HYPERLINK("Объекты недвижимости, не соответствующие градостроительным нормам_00-022_Август/b383112a-c99e-4bf1-b761-dbc10a9bf9c0.jpg","open")</f>
        <v/>
      </c>
      <c r="C6967" t="inlineStr">
        <is>
          <t>750bf7e4-0f0f-4f1a-96af-607dc8c1f1c9</t>
        </is>
      </c>
      <c r="D6967" t="n">
        <v>55.50593</v>
      </c>
      <c r="E6967" t="n">
        <v>37.56029</v>
      </c>
      <c r="F6967" t="inlineStr"/>
      <c r="G6967" t="inlineStr"/>
      <c r="H6967" t="inlineStr"/>
    </row>
    <row r="6968">
      <c r="A6968" t="inlineStr">
        <is>
          <t>9751808b-755e-439c-87e8-bd5516b23203.jpg</t>
        </is>
      </c>
      <c r="B6968">
        <f>HYPERLINK("Объекты недвижимости, не соответствующие градостроительным нормам_00-022_Август/9751808b-755e-439c-87e8-bd5516b23203.jpg","open")</f>
        <v/>
      </c>
      <c r="C6968" t="inlineStr">
        <is>
          <t>31a713a9-b910-424b-b847-e0eaa2f70c70</t>
        </is>
      </c>
      <c r="D6968" t="n">
        <v>55.50593</v>
      </c>
      <c r="E6968" t="n">
        <v>37.56029</v>
      </c>
      <c r="F6968" t="inlineStr"/>
      <c r="G6968" t="inlineStr"/>
      <c r="H6968" t="inlineStr"/>
    </row>
    <row r="6969">
      <c r="A6969" t="inlineStr">
        <is>
          <t>ed9734c1-9227-4b34-b8c8-48f4e3a0e0a0.jpg</t>
        </is>
      </c>
      <c r="B6969">
        <f>HYPERLINK("Объекты недвижимости, не соответствующие градостроительным нормам_00-022_Август/ed9734c1-9227-4b34-b8c8-48f4e3a0e0a0.jpg","open")</f>
        <v/>
      </c>
      <c r="C6969" t="inlineStr">
        <is>
          <t>31a713a9-b910-424b-b847-e0eaa2f70c70</t>
        </is>
      </c>
      <c r="D6969" t="n">
        <v>55.50542</v>
      </c>
      <c r="E6969" t="n">
        <v>37.56013</v>
      </c>
      <c r="F6969" t="inlineStr"/>
      <c r="G6969" t="inlineStr"/>
      <c r="H6969" t="inlineStr"/>
    </row>
    <row r="6970">
      <c r="A6970" t="inlineStr">
        <is>
          <t>5fb61a3e-8525-4a2e-9493-9dd5811e034e.jpg</t>
        </is>
      </c>
      <c r="B6970">
        <f>HYPERLINK("Объекты недвижимости, не соответствующие градостроительным нормам_00-022_Август/5fb61a3e-8525-4a2e-9493-9dd5811e034e.jpg","open")</f>
        <v/>
      </c>
      <c r="C6970" t="inlineStr">
        <is>
          <t>8cde1fd0-eca1-4510-86ab-3c743b65fdfc</t>
        </is>
      </c>
      <c r="D6970" t="n">
        <v>55.78271</v>
      </c>
      <c r="E6970" t="n">
        <v>37.56158</v>
      </c>
      <c r="F6970" t="inlineStr"/>
      <c r="G6970" t="inlineStr"/>
      <c r="H6970" t="inlineStr"/>
    </row>
    <row r="6971">
      <c r="A6971" t="inlineStr">
        <is>
          <t>25ec3f9c-0d88-4c20-9f33-902b556edd1e.jpg</t>
        </is>
      </c>
      <c r="B6971">
        <f>HYPERLINK("Объекты недвижимости, не соответствующие градостроительным нормам_00-022_Август/25ec3f9c-0d88-4c20-9f33-902b556edd1e.jpg","open")</f>
        <v/>
      </c>
      <c r="C6971" t="inlineStr">
        <is>
          <t>8cde1fd0-eca1-4510-86ab-3c743b65fdfc</t>
        </is>
      </c>
      <c r="D6971" t="n">
        <v>55.78091</v>
      </c>
      <c r="E6971" t="n">
        <v>37.55914</v>
      </c>
      <c r="F6971" t="inlineStr"/>
      <c r="G6971" t="inlineStr"/>
      <c r="H6971" t="inlineStr"/>
    </row>
    <row r="6972">
      <c r="A6972" t="inlineStr">
        <is>
          <t>0286b74c-3cc6-4fc7-8d7b-ea2670b471b5.jpg</t>
        </is>
      </c>
      <c r="B6972">
        <f>HYPERLINK("Объекты недвижимости, не соответствующие градостроительным нормам_00-022_Август/0286b74c-3cc6-4fc7-8d7b-ea2670b471b5.jpg","open")</f>
        <v/>
      </c>
      <c r="C6972" t="inlineStr">
        <is>
          <t>8cde1fd0-eca1-4510-86ab-3c743b65fdfc</t>
        </is>
      </c>
      <c r="D6972" t="n">
        <v>55.78093</v>
      </c>
      <c r="E6972" t="n">
        <v>37.54613</v>
      </c>
      <c r="F6972" t="inlineStr"/>
      <c r="G6972" t="inlineStr"/>
      <c r="H6972" t="inlineStr"/>
    </row>
    <row r="6973">
      <c r="A6973" t="inlineStr">
        <is>
          <t>eacb7583-8d41-474e-8261-95b083887830.jpg</t>
        </is>
      </c>
      <c r="B6973">
        <f>HYPERLINK("Объекты недвижимости, не соответствующие градостроительным нормам_00-022_Август/eacb7583-8d41-474e-8261-95b083887830.jpg","open")</f>
        <v/>
      </c>
      <c r="C6973" t="inlineStr">
        <is>
          <t>b0429a31-0c70-4b9f-8ea5-73929d82f89e</t>
        </is>
      </c>
      <c r="D6973" t="n">
        <v>55.60754</v>
      </c>
      <c r="E6973" t="n">
        <v>37.59408</v>
      </c>
      <c r="F6973" t="inlineStr"/>
      <c r="G6973" t="inlineStr"/>
      <c r="H6973" t="inlineStr"/>
    </row>
    <row r="6974">
      <c r="A6974" t="inlineStr">
        <is>
          <t>9af28fab-bb2b-4d40-a655-2681a6a4574c.jpg</t>
        </is>
      </c>
      <c r="B6974">
        <f>HYPERLINK("Объекты недвижимости, не соответствующие градостроительным нормам_00-022_Август/9af28fab-bb2b-4d40-a655-2681a6a4574c.jpg","open")</f>
        <v/>
      </c>
      <c r="C6974" t="inlineStr">
        <is>
          <t>8cde1fd0-eca1-4510-86ab-3c743b65fdfc</t>
        </is>
      </c>
      <c r="D6974" t="n">
        <v>55.78156</v>
      </c>
      <c r="E6974" t="n">
        <v>37.54505</v>
      </c>
      <c r="F6974" t="inlineStr"/>
      <c r="G6974" t="inlineStr"/>
      <c r="H6974" t="inlineStr"/>
    </row>
    <row r="6975">
      <c r="A6975" t="inlineStr">
        <is>
          <t>6f8e3b92-1c62-4ae4-8f29-094bdeba3945.jpg</t>
        </is>
      </c>
      <c r="B6975">
        <f>HYPERLINK("Объекты недвижимости, не соответствующие градостроительным нормам_00-022_Август/6f8e3b92-1c62-4ae4-8f29-094bdeba3945.jpg","open")</f>
        <v/>
      </c>
      <c r="C6975" t="inlineStr">
        <is>
          <t>8cde1fd0-eca1-4510-86ab-3c743b65fdfc</t>
        </is>
      </c>
      <c r="D6975" t="n">
        <v>55.78149</v>
      </c>
      <c r="E6975" t="n">
        <v>37.54507</v>
      </c>
      <c r="F6975" t="inlineStr"/>
      <c r="G6975" t="inlineStr"/>
      <c r="H6975" t="inlineStr"/>
    </row>
    <row r="6976">
      <c r="A6976" t="inlineStr">
        <is>
          <t>8d629ba4-0e55-44dd-a1c8-71578b22fd39.jpg</t>
        </is>
      </c>
      <c r="B6976">
        <f>HYPERLINK("Объекты недвижимости, не соответствующие градостроительным нормам_00-022_Август/8d629ba4-0e55-44dd-a1c8-71578b22fd39.jpg","open")</f>
        <v/>
      </c>
      <c r="C6976" t="inlineStr">
        <is>
          <t>8cde1fd0-eca1-4510-86ab-3c743b65fdfc</t>
        </is>
      </c>
      <c r="D6976" t="n">
        <v>55.78067</v>
      </c>
      <c r="E6976" t="n">
        <v>37.54575</v>
      </c>
      <c r="F6976" t="inlineStr"/>
      <c r="G6976" t="inlineStr"/>
      <c r="H6976" t="inlineStr"/>
    </row>
    <row r="6977">
      <c r="A6977" t="inlineStr">
        <is>
          <t>f3c46654-9354-4840-b5b4-fde0dd65c69e.jpg</t>
        </is>
      </c>
      <c r="B6977">
        <f>HYPERLINK("Объекты недвижимости, не соответствующие градостроительным нормам_00-022_Август/f3c46654-9354-4840-b5b4-fde0dd65c69e.jpg","open")</f>
        <v/>
      </c>
      <c r="C6977" t="inlineStr">
        <is>
          <t>fb9a37cc-57a6-447c-98bb-0b299f09c809</t>
        </is>
      </c>
      <c r="D6977" t="n">
        <v>55.70007</v>
      </c>
      <c r="E6977" t="n">
        <v>37.86771</v>
      </c>
      <c r="F6977" t="inlineStr"/>
      <c r="G6977" t="inlineStr"/>
      <c r="H6977" t="inlineStr"/>
    </row>
    <row r="6978">
      <c r="A6978" t="inlineStr">
        <is>
          <t>87a2ccdf-0f0c-423c-8941-b993504f8b4f.jpg</t>
        </is>
      </c>
      <c r="B6978">
        <f>HYPERLINK("Объекты недвижимости, не соответствующие градостроительным нормам_00-022_Август/87a2ccdf-0f0c-423c-8941-b993504f8b4f.jpg","open")</f>
        <v/>
      </c>
      <c r="C6978" t="inlineStr">
        <is>
          <t>b0429a31-0c70-4b9f-8ea5-73929d82f89e</t>
        </is>
      </c>
      <c r="D6978" t="n">
        <v>55.60714</v>
      </c>
      <c r="E6978" t="n">
        <v>37.59966</v>
      </c>
      <c r="F6978" t="inlineStr"/>
      <c r="G6978" t="inlineStr"/>
      <c r="H6978" t="inlineStr"/>
    </row>
    <row r="6979">
      <c r="A6979" t="inlineStr">
        <is>
          <t>aee0dabf-ad70-4e2d-a75f-f76b6d70e02a.jpg</t>
        </is>
      </c>
      <c r="B6979">
        <f>HYPERLINK("Объекты недвижимости, не соответствующие градостроительным нормам_00-022_Август/aee0dabf-ad70-4e2d-a75f-f76b6d70e02a.jpg","open")</f>
        <v/>
      </c>
      <c r="C6979" t="inlineStr">
        <is>
          <t>b0b7ea82-53be-40d0-b992-e2fd18611d5c</t>
        </is>
      </c>
      <c r="D6979" t="n">
        <v>55.70605</v>
      </c>
      <c r="E6979" t="n">
        <v>37.82785</v>
      </c>
      <c r="F6979" t="inlineStr"/>
      <c r="G6979" t="inlineStr"/>
      <c r="H6979" t="inlineStr"/>
    </row>
    <row r="6980">
      <c r="A6980" t="inlineStr">
        <is>
          <t>c3b9a63f-a304-4e2c-9f42-e11c072e312a.jpg</t>
        </is>
      </c>
      <c r="B6980">
        <f>HYPERLINK("Объекты недвижимости, не соответствующие градостроительным нормам_00-022_Август/c3b9a63f-a304-4e2c-9f42-e11c072e312a.jpg","open")</f>
        <v/>
      </c>
      <c r="C6980" t="inlineStr">
        <is>
          <t>57aae8a4-582b-4309-8045-c8127a9f86ae</t>
        </is>
      </c>
      <c r="D6980" t="n">
        <v>55.81605</v>
      </c>
      <c r="E6980" t="n">
        <v>37.79375</v>
      </c>
      <c r="F6980" t="inlineStr"/>
      <c r="G6980" t="inlineStr"/>
      <c r="H6980" t="inlineStr"/>
    </row>
    <row r="6981">
      <c r="A6981" t="inlineStr">
        <is>
          <t>bfd416ae-41c7-48d7-85cd-bd06a7759aa0.jpg</t>
        </is>
      </c>
      <c r="B6981">
        <f>HYPERLINK("Объекты недвижимости, не соответствующие градостроительным нормам_00-022_Август/bfd416ae-41c7-48d7-85cd-bd06a7759aa0.jpg","open")</f>
        <v/>
      </c>
      <c r="C6981" t="inlineStr">
        <is>
          <t>99f3abba-c55b-49f0-9de5-9f88e9597cc0</t>
        </is>
      </c>
      <c r="D6981" t="n">
        <v>55.60892</v>
      </c>
      <c r="E6981" t="n">
        <v>37.59664</v>
      </c>
      <c r="F6981" t="inlineStr"/>
      <c r="G6981" t="inlineStr"/>
      <c r="H6981" t="inlineStr"/>
    </row>
    <row r="6982">
      <c r="A6982" t="inlineStr">
        <is>
          <t>41ba9cd1-7b71-4c46-8017-e9be3b70103f.jpg</t>
        </is>
      </c>
      <c r="B6982">
        <f>HYPERLINK("Объекты недвижимости, не соответствующие градостроительным нормам_00-022_Август/41ba9cd1-7b71-4c46-8017-e9be3b70103f.jpg","open")</f>
        <v/>
      </c>
      <c r="C6982" t="inlineStr">
        <is>
          <t>9ca2abb7-5978-4e19-b2b4-4d185fa6739e</t>
        </is>
      </c>
      <c r="D6982" t="n">
        <v>55.96825</v>
      </c>
      <c r="E6982" t="n">
        <v>37.42834</v>
      </c>
      <c r="F6982" t="inlineStr"/>
      <c r="G6982" t="inlineStr"/>
      <c r="H6982" t="inlineStr"/>
    </row>
    <row r="6983">
      <c r="A6983" t="inlineStr">
        <is>
          <t>32bab54c-8f29-4bb1-8e7e-2ff1e35bd761.jpg</t>
        </is>
      </c>
      <c r="B6983">
        <f>HYPERLINK("Объекты недвижимости, не соответствующие градостроительным нормам_00-022_Август/32bab54c-8f29-4bb1-8e7e-2ff1e35bd761.jpg","open")</f>
        <v/>
      </c>
      <c r="C6983" t="inlineStr">
        <is>
          <t>1231bbc5-e64c-4dc7-9acc-77710f47607a</t>
        </is>
      </c>
      <c r="D6983" t="n">
        <v>55.53856</v>
      </c>
      <c r="E6983" t="n">
        <v>37.53822</v>
      </c>
      <c r="F6983" t="inlineStr"/>
      <c r="G6983" t="inlineStr"/>
      <c r="H6983" t="inlineStr"/>
    </row>
    <row r="6984">
      <c r="A6984" t="inlineStr">
        <is>
          <t>cb1e6171-b7ad-49d0-a67a-8bddc2b18212.jpg</t>
        </is>
      </c>
      <c r="B6984">
        <f>HYPERLINK("Объекты недвижимости, не соответствующие градостроительным нормам_00-022_Август/cb1e6171-b7ad-49d0-a67a-8bddc2b18212.jpg","open")</f>
        <v/>
      </c>
      <c r="C6984" t="inlineStr">
        <is>
          <t>b0b7ea82-53be-40d0-b992-e2fd18611d5c</t>
        </is>
      </c>
      <c r="D6984" t="n">
        <v>55.70916</v>
      </c>
      <c r="E6984" t="n">
        <v>37.82224</v>
      </c>
      <c r="F6984" t="inlineStr"/>
      <c r="G6984" t="inlineStr"/>
      <c r="H6984" t="inlineStr"/>
    </row>
    <row r="6985">
      <c r="A6985" t="inlineStr">
        <is>
          <t>49e3a171-9437-48f4-a03b-ff8036f3b400.jpg</t>
        </is>
      </c>
      <c r="B6985">
        <f>HYPERLINK("Объекты недвижимости, не соответствующие градостроительным нормам_00-022_Август/49e3a171-9437-48f4-a03b-ff8036f3b400.jpg","open")</f>
        <v/>
      </c>
      <c r="C6985" t="inlineStr">
        <is>
          <t>8cde1fd0-eca1-4510-86ab-3c743b65fdfc</t>
        </is>
      </c>
      <c r="D6985" t="n">
        <v>55.9732</v>
      </c>
      <c r="E6985" t="n">
        <v>37.39853</v>
      </c>
      <c r="F6985" t="inlineStr"/>
      <c r="G6985" t="inlineStr"/>
      <c r="H6985" t="inlineStr"/>
    </row>
    <row r="6986">
      <c r="A6986" t="inlineStr">
        <is>
          <t>fccd6b48-8f8c-444b-8107-b8f6fbb42e67.jpg</t>
        </is>
      </c>
      <c r="B6986">
        <f>HYPERLINK("Объекты недвижимости, не соответствующие градостроительным нормам_00-022_Август/fccd6b48-8f8c-444b-8107-b8f6fbb42e67.jpg","open")</f>
        <v/>
      </c>
      <c r="C6986" t="inlineStr">
        <is>
          <t>8cde1fd0-eca1-4510-86ab-3c743b65fdfc</t>
        </is>
      </c>
      <c r="D6986" t="n">
        <v>55.9732</v>
      </c>
      <c r="E6986" t="n">
        <v>37.39853</v>
      </c>
      <c r="F6986" t="inlineStr"/>
      <c r="G6986" t="inlineStr"/>
      <c r="H6986" t="inlineStr"/>
    </row>
    <row r="6987">
      <c r="A6987" t="inlineStr">
        <is>
          <t>7f70445b-0f50-4e54-a3e8-ef2b63ea881e.jpg</t>
        </is>
      </c>
      <c r="B6987">
        <f>HYPERLINK("Объекты недвижимости, не соответствующие градостроительным нормам_00-022_Август/7f70445b-0f50-4e54-a3e8-ef2b63ea881e.jpg","open")</f>
        <v/>
      </c>
      <c r="C6987" t="inlineStr">
        <is>
          <t>8cde1fd0-eca1-4510-86ab-3c743b65fdfc</t>
        </is>
      </c>
      <c r="D6987" t="n">
        <v>55.97355</v>
      </c>
      <c r="E6987" t="n">
        <v>37.43116</v>
      </c>
      <c r="F6987" t="inlineStr"/>
      <c r="G6987" t="inlineStr"/>
      <c r="H6987" t="inlineStr"/>
    </row>
    <row r="6988">
      <c r="A6988" t="inlineStr">
        <is>
          <t>eed4cf28-02b6-4351-963e-f7928a60a6d4.jpg</t>
        </is>
      </c>
      <c r="B6988">
        <f>HYPERLINK("Объекты недвижимости, не соответствующие градостроительным нормам_00-022_Август/eed4cf28-02b6-4351-963e-f7928a60a6d4.jpg","open")</f>
        <v/>
      </c>
      <c r="C6988" t="inlineStr">
        <is>
          <t>8cde1fd0-eca1-4510-86ab-3c743b65fdfc</t>
        </is>
      </c>
      <c r="D6988" t="n">
        <v>55.96999</v>
      </c>
      <c r="E6988" t="n">
        <v>37.43018</v>
      </c>
      <c r="F6988" t="inlineStr"/>
      <c r="G6988" t="inlineStr"/>
      <c r="H6988" t="inlineStr"/>
    </row>
    <row r="6989">
      <c r="A6989" t="inlineStr">
        <is>
          <t>c0241cef-5915-4849-a265-bc615c81bbc6.jpg</t>
        </is>
      </c>
      <c r="B6989">
        <f>HYPERLINK("Объекты недвижимости, не соответствующие градостроительным нормам_00-022_Август/c0241cef-5915-4849-a265-bc615c81bbc6.jpg","open")</f>
        <v/>
      </c>
      <c r="C6989" t="inlineStr">
        <is>
          <t>8cde1fd0-eca1-4510-86ab-3c743b65fdfc</t>
        </is>
      </c>
      <c r="D6989" t="n">
        <v>55.96954</v>
      </c>
      <c r="E6989" t="n">
        <v>37.42985</v>
      </c>
      <c r="F6989" t="inlineStr"/>
      <c r="G6989" t="inlineStr"/>
      <c r="H6989" t="inlineStr"/>
    </row>
    <row r="6990">
      <c r="A6990" t="inlineStr">
        <is>
          <t>17212511-1d0e-44e5-8dde-82f76a8534ea.jpg</t>
        </is>
      </c>
      <c r="B6990">
        <f>HYPERLINK("Объекты недвижимости, не соответствующие градостроительным нормам_00-022_Август/17212511-1d0e-44e5-8dde-82f76a8534ea.jpg","open")</f>
        <v/>
      </c>
      <c r="C6990" t="inlineStr">
        <is>
          <t>8cde1fd0-eca1-4510-86ab-3c743b65fdfc</t>
        </is>
      </c>
      <c r="D6990" t="n">
        <v>55.96691</v>
      </c>
      <c r="E6990" t="n">
        <v>37.42702</v>
      </c>
      <c r="F6990" t="inlineStr"/>
      <c r="G6990" t="inlineStr"/>
      <c r="H6990" t="inlineStr"/>
    </row>
    <row r="6991">
      <c r="A6991" t="inlineStr">
        <is>
          <t>29cab076-95d1-4e4a-a215-f642413c8bed.jpg</t>
        </is>
      </c>
      <c r="B6991">
        <f>HYPERLINK("Объекты недвижимости, не соответствующие градостроительным нормам_00-022_Август/29cab076-95d1-4e4a-a215-f642413c8bed.jpg","open")</f>
        <v/>
      </c>
      <c r="C6991" t="inlineStr">
        <is>
          <t>8cde1fd0-eca1-4510-86ab-3c743b65fdfc</t>
        </is>
      </c>
      <c r="D6991" t="n">
        <v>55.96558</v>
      </c>
      <c r="E6991" t="n">
        <v>37.40677</v>
      </c>
      <c r="F6991" t="inlineStr"/>
      <c r="G6991" t="inlineStr"/>
      <c r="H6991" t="inlineStr"/>
    </row>
    <row r="6992">
      <c r="A6992" t="inlineStr">
        <is>
          <t>58933898-e3e5-4f34-b2a9-4176e5bc6f61.jpg</t>
        </is>
      </c>
      <c r="B6992">
        <f>HYPERLINK("Объекты недвижимости, не соответствующие градостроительным нормам_00-022_Август/58933898-e3e5-4f34-b2a9-4176e5bc6f61.jpg","open")</f>
        <v/>
      </c>
      <c r="C6992" t="inlineStr">
        <is>
          <t>99f3abba-c55b-49f0-9de5-9f88e9597cc0</t>
        </is>
      </c>
      <c r="D6992" t="n">
        <v>55.61097</v>
      </c>
      <c r="E6992" t="n">
        <v>37.59339</v>
      </c>
      <c r="F6992" t="inlineStr"/>
      <c r="G6992" t="inlineStr"/>
      <c r="H6992" t="inlineStr"/>
    </row>
    <row r="6993">
      <c r="A6993" t="inlineStr">
        <is>
          <t>991577a3-4847-4881-9d7b-c41745ead1cf.jpg</t>
        </is>
      </c>
      <c r="B6993">
        <f>HYPERLINK("Объекты недвижимости, не соответствующие градостроительным нормам_00-022_Август/991577a3-4847-4881-9d7b-c41745ead1cf.jpg","open")</f>
        <v/>
      </c>
      <c r="C6993" t="inlineStr">
        <is>
          <t>8cde1fd0-eca1-4510-86ab-3c743b65fdfc</t>
        </is>
      </c>
      <c r="D6993" t="n">
        <v>55.97244</v>
      </c>
      <c r="E6993" t="n">
        <v>37.39973</v>
      </c>
      <c r="F6993" t="inlineStr"/>
      <c r="G6993" t="inlineStr"/>
      <c r="H6993" t="inlineStr"/>
    </row>
    <row r="6994">
      <c r="A6994" t="inlineStr">
        <is>
          <t>4b31442e-a99a-48a2-9ee0-bb81fccd75e1.jpg</t>
        </is>
      </c>
      <c r="B6994">
        <f>HYPERLINK("Объекты недвижимости, не соответствующие градостроительным нормам_00-022_Август/4b31442e-a99a-48a2-9ee0-bb81fccd75e1.jpg","open")</f>
        <v/>
      </c>
      <c r="C6994" t="inlineStr">
        <is>
          <t>8cde1fd0-eca1-4510-86ab-3c743b65fdfc</t>
        </is>
      </c>
      <c r="D6994" t="n">
        <v>55.97483</v>
      </c>
      <c r="E6994" t="n">
        <v>37.39995</v>
      </c>
      <c r="F6994" t="inlineStr"/>
      <c r="G6994" t="inlineStr"/>
      <c r="H6994" t="inlineStr"/>
    </row>
    <row r="6995">
      <c r="A6995" t="inlineStr">
        <is>
          <t>79513b05-32fa-4a43-9470-1c6a88c63dde.jpg</t>
        </is>
      </c>
      <c r="B6995">
        <f>HYPERLINK("Объекты недвижимости, не соответствующие градостроительным нормам_00-022_Август/79513b05-32fa-4a43-9470-1c6a88c63dde.jpg","open")</f>
        <v/>
      </c>
      <c r="C6995" t="inlineStr">
        <is>
          <t>8cde1fd0-eca1-4510-86ab-3c743b65fdfc</t>
        </is>
      </c>
      <c r="D6995" t="n">
        <v>55.97634</v>
      </c>
      <c r="E6995" t="n">
        <v>37.40077</v>
      </c>
      <c r="F6995" t="inlineStr"/>
      <c r="G6995" t="inlineStr"/>
      <c r="H6995" t="inlineStr"/>
    </row>
    <row r="6996">
      <c r="A6996" t="inlineStr">
        <is>
          <t>25204fa4-a36a-499a-97df-1e06ebf85389.jpg</t>
        </is>
      </c>
      <c r="B6996">
        <f>HYPERLINK("Объекты недвижимости, не соответствующие градостроительным нормам_00-022_Август/25204fa4-a36a-499a-97df-1e06ebf85389.jpg","open")</f>
        <v/>
      </c>
      <c r="C6996" t="inlineStr">
        <is>
          <t>8cde1fd0-eca1-4510-86ab-3c743b65fdfc</t>
        </is>
      </c>
      <c r="D6996" t="n">
        <v>55.97722</v>
      </c>
      <c r="E6996" t="n">
        <v>37.40153</v>
      </c>
      <c r="F6996" t="inlineStr"/>
      <c r="G6996" t="inlineStr"/>
      <c r="H6996" t="inlineStr"/>
    </row>
    <row r="6997">
      <c r="A6997" t="inlineStr">
        <is>
          <t>dcb0864c-42b4-4be8-9e26-e5a56193874c.jpg</t>
        </is>
      </c>
      <c r="B6997">
        <f>HYPERLINK("Объекты недвижимости, не соответствующие градостроительным нормам_00-022_Август/dcb0864c-42b4-4be8-9e26-e5a56193874c.jpg","open")</f>
        <v/>
      </c>
      <c r="C6997" t="inlineStr">
        <is>
          <t>8cde1fd0-eca1-4510-86ab-3c743b65fdfc</t>
        </is>
      </c>
      <c r="D6997" t="n">
        <v>55.97953</v>
      </c>
      <c r="E6997" t="n">
        <v>37.40481</v>
      </c>
      <c r="F6997" t="inlineStr"/>
      <c r="G6997" t="inlineStr"/>
      <c r="H6997" t="inlineStr"/>
    </row>
    <row r="6998">
      <c r="A6998" t="inlineStr">
        <is>
          <t>205c61e1-b8d2-4d41-9724-81f12bed10c8.jpg</t>
        </is>
      </c>
      <c r="B6998">
        <f>HYPERLINK("Объекты недвижимости, не соответствующие градостроительным нормам_00-022_Август/205c61e1-b8d2-4d41-9724-81f12bed10c8.jpg","open")</f>
        <v/>
      </c>
      <c r="C6998" t="inlineStr">
        <is>
          <t>8cde1fd0-eca1-4510-86ab-3c743b65fdfc</t>
        </is>
      </c>
      <c r="D6998" t="n">
        <v>55.97984</v>
      </c>
      <c r="E6998" t="n">
        <v>37.40549</v>
      </c>
      <c r="F6998" t="inlineStr"/>
      <c r="G6998" t="inlineStr"/>
      <c r="H6998" t="inlineStr"/>
    </row>
    <row r="6999">
      <c r="A6999" t="inlineStr">
        <is>
          <t>f3981c2a-6727-4076-9c83-ac54f7366827.jpg</t>
        </is>
      </c>
      <c r="B6999">
        <f>HYPERLINK("Объекты недвижимости, не соответствующие градостроительным нормам_00-022_Август/f3981c2a-6727-4076-9c83-ac54f7366827.jpg","open")</f>
        <v/>
      </c>
      <c r="C6999" t="inlineStr">
        <is>
          <t>8cde1fd0-eca1-4510-86ab-3c743b65fdfc</t>
        </is>
      </c>
      <c r="D6999" t="n">
        <v>55.98016</v>
      </c>
      <c r="E6999" t="n">
        <v>37.40619</v>
      </c>
      <c r="F6999" t="inlineStr"/>
      <c r="G6999" t="inlineStr"/>
      <c r="H6999" t="inlineStr"/>
    </row>
    <row r="7000">
      <c r="A7000" t="inlineStr">
        <is>
          <t>7651f3fa-a581-47ca-a2ea-649f8ab412f3.jpg</t>
        </is>
      </c>
      <c r="B7000">
        <f>HYPERLINK("Объекты недвижимости, не соответствующие градостроительным нормам_00-022_Август/7651f3fa-a581-47ca-a2ea-649f8ab412f3.jpg","open")</f>
        <v/>
      </c>
      <c r="C7000" t="inlineStr">
        <is>
          <t>8cde1fd0-eca1-4510-86ab-3c743b65fdfc</t>
        </is>
      </c>
      <c r="D7000" t="n">
        <v>55.98048</v>
      </c>
      <c r="E7000" t="n">
        <v>37.40692</v>
      </c>
      <c r="F7000" t="inlineStr"/>
      <c r="G7000" t="inlineStr"/>
      <c r="H7000" t="inlineStr"/>
    </row>
    <row r="7001">
      <c r="A7001" t="inlineStr">
        <is>
          <t>bd50c869-f44a-4191-8bc4-eefc4db60540.jpg</t>
        </is>
      </c>
      <c r="B7001">
        <f>HYPERLINK("Объекты недвижимости, не соответствующие градостроительным нормам_00-022_Август/bd50c869-f44a-4191-8bc4-eefc4db60540.jpg","open")</f>
        <v/>
      </c>
      <c r="C7001" t="inlineStr">
        <is>
          <t>8cde1fd0-eca1-4510-86ab-3c743b65fdfc</t>
        </is>
      </c>
      <c r="D7001" t="n">
        <v>55.98081</v>
      </c>
      <c r="E7001" t="n">
        <v>37.40767</v>
      </c>
      <c r="F7001" t="inlineStr"/>
      <c r="G7001" t="inlineStr"/>
      <c r="H7001" t="inlineStr"/>
    </row>
    <row r="7002">
      <c r="A7002" t="inlineStr">
        <is>
          <t>dd92b38e-3844-4f4a-a133-e93b5a6f55eb.jpg</t>
        </is>
      </c>
      <c r="B7002">
        <f>HYPERLINK("Объекты недвижимости, не соответствующие градостроительным нормам_00-022_Август/dd92b38e-3844-4f4a-a133-e93b5a6f55eb.jpg","open")</f>
        <v/>
      </c>
      <c r="C7002" t="inlineStr">
        <is>
          <t>8cde1fd0-eca1-4510-86ab-3c743b65fdfc</t>
        </is>
      </c>
      <c r="D7002" t="n">
        <v>55.98284</v>
      </c>
      <c r="E7002" t="n">
        <v>37.413</v>
      </c>
      <c r="F7002" t="inlineStr"/>
      <c r="G7002" t="inlineStr"/>
      <c r="H7002" t="inlineStr"/>
    </row>
    <row r="7003">
      <c r="A7003" t="inlineStr">
        <is>
          <t>4deb1f49-f5f4-46a8-8117-37a5b17281de.jpg</t>
        </is>
      </c>
      <c r="B7003">
        <f>HYPERLINK("Объекты недвижимости, не соответствующие градостроительным нормам_00-022_Август/4deb1f49-f5f4-46a8-8117-37a5b17281de.jpg","open")</f>
        <v/>
      </c>
      <c r="C7003" t="inlineStr">
        <is>
          <t>8cde1fd0-eca1-4510-86ab-3c743b65fdfc</t>
        </is>
      </c>
      <c r="D7003" t="n">
        <v>55.98284</v>
      </c>
      <c r="E7003" t="n">
        <v>37.413</v>
      </c>
      <c r="F7003" t="inlineStr"/>
      <c r="G7003" t="inlineStr"/>
      <c r="H7003" t="inlineStr"/>
    </row>
    <row r="7004">
      <c r="A7004" t="inlineStr">
        <is>
          <t>9a0399a3-95b3-48ad-9497-2b3059da35d0.jpg</t>
        </is>
      </c>
      <c r="B7004">
        <f>HYPERLINK("Объекты недвижимости, не соответствующие градостроительным нормам_00-022_Август/9a0399a3-95b3-48ad-9497-2b3059da35d0.jpg","open")</f>
        <v/>
      </c>
      <c r="C7004" t="inlineStr">
        <is>
          <t>8cde1fd0-eca1-4510-86ab-3c743b65fdfc</t>
        </is>
      </c>
      <c r="D7004" t="n">
        <v>55.98284</v>
      </c>
      <c r="E7004" t="n">
        <v>37.413</v>
      </c>
      <c r="F7004" t="inlineStr"/>
      <c r="G7004" t="inlineStr"/>
      <c r="H7004" t="inlineStr"/>
    </row>
    <row r="7005">
      <c r="A7005" t="inlineStr">
        <is>
          <t>9d9e18b1-4498-4451-aef4-2f17dcbc1376.jpg</t>
        </is>
      </c>
      <c r="B7005">
        <f>HYPERLINK("Объекты недвижимости, не соответствующие градостроительным нормам_00-022_Август/9d9e18b1-4498-4451-aef4-2f17dcbc1376.jpg","open")</f>
        <v/>
      </c>
      <c r="C7005" t="inlineStr">
        <is>
          <t>8cde1fd0-eca1-4510-86ab-3c743b65fdfc</t>
        </is>
      </c>
      <c r="D7005" t="n">
        <v>55.98284</v>
      </c>
      <c r="E7005" t="n">
        <v>37.413</v>
      </c>
      <c r="F7005" t="inlineStr"/>
      <c r="G7005" t="inlineStr"/>
      <c r="H7005" t="inlineStr"/>
    </row>
    <row r="7006">
      <c r="A7006" t="inlineStr">
        <is>
          <t>695a4928-d346-4fcf-ac98-7d442e0170bd.jpg</t>
        </is>
      </c>
      <c r="B7006">
        <f>HYPERLINK("Объекты недвижимости, не соответствующие градостроительным нормам_00-022_Август/695a4928-d346-4fcf-ac98-7d442e0170bd.jpg","open")</f>
        <v/>
      </c>
      <c r="C7006" t="inlineStr">
        <is>
          <t>8cde1fd0-eca1-4510-86ab-3c743b65fdfc</t>
        </is>
      </c>
      <c r="D7006" t="n">
        <v>55.98284</v>
      </c>
      <c r="E7006" t="n">
        <v>37.413</v>
      </c>
      <c r="F7006" t="inlineStr"/>
      <c r="G7006" t="inlineStr"/>
      <c r="H7006" t="inlineStr"/>
    </row>
    <row r="7007">
      <c r="A7007" t="inlineStr">
        <is>
          <t>b734d8f5-fda2-4c08-9ee8-9e0955dfd1cc.jpg</t>
        </is>
      </c>
      <c r="B7007">
        <f>HYPERLINK("Объекты недвижимости, не соответствующие градостроительным нормам_00-022_Август/b734d8f5-fda2-4c08-9ee8-9e0955dfd1cc.jpg","open")</f>
        <v/>
      </c>
      <c r="C7007" t="inlineStr">
        <is>
          <t>8cde1fd0-eca1-4510-86ab-3c743b65fdfc</t>
        </is>
      </c>
      <c r="D7007" t="n">
        <v>55.98284</v>
      </c>
      <c r="E7007" t="n">
        <v>37.413</v>
      </c>
      <c r="F7007" t="inlineStr"/>
      <c r="G7007" t="inlineStr"/>
      <c r="H7007" t="inlineStr"/>
    </row>
    <row r="7008">
      <c r="A7008" t="inlineStr">
        <is>
          <t>e626cb66-2c3c-4f09-a04f-c653f7d84a7f.jpg</t>
        </is>
      </c>
      <c r="B7008">
        <f>HYPERLINK("Объекты недвижимости, не соответствующие градостроительным нормам_00-022_Август/e626cb66-2c3c-4f09-a04f-c653f7d84a7f.jpg","open")</f>
        <v/>
      </c>
      <c r="C7008" t="inlineStr">
        <is>
          <t>8cde1fd0-eca1-4510-86ab-3c743b65fdfc</t>
        </is>
      </c>
      <c r="D7008" t="n">
        <v>55.98343</v>
      </c>
      <c r="E7008" t="n">
        <v>37.34483</v>
      </c>
      <c r="F7008" t="inlineStr"/>
      <c r="G7008" t="inlineStr"/>
      <c r="H7008" t="inlineStr"/>
    </row>
    <row r="7009">
      <c r="A7009" t="inlineStr">
        <is>
          <t>606f6827-29b7-4938-b6aa-c8c3ea226725.jpg</t>
        </is>
      </c>
      <c r="B7009">
        <f>HYPERLINK("Объекты недвижимости, не соответствующие градостроительным нормам_00-022_Август/606f6827-29b7-4938-b6aa-c8c3ea226725.jpg","open")</f>
        <v/>
      </c>
      <c r="C7009" t="inlineStr">
        <is>
          <t>8cde1fd0-eca1-4510-86ab-3c743b65fdfc</t>
        </is>
      </c>
      <c r="D7009" t="n">
        <v>55.98394</v>
      </c>
      <c r="E7009" t="n">
        <v>37.34069</v>
      </c>
      <c r="F7009" t="inlineStr"/>
      <c r="G7009" t="inlineStr"/>
      <c r="H7009" t="inlineStr"/>
    </row>
    <row r="7010">
      <c r="A7010" t="inlineStr">
        <is>
          <t>9d292342-459b-444a-ad8d-b3ff76e74277.jpg</t>
        </is>
      </c>
      <c r="B7010">
        <f>HYPERLINK("Объекты недвижимости, не соответствующие градостроительным нормам_00-022_Август/9d292342-459b-444a-ad8d-b3ff76e74277.jpg","open")</f>
        <v/>
      </c>
      <c r="C7010" t="inlineStr">
        <is>
          <t>8cde1fd0-eca1-4510-86ab-3c743b65fdfc</t>
        </is>
      </c>
      <c r="D7010" t="n">
        <v>55.98993</v>
      </c>
      <c r="E7010" t="n">
        <v>37.30892</v>
      </c>
      <c r="F7010" t="inlineStr"/>
      <c r="G7010" t="inlineStr"/>
      <c r="H7010" t="inlineStr"/>
    </row>
    <row r="7011">
      <c r="A7011" t="inlineStr">
        <is>
          <t>bfc16cb3-68d1-467f-b758-8aa8315b00d5.jpg</t>
        </is>
      </c>
      <c r="B7011">
        <f>HYPERLINK("Объекты недвижимости, не соответствующие градостроительным нормам_00-022_Август/bfc16cb3-68d1-467f-b758-8aa8315b00d5.jpg","open")</f>
        <v/>
      </c>
      <c r="C7011" t="inlineStr">
        <is>
          <t>8cde1fd0-eca1-4510-86ab-3c743b65fdfc</t>
        </is>
      </c>
      <c r="D7011" t="n">
        <v>55.99058</v>
      </c>
      <c r="E7011" t="n">
        <v>37.3067</v>
      </c>
      <c r="F7011" t="inlineStr"/>
      <c r="G7011" t="inlineStr"/>
      <c r="H7011" t="inlineStr"/>
    </row>
    <row r="7012">
      <c r="A7012" t="inlineStr">
        <is>
          <t>e0574d95-2f9a-4193-9585-39dc88b45776.jpg</t>
        </is>
      </c>
      <c r="B7012">
        <f>HYPERLINK("Объекты недвижимости, не соответствующие градостроительным нормам_00-022_Август/e0574d95-2f9a-4193-9585-39dc88b45776.jpg","open")</f>
        <v/>
      </c>
      <c r="C7012" t="inlineStr">
        <is>
          <t>57aae8a4-582b-4309-8045-c8127a9f86ae</t>
        </is>
      </c>
      <c r="D7012" t="n">
        <v>55.81668</v>
      </c>
      <c r="E7012" t="n">
        <v>37.78814</v>
      </c>
      <c r="F7012" t="inlineStr"/>
      <c r="G7012" t="inlineStr"/>
      <c r="H7012" t="inlineStr"/>
    </row>
    <row r="7013">
      <c r="A7013" t="inlineStr">
        <is>
          <t>69a81a29-4e04-4bcb-a6c6-e8857a437c12.jpg</t>
        </is>
      </c>
      <c r="B7013">
        <f>HYPERLINK("Объекты недвижимости, не соответствующие градостроительным нормам_00-022_Август/69a81a29-4e04-4bcb-a6c6-e8857a437c12.jpg","open")</f>
        <v/>
      </c>
      <c r="C7013" t="inlineStr">
        <is>
          <t>b0429a31-0c70-4b9f-8ea5-73929d82f89e</t>
        </is>
      </c>
      <c r="D7013" t="n">
        <v>55.61182</v>
      </c>
      <c r="E7013" t="n">
        <v>37.59181</v>
      </c>
      <c r="F7013" t="inlineStr"/>
      <c r="G7013" t="inlineStr"/>
      <c r="H7013" t="inlineStr"/>
    </row>
    <row r="7014">
      <c r="A7014" t="inlineStr">
        <is>
          <t>e54ec1c1-e4a3-4f37-8c4c-3f71ce4bd9b9.jpg</t>
        </is>
      </c>
      <c r="B7014">
        <f>HYPERLINK("Объекты недвижимости, не соответствующие градостроительным нормам_00-022_Август/e54ec1c1-e4a3-4f37-8c4c-3f71ce4bd9b9.jpg","open")</f>
        <v/>
      </c>
      <c r="C7014" t="inlineStr">
        <is>
          <t>e26f5fc2-1353-4f29-85f3-87c56419161c</t>
        </is>
      </c>
      <c r="D7014" t="n">
        <v>55.83578</v>
      </c>
      <c r="E7014" t="n">
        <v>37.5787</v>
      </c>
      <c r="F7014" t="inlineStr"/>
      <c r="G7014" t="inlineStr"/>
      <c r="H7014" t="inlineStr"/>
    </row>
    <row r="7015">
      <c r="A7015" t="inlineStr">
        <is>
          <t>249100bc-45ef-4276-97b7-65c7704fc4bf.jpg</t>
        </is>
      </c>
      <c r="B7015">
        <f>HYPERLINK("Объекты недвижимости, не соответствующие градостроительным нормам_00-022_Август/249100bc-45ef-4276-97b7-65c7704fc4bf.jpg","open")</f>
        <v/>
      </c>
      <c r="C7015" t="inlineStr">
        <is>
          <t>8cde1fd0-eca1-4510-86ab-3c743b65fdfc</t>
        </is>
      </c>
      <c r="D7015" t="n">
        <v>55.99529</v>
      </c>
      <c r="E7015" t="n">
        <v>37.28643</v>
      </c>
      <c r="F7015" t="inlineStr"/>
      <c r="G7015" t="inlineStr"/>
      <c r="H7015" t="inlineStr"/>
    </row>
    <row r="7016">
      <c r="A7016" t="inlineStr">
        <is>
          <t>0c1a86f9-d052-4cf2-ba5d-eab3d0776286.jpg</t>
        </is>
      </c>
      <c r="B7016">
        <f>HYPERLINK("Объекты недвижимости, не соответствующие градостроительным нормам_00-022_Август/0c1a86f9-d052-4cf2-ba5d-eab3d0776286.jpg","open")</f>
        <v/>
      </c>
      <c r="C7016" t="inlineStr">
        <is>
          <t>8cde1fd0-eca1-4510-86ab-3c743b65fdfc</t>
        </is>
      </c>
      <c r="D7016" t="n">
        <v>55.99813</v>
      </c>
      <c r="E7016" t="n">
        <v>37.2755</v>
      </c>
      <c r="F7016" t="inlineStr"/>
      <c r="G7016" t="inlineStr"/>
      <c r="H7016" t="inlineStr"/>
    </row>
    <row r="7017">
      <c r="A7017" t="inlineStr">
        <is>
          <t>5eefd403-cc99-4383-839f-2cdc07f0af46.jpg</t>
        </is>
      </c>
      <c r="B7017">
        <f>HYPERLINK("Объекты недвижимости, не соответствующие градостроительным нормам_00-022_Август/5eefd403-cc99-4383-839f-2cdc07f0af46.jpg","open")</f>
        <v/>
      </c>
      <c r="C7017" t="inlineStr">
        <is>
          <t>e26f5fc2-1353-4f29-85f3-87c56419161c</t>
        </is>
      </c>
      <c r="D7017" t="n">
        <v>55.82938</v>
      </c>
      <c r="E7017" t="n">
        <v>37.57811</v>
      </c>
      <c r="F7017" t="inlineStr"/>
      <c r="G7017" t="inlineStr"/>
      <c r="H7017" t="inlineStr"/>
    </row>
    <row r="7018">
      <c r="A7018" t="inlineStr">
        <is>
          <t>0f6be728-af4b-4143-b9bf-b2af3b1d64aa.jpg</t>
        </is>
      </c>
      <c r="B7018">
        <f>HYPERLINK("Объекты недвижимости, не соответствующие градостроительным нормам_00-022_Август/0f6be728-af4b-4143-b9bf-b2af3b1d64aa.jpg","open")</f>
        <v/>
      </c>
      <c r="C7018" t="inlineStr">
        <is>
          <t>8cde1fd0-eca1-4510-86ab-3c743b65fdfc</t>
        </is>
      </c>
      <c r="D7018" t="n">
        <v>56.00117</v>
      </c>
      <c r="E7018" t="n">
        <v>37.26116</v>
      </c>
      <c r="F7018" t="inlineStr"/>
      <c r="G7018" t="inlineStr"/>
      <c r="H7018" t="inlineStr"/>
    </row>
    <row r="7019">
      <c r="A7019" t="inlineStr">
        <is>
          <t>f1213ee4-13e2-4e31-8d0d-76d1e97c3aa0.jpg</t>
        </is>
      </c>
      <c r="B7019">
        <f>HYPERLINK("Объекты недвижимости, не соответствующие градостроительным нормам_00-022_Август/f1213ee4-13e2-4e31-8d0d-76d1e97c3aa0.jpg","open")</f>
        <v/>
      </c>
      <c r="C7019" t="inlineStr">
        <is>
          <t>8cde1fd0-eca1-4510-86ab-3c743b65fdfc</t>
        </is>
      </c>
      <c r="D7019" t="n">
        <v>56.00454</v>
      </c>
      <c r="E7019" t="n">
        <v>37.25013</v>
      </c>
      <c r="F7019" t="inlineStr"/>
      <c r="G7019" t="inlineStr"/>
      <c r="H7019" t="inlineStr"/>
    </row>
    <row r="7020">
      <c r="A7020" t="inlineStr">
        <is>
          <t>e2711228-1d0c-4e4b-a6af-251545244118.jpg</t>
        </is>
      </c>
      <c r="B7020">
        <f>HYPERLINK("Объекты недвижимости, не соответствующие градостроительным нормам_00-022_Август/e2711228-1d0c-4e4b-a6af-251545244118.jpg","open")</f>
        <v/>
      </c>
      <c r="C7020" t="inlineStr">
        <is>
          <t>8cde1fd0-eca1-4510-86ab-3c743b65fdfc</t>
        </is>
      </c>
      <c r="D7020" t="n">
        <v>56.00928</v>
      </c>
      <c r="E7020" t="n">
        <v>37.23334</v>
      </c>
      <c r="F7020" t="inlineStr"/>
      <c r="G7020" t="inlineStr"/>
      <c r="H7020" t="inlineStr"/>
    </row>
    <row r="7021">
      <c r="A7021" t="inlineStr">
        <is>
          <t>cdd99ada-776c-4307-9818-6e23855fded5.jpg</t>
        </is>
      </c>
      <c r="B7021">
        <f>HYPERLINK("Объекты недвижимости, не соответствующие градостроительным нормам_00-022_Август/cdd99ada-776c-4307-9818-6e23855fded5.jpg","open")</f>
        <v/>
      </c>
      <c r="C7021" t="inlineStr">
        <is>
          <t>8cde1fd0-eca1-4510-86ab-3c743b65fdfc</t>
        </is>
      </c>
      <c r="D7021" t="n">
        <v>56.00983</v>
      </c>
      <c r="E7021" t="n">
        <v>37.23112</v>
      </c>
      <c r="F7021" t="inlineStr"/>
      <c r="G7021" t="inlineStr"/>
      <c r="H7021" t="inlineStr"/>
    </row>
    <row r="7022">
      <c r="A7022" t="inlineStr">
        <is>
          <t>c0e3ee11-c3d8-447f-a821-343d45074248.jpg</t>
        </is>
      </c>
      <c r="B7022">
        <f>HYPERLINK("Объекты недвижимости, не соответствующие градостроительным нормам_00-022_Август/c0e3ee11-c3d8-447f-a821-343d45074248.jpg","open")</f>
        <v/>
      </c>
      <c r="C7022" t="inlineStr">
        <is>
          <t>8cde1fd0-eca1-4510-86ab-3c743b65fdfc</t>
        </is>
      </c>
      <c r="D7022" t="n">
        <v>56.01142</v>
      </c>
      <c r="E7022" t="n">
        <v>37.22156</v>
      </c>
      <c r="F7022" t="inlineStr"/>
      <c r="G7022" t="inlineStr"/>
      <c r="H7022" t="inlineStr"/>
    </row>
    <row r="7023">
      <c r="A7023" t="inlineStr">
        <is>
          <t>e5a7c7ad-b474-4bce-a8c1-0ce1b5f76717.jpg</t>
        </is>
      </c>
      <c r="B7023">
        <f>HYPERLINK("Объекты недвижимости, не соответствующие градостроительным нормам_00-022_Август/e5a7c7ad-b474-4bce-a8c1-0ce1b5f76717.jpg","open")</f>
        <v/>
      </c>
      <c r="C7023" t="inlineStr">
        <is>
          <t>d2c4eccd-3e4b-406c-a903-0f5e43d0be35</t>
        </is>
      </c>
      <c r="D7023" t="n">
        <v>55.97143</v>
      </c>
      <c r="E7023" t="n">
        <v>37.39899</v>
      </c>
      <c r="F7023" t="inlineStr"/>
      <c r="G7023" t="inlineStr"/>
      <c r="H7023" t="inlineStr"/>
    </row>
    <row r="7024">
      <c r="A7024" t="inlineStr">
        <is>
          <t>ee508143-faff-42cd-b555-968183f151f5.jpg</t>
        </is>
      </c>
      <c r="B7024">
        <f>HYPERLINK("Объекты недвижимости, не соответствующие градостроительным нормам_00-022_Август/ee508143-faff-42cd-b555-968183f151f5.jpg","open")</f>
        <v/>
      </c>
      <c r="C7024" t="inlineStr">
        <is>
          <t>b0429a31-0c70-4b9f-8ea5-73929d82f89e</t>
        </is>
      </c>
      <c r="D7024" t="n">
        <v>55.61165</v>
      </c>
      <c r="E7024" t="n">
        <v>37.59642</v>
      </c>
      <c r="F7024" t="inlineStr"/>
      <c r="G7024" t="inlineStr"/>
      <c r="H7024" t="inlineStr"/>
    </row>
    <row r="7025">
      <c r="A7025" t="inlineStr">
        <is>
          <t>45b0fcb6-dfdc-47be-bfac-aea1214cfede.jpg</t>
        </is>
      </c>
      <c r="B7025">
        <f>HYPERLINK("Объекты недвижимости, не соответствующие градостроительным нормам_00-022_Август/45b0fcb6-dfdc-47be-bfac-aea1214cfede.jpg","open")</f>
        <v/>
      </c>
      <c r="C7025" t="inlineStr">
        <is>
          <t>b0429a31-0c70-4b9f-8ea5-73929d82f89e</t>
        </is>
      </c>
      <c r="D7025" t="n">
        <v>55.61161</v>
      </c>
      <c r="E7025" t="n">
        <v>37.59662</v>
      </c>
      <c r="F7025" t="inlineStr"/>
      <c r="G7025" t="inlineStr"/>
      <c r="H7025" t="inlineStr"/>
    </row>
    <row r="7026">
      <c r="A7026" t="inlineStr">
        <is>
          <t>98aa53d0-1120-4587-92f1-9b5d77733da2.jpg</t>
        </is>
      </c>
      <c r="B7026">
        <f>HYPERLINK("Объекты недвижимости, не соответствующие градостроительным нормам_00-022_Август/98aa53d0-1120-4587-92f1-9b5d77733da2.jpg","open")</f>
        <v/>
      </c>
      <c r="C7026" t="inlineStr">
        <is>
          <t>b0429a31-0c70-4b9f-8ea5-73929d82f89e</t>
        </is>
      </c>
      <c r="D7026" t="n">
        <v>55.6116</v>
      </c>
      <c r="E7026" t="n">
        <v>37.59663</v>
      </c>
      <c r="F7026" t="inlineStr"/>
      <c r="G7026" t="inlineStr"/>
      <c r="H7026" t="inlineStr"/>
    </row>
    <row r="7027">
      <c r="A7027" t="inlineStr">
        <is>
          <t>db6dcc23-00c5-4ba9-85d9-20e26e2fd9ee.jpg</t>
        </is>
      </c>
      <c r="B7027">
        <f>HYPERLINK("Объекты недвижимости, не соответствующие градостроительным нормам_00-022_Август/db6dcc23-00c5-4ba9-85d9-20e26e2fd9ee.jpg","open")</f>
        <v/>
      </c>
      <c r="C7027" t="inlineStr">
        <is>
          <t>99f3abba-c55b-49f0-9de5-9f88e9597cc0</t>
        </is>
      </c>
      <c r="D7027" t="n">
        <v>55.61164</v>
      </c>
      <c r="E7027" t="n">
        <v>37.59665</v>
      </c>
      <c r="F7027" t="inlineStr"/>
      <c r="G7027" t="inlineStr"/>
      <c r="H7027" t="inlineStr"/>
    </row>
    <row r="7028">
      <c r="A7028" t="inlineStr">
        <is>
          <t>755b9d80-d38e-4f7d-9c55-c17df986a1a7.jpg</t>
        </is>
      </c>
      <c r="B7028">
        <f>HYPERLINK("Объекты недвижимости, не соответствующие градостроительным нормам_00-022_Август/755b9d80-d38e-4f7d-9c55-c17df986a1a7.jpg","open")</f>
        <v/>
      </c>
      <c r="C7028" t="inlineStr">
        <is>
          <t>b0429a31-0c70-4b9f-8ea5-73929d82f89e</t>
        </is>
      </c>
      <c r="D7028" t="n">
        <v>55.61163</v>
      </c>
      <c r="E7028" t="n">
        <v>37.59667</v>
      </c>
      <c r="F7028" t="inlineStr"/>
      <c r="G7028" t="inlineStr"/>
      <c r="H7028" t="inlineStr"/>
    </row>
    <row r="7029">
      <c r="A7029" t="inlineStr">
        <is>
          <t>ffc4ba4e-ca48-4808-87d9-c569c981fa57.jpg</t>
        </is>
      </c>
      <c r="B7029">
        <f>HYPERLINK("Объекты недвижимости, не соответствующие градостроительным нормам_00-022_Август/ffc4ba4e-ca48-4808-87d9-c569c981fa57.jpg","open")</f>
        <v/>
      </c>
      <c r="C7029" t="inlineStr">
        <is>
          <t>cbf95b01-f708-45a3-9ec0-3603469b538e</t>
        </is>
      </c>
      <c r="D7029" t="n">
        <v>55.72895</v>
      </c>
      <c r="E7029" t="n">
        <v>37.56104</v>
      </c>
      <c r="F7029" t="inlineStr"/>
      <c r="G7029" t="inlineStr"/>
      <c r="H7029" t="inlineStr"/>
    </row>
    <row r="7030">
      <c r="A7030" t="inlineStr">
        <is>
          <t>c588c32f-aae0-4f12-a210-383ce4298125.jpg</t>
        </is>
      </c>
      <c r="B7030">
        <f>HYPERLINK("Объекты недвижимости, не соответствующие градостроительным нормам_00-022_Август/c588c32f-aae0-4f12-a210-383ce4298125.jpg","open")</f>
        <v/>
      </c>
      <c r="C7030" t="inlineStr">
        <is>
          <t>1a55986c-2c3f-40c0-b3d1-014dce77832e</t>
        </is>
      </c>
      <c r="D7030" t="n">
        <v>55.36459</v>
      </c>
      <c r="E7030" t="n">
        <v>37.1835</v>
      </c>
      <c r="F7030" t="inlineStr"/>
      <c r="G7030" t="inlineStr"/>
      <c r="H7030" t="inlineStr"/>
    </row>
    <row r="7031">
      <c r="A7031" t="inlineStr">
        <is>
          <t>4fddb416-4f85-4d9a-8e2a-c9b86a7d8883.jpg</t>
        </is>
      </c>
      <c r="B7031">
        <f>HYPERLINK("Объекты недвижимости, не соответствующие градостроительным нормам_00-022_Август/4fddb416-4f85-4d9a-8e2a-c9b86a7d8883.jpg","open")</f>
        <v/>
      </c>
      <c r="C7031" t="inlineStr">
        <is>
          <t>99f3abba-c55b-49f0-9de5-9f88e9597cc0</t>
        </is>
      </c>
      <c r="D7031" t="n">
        <v>55.61181</v>
      </c>
      <c r="E7031" t="n">
        <v>37.59766</v>
      </c>
      <c r="F7031" t="inlineStr"/>
      <c r="G7031" t="inlineStr"/>
      <c r="H7031" t="inlineStr"/>
    </row>
    <row r="7032">
      <c r="A7032" t="inlineStr">
        <is>
          <t>8d1a20c3-bba9-485b-b936-2ef52fa3fa87.jpg</t>
        </is>
      </c>
      <c r="B7032">
        <f>HYPERLINK("Объекты недвижимости, не соответствующие градостроительным нормам_00-022_Август/8d1a20c3-bba9-485b-b936-2ef52fa3fa87.jpg","open")</f>
        <v/>
      </c>
      <c r="C7032" t="inlineStr">
        <is>
          <t>b0429a31-0c70-4b9f-8ea5-73929d82f89e</t>
        </is>
      </c>
      <c r="D7032" t="n">
        <v>55.6118</v>
      </c>
      <c r="E7032" t="n">
        <v>37.59776</v>
      </c>
      <c r="F7032" t="inlineStr"/>
      <c r="G7032" t="inlineStr"/>
      <c r="H7032" t="inlineStr"/>
    </row>
    <row r="7033">
      <c r="A7033" t="inlineStr">
        <is>
          <t>3d22b0eb-4e7e-4292-8da9-0c75c1913d7b.jpg</t>
        </is>
      </c>
      <c r="B7033">
        <f>HYPERLINK("Объекты недвижимости, не соответствующие градостроительным нормам_00-022_Август/3d22b0eb-4e7e-4292-8da9-0c75c1913d7b.jpg","open")</f>
        <v/>
      </c>
      <c r="C7033" t="inlineStr">
        <is>
          <t>8b2675e2-7f40-47a9-a462-7c9feecd299c</t>
        </is>
      </c>
      <c r="D7033" t="n">
        <v>55.68129</v>
      </c>
      <c r="E7033" t="n">
        <v>37.73528</v>
      </c>
      <c r="F7033" t="inlineStr"/>
      <c r="G7033" t="inlineStr"/>
      <c r="H7033" t="inlineStr"/>
    </row>
    <row r="7034">
      <c r="A7034" t="inlineStr">
        <is>
          <t>9cd6bc21-647f-46ab-9827-0209f2fbe85e.jpg</t>
        </is>
      </c>
      <c r="B7034">
        <f>HYPERLINK("Объекты недвижимости, не соответствующие градостроительным нормам_00-022_Август/9cd6bc21-647f-46ab-9827-0209f2fbe85e.jpg","open")</f>
        <v/>
      </c>
      <c r="C7034" t="inlineStr">
        <is>
          <t>48b533d5-d106-4175-ac9b-d5ce8d90cccf</t>
        </is>
      </c>
      <c r="D7034" t="n">
        <v>55.88671</v>
      </c>
      <c r="E7034" t="n">
        <v>37.40478</v>
      </c>
      <c r="F7034" t="inlineStr"/>
      <c r="G7034" t="inlineStr"/>
      <c r="H7034" t="inlineStr"/>
    </row>
    <row r="7035">
      <c r="A7035" t="inlineStr">
        <is>
          <t>8f23b100-7b02-48f4-a076-4430a82c74cd.jpg</t>
        </is>
      </c>
      <c r="B7035">
        <f>HYPERLINK("Объекты недвижимости, не соответствующие градостроительным нормам_00-022_Август/8f23b100-7b02-48f4-a076-4430a82c74cd.jpg","open")</f>
        <v/>
      </c>
      <c r="C7035" t="inlineStr">
        <is>
          <t>fce890a6-27da-4062-a046-08262a160ee6</t>
        </is>
      </c>
      <c r="D7035" t="n">
        <v>55.98279</v>
      </c>
      <c r="E7035" t="n">
        <v>37.16679</v>
      </c>
      <c r="F7035" t="inlineStr"/>
      <c r="G7035" t="inlineStr"/>
      <c r="H7035" t="inlineStr"/>
    </row>
    <row r="7036">
      <c r="A7036" t="inlineStr">
        <is>
          <t>464e08a6-47f7-4744-84bb-3b188ddd5c0f.jpg</t>
        </is>
      </c>
      <c r="B7036">
        <f>HYPERLINK("Объекты недвижимости, не соответствующие градостроительным нормам_00-022_Август/464e08a6-47f7-4744-84bb-3b188ddd5c0f.jpg","open")</f>
        <v/>
      </c>
      <c r="C7036" t="inlineStr">
        <is>
          <t>cbf95b01-f708-45a3-9ec0-3603469b538e</t>
        </is>
      </c>
      <c r="D7036" t="n">
        <v>55.73507</v>
      </c>
      <c r="E7036" t="n">
        <v>37.57323</v>
      </c>
      <c r="F7036" t="inlineStr"/>
      <c r="G7036" t="inlineStr"/>
      <c r="H7036" t="inlineStr"/>
    </row>
    <row r="7037">
      <c r="A7037" t="inlineStr">
        <is>
          <t>16ec7ff5-e978-4423-93e7-d74fc25fea6f.jpg</t>
        </is>
      </c>
      <c r="B7037">
        <f>HYPERLINK("Объекты недвижимости, не соответствующие градостроительным нормам_00-022_Август/16ec7ff5-e978-4423-93e7-d74fc25fea6f.jpg","open")</f>
        <v/>
      </c>
      <c r="C7037" t="inlineStr">
        <is>
          <t>030e8755-17c1-44eb-9530-707d0d3121cb</t>
        </is>
      </c>
      <c r="D7037" t="n">
        <v>55.6847</v>
      </c>
      <c r="E7037" t="n">
        <v>37.6912</v>
      </c>
      <c r="F7037" t="inlineStr"/>
      <c r="G7037" t="inlineStr"/>
      <c r="H7037" t="inlineStr"/>
    </row>
    <row r="7038">
      <c r="A7038" t="inlineStr">
        <is>
          <t>49127bee-4f04-4fd8-8b54-903ab2cbdeda.jpg</t>
        </is>
      </c>
      <c r="B7038">
        <f>HYPERLINK("Объекты недвижимости, не соответствующие градостроительным нормам_00-022_Август/49127bee-4f04-4fd8-8b54-903ab2cbdeda.jpg","open")</f>
        <v/>
      </c>
      <c r="C7038" t="inlineStr">
        <is>
          <t>f389b777-2837-46f0-983f-56af24850601</t>
        </is>
      </c>
      <c r="D7038" t="n">
        <v>55.73395</v>
      </c>
      <c r="E7038" t="n">
        <v>37.66818</v>
      </c>
      <c r="F7038" t="inlineStr"/>
      <c r="G7038" t="inlineStr"/>
      <c r="H7038" t="inlineStr"/>
    </row>
    <row r="7039">
      <c r="A7039" t="inlineStr">
        <is>
          <t>9d770ab1-38ba-47f5-a0b9-c6df321ef05a.jpg</t>
        </is>
      </c>
      <c r="B7039">
        <f>HYPERLINK("Объекты недвижимости, не соответствующие градостроительным нормам_00-022_Август/9d770ab1-38ba-47f5-a0b9-c6df321ef05a.jpg","open")</f>
        <v/>
      </c>
      <c r="C7039" t="inlineStr">
        <is>
          <t>cbf95b01-f708-45a3-9ec0-3603469b538e</t>
        </is>
      </c>
      <c r="D7039" t="n">
        <v>55.73948</v>
      </c>
      <c r="E7039" t="n">
        <v>37.57545</v>
      </c>
      <c r="F7039" t="inlineStr"/>
      <c r="G7039" t="inlineStr"/>
      <c r="H7039" t="inlineStr"/>
    </row>
    <row r="7040">
      <c r="A7040" t="inlineStr">
        <is>
          <t>f885e7c8-5c88-4fbf-832a-0196285da259.jpg</t>
        </is>
      </c>
      <c r="B7040">
        <f>HYPERLINK("Объекты недвижимости, не соответствующие градостроительным нормам_00-022_Август/f885e7c8-5c88-4fbf-832a-0196285da259.jpg","open")</f>
        <v/>
      </c>
      <c r="C7040" t="inlineStr">
        <is>
          <t>caa4772d-6278-4484-a046-ee25514bf521</t>
        </is>
      </c>
      <c r="D7040" t="n">
        <v>55.72341</v>
      </c>
      <c r="E7040" t="n">
        <v>37.71549</v>
      </c>
      <c r="F7040" t="inlineStr"/>
      <c r="G7040" t="inlineStr"/>
      <c r="H7040" t="inlineStr"/>
    </row>
    <row r="7041">
      <c r="A7041" t="inlineStr">
        <is>
          <t>e082d956-dcc9-4e9c-a885-35d20eabb8b9.jpg</t>
        </is>
      </c>
      <c r="B7041">
        <f>HYPERLINK("Объекты недвижимости, не соответствующие градостроительным нормам_00-022_Август/e082d956-dcc9-4e9c-a885-35d20eabb8b9.jpg","open")</f>
        <v/>
      </c>
      <c r="C7041" t="inlineStr">
        <is>
          <t>f6f80c84-5569-48fd-b627-6f41ce4c61c4</t>
        </is>
      </c>
      <c r="D7041" t="n">
        <v>55.7235</v>
      </c>
      <c r="E7041" t="n">
        <v>37.71527</v>
      </c>
      <c r="F7041" t="inlineStr"/>
      <c r="G7041" t="inlineStr"/>
      <c r="H7041" t="inlineStr"/>
    </row>
    <row r="7042">
      <c r="A7042" t="inlineStr">
        <is>
          <t>016ae2fd-c6ba-45bd-91a9-088db93555c1.jpg</t>
        </is>
      </c>
      <c r="B7042">
        <f>HYPERLINK("Объекты недвижимости, не соответствующие градостроительным нормам_00-022_Август/016ae2fd-c6ba-45bd-91a9-088db93555c1.jpg","open")</f>
        <v/>
      </c>
      <c r="C7042" t="inlineStr">
        <is>
          <t>18a5c468-d9e6-4814-8477-1caf4a2e1fe9</t>
        </is>
      </c>
      <c r="D7042" t="n">
        <v>55.97143</v>
      </c>
      <c r="E7042" t="n">
        <v>37.39899</v>
      </c>
      <c r="F7042" t="inlineStr"/>
      <c r="G7042" t="inlineStr"/>
      <c r="H7042" t="inlineStr"/>
    </row>
    <row r="7043">
      <c r="A7043" t="inlineStr">
        <is>
          <t>d6ce6825-5160-4ba1-af7c-214b3bcf0b67.jpg</t>
        </is>
      </c>
      <c r="B7043">
        <f>HYPERLINK("Объекты недвижимости, не соответствующие градостроительным нормам_00-022_Август/d6ce6825-5160-4ba1-af7c-214b3bcf0b67.jpg","open")</f>
        <v/>
      </c>
      <c r="C7043" t="inlineStr">
        <is>
          <t>caa4772d-6278-4484-a046-ee25514bf521</t>
        </is>
      </c>
      <c r="D7043" t="n">
        <v>55.73135</v>
      </c>
      <c r="E7043" t="n">
        <v>37.71077</v>
      </c>
      <c r="F7043" t="inlineStr"/>
      <c r="G7043" t="inlineStr"/>
      <c r="H7043" t="inlineStr"/>
    </row>
    <row r="7044">
      <c r="A7044" t="inlineStr">
        <is>
          <t>b5668581-acd8-4eae-b24e-26c0a236a3de.jpg</t>
        </is>
      </c>
      <c r="B7044">
        <f>HYPERLINK("Объекты недвижимости, не соответствующие градостроительным нормам_00-022_Август/b5668581-acd8-4eae-b24e-26c0a236a3de.jpg","open")</f>
        <v/>
      </c>
      <c r="C7044" t="inlineStr">
        <is>
          <t>f60286ac-55e7-4099-85bd-cc599a7a0c65</t>
        </is>
      </c>
      <c r="D7044" t="n">
        <v>55.75795</v>
      </c>
      <c r="E7044" t="n">
        <v>37.78448</v>
      </c>
      <c r="F7044" t="inlineStr"/>
      <c r="G7044" t="inlineStr"/>
      <c r="H7044" t="inlineStr"/>
    </row>
    <row r="7045">
      <c r="A7045" t="inlineStr">
        <is>
          <t>27a36041-a047-495a-aacd-cc57d9724b68.jpg</t>
        </is>
      </c>
      <c r="B7045">
        <f>HYPERLINK("Объекты недвижимости, не соответствующие градостроительным нормам_00-022_Август/27a36041-a047-495a-aacd-cc57d9724b68.jpg","open")</f>
        <v/>
      </c>
      <c r="C7045" t="inlineStr">
        <is>
          <t>12e795ad-2aa7-49de-b2da-2c6aa35a4559</t>
        </is>
      </c>
      <c r="D7045" t="n">
        <v>55.65222</v>
      </c>
      <c r="E7045" t="n">
        <v>37.5564</v>
      </c>
      <c r="F7045" t="inlineStr"/>
      <c r="G7045" t="inlineStr"/>
      <c r="H7045" t="inlineStr"/>
    </row>
    <row r="7046">
      <c r="A7046" t="inlineStr">
        <is>
          <t>97134b16-1b05-4c0b-93e7-391690c25353.jpg</t>
        </is>
      </c>
      <c r="B7046">
        <f>HYPERLINK("Объекты недвижимости, не соответствующие градостроительным нормам_00-022_Август/97134b16-1b05-4c0b-93e7-391690c25353.jpg","open")</f>
        <v/>
      </c>
      <c r="C7046" t="inlineStr">
        <is>
          <t>12e795ad-2aa7-49de-b2da-2c6aa35a4559</t>
        </is>
      </c>
      <c r="D7046" t="n">
        <v>55.65196</v>
      </c>
      <c r="E7046" t="n">
        <v>37.55497</v>
      </c>
      <c r="F7046" t="inlineStr"/>
      <c r="G7046" t="inlineStr"/>
      <c r="H7046" t="inlineStr"/>
    </row>
    <row r="7047">
      <c r="A7047" t="inlineStr">
        <is>
          <t>1db30afc-6662-46d8-a6ee-91027f1d6665.jpg</t>
        </is>
      </c>
      <c r="B7047">
        <f>HYPERLINK("Объекты недвижимости, не соответствующие градостроительным нормам_00-022_Август/1db30afc-6662-46d8-a6ee-91027f1d6665.jpg","open")</f>
        <v/>
      </c>
      <c r="C7047" t="inlineStr">
        <is>
          <t>e90a3ac0-5b70-4ede-abeb-382371713306</t>
        </is>
      </c>
      <c r="D7047" t="n">
        <v>55.70624</v>
      </c>
      <c r="E7047" t="n">
        <v>37.66199</v>
      </c>
      <c r="F7047" t="inlineStr"/>
      <c r="G7047" t="inlineStr"/>
      <c r="H7047" t="inlineStr"/>
    </row>
    <row r="7048">
      <c r="A7048" t="inlineStr">
        <is>
          <t>7b36c7a1-8692-410b-a7e1-d0cdd23de8f9.jpg</t>
        </is>
      </c>
      <c r="B7048">
        <f>HYPERLINK("Объекты недвижимости, не соответствующие градостроительным нормам_00-022_Август/7b36c7a1-8692-410b-a7e1-d0cdd23de8f9.jpg","open")</f>
        <v/>
      </c>
      <c r="C7048" t="inlineStr">
        <is>
          <t>1a55986c-2c3f-40c0-b3d1-014dce77832e</t>
        </is>
      </c>
      <c r="D7048" t="n">
        <v>55.35891</v>
      </c>
      <c r="E7048" t="n">
        <v>37.19648</v>
      </c>
      <c r="F7048" t="inlineStr"/>
      <c r="G7048" t="inlineStr"/>
      <c r="H7048" t="inlineStr"/>
    </row>
    <row r="7049">
      <c r="A7049" t="inlineStr">
        <is>
          <t>ee5d4d5e-b137-4c00-9ec4-edbae42e96fe.jpg</t>
        </is>
      </c>
      <c r="B7049">
        <f>HYPERLINK("Объекты недвижимости, не соответствующие градостроительным нормам_00-022_Август/ee5d4d5e-b137-4c00-9ec4-edbae42e96fe.jpg","open")</f>
        <v/>
      </c>
      <c r="C7049" t="inlineStr">
        <is>
          <t>f6f80c84-5569-48fd-b627-6f41ce4c61c4</t>
        </is>
      </c>
      <c r="D7049" t="n">
        <v>55.72348</v>
      </c>
      <c r="E7049" t="n">
        <v>37.7154</v>
      </c>
      <c r="F7049" t="inlineStr"/>
      <c r="G7049" t="inlineStr"/>
      <c r="H7049" t="inlineStr"/>
    </row>
    <row r="7050">
      <c r="A7050" t="inlineStr">
        <is>
          <t>11d38fac-8316-4739-9523-4dfb68ec7d0a.jpg</t>
        </is>
      </c>
      <c r="B7050">
        <f>HYPERLINK("Объекты недвижимости, не соответствующие градостроительным нормам_00-022_Август/11d38fac-8316-4739-9523-4dfb68ec7d0a.jpg","open")</f>
        <v/>
      </c>
      <c r="C7050" t="inlineStr">
        <is>
          <t>1a55986c-2c3f-40c0-b3d1-014dce77832e</t>
        </is>
      </c>
      <c r="D7050" t="n">
        <v>55.35899</v>
      </c>
      <c r="E7050" t="n">
        <v>37.19446</v>
      </c>
      <c r="F7050" t="inlineStr"/>
      <c r="G7050" t="inlineStr"/>
      <c r="H7050" t="inlineStr"/>
    </row>
    <row r="7051">
      <c r="A7051" t="inlineStr">
        <is>
          <t>8377e0be-7f63-4c7c-8b48-7874be1df96a.jpg</t>
        </is>
      </c>
      <c r="B7051">
        <f>HYPERLINK("Объекты недвижимости, не соответствующие градостроительным нормам_00-022_Август/8377e0be-7f63-4c7c-8b48-7874be1df96a.jpg","open")</f>
        <v/>
      </c>
      <c r="C7051" t="inlineStr">
        <is>
          <t>036c664f-5408-4fd0-b479-342c00468eeb</t>
        </is>
      </c>
      <c r="D7051" t="n">
        <v>55.97625</v>
      </c>
      <c r="E7051" t="n">
        <v>37.39911</v>
      </c>
      <c r="F7051" t="inlineStr"/>
      <c r="G7051" t="inlineStr"/>
      <c r="H7051" t="inlineStr"/>
    </row>
    <row r="7052">
      <c r="A7052" t="inlineStr">
        <is>
          <t>10d949d6-f8ff-492b-9dd1-856103ad2333.jpg</t>
        </is>
      </c>
      <c r="B7052">
        <f>HYPERLINK("Объекты недвижимости, не соответствующие градостроительным нормам_00-022_Август/10d949d6-f8ff-492b-9dd1-856103ad2333.jpg","open")</f>
        <v/>
      </c>
      <c r="C7052" t="inlineStr">
        <is>
          <t>cbf95b01-f708-45a3-9ec0-3603469b538e</t>
        </is>
      </c>
      <c r="D7052" t="n">
        <v>55.84982</v>
      </c>
      <c r="E7052" t="n">
        <v>37.61478</v>
      </c>
      <c r="F7052" t="inlineStr"/>
      <c r="G7052" t="inlineStr"/>
      <c r="H7052" t="inlineStr"/>
    </row>
    <row r="7053">
      <c r="A7053" t="inlineStr">
        <is>
          <t>68b15e1d-9565-4a69-8448-934379d8cf2d.jpg</t>
        </is>
      </c>
      <c r="B7053">
        <f>HYPERLINK("Объекты недвижимости, не соответствующие градостроительным нормам_00-022_Август/68b15e1d-9565-4a69-8448-934379d8cf2d.jpg","open")</f>
        <v/>
      </c>
      <c r="C7053" t="inlineStr">
        <is>
          <t>cbf95b01-f708-45a3-9ec0-3603469b538e</t>
        </is>
      </c>
      <c r="D7053" t="n">
        <v>55.84982</v>
      </c>
      <c r="E7053" t="n">
        <v>37.61478</v>
      </c>
      <c r="F7053" t="inlineStr"/>
      <c r="G7053" t="inlineStr"/>
      <c r="H7053" t="inlineStr"/>
    </row>
    <row r="7054">
      <c r="A7054" t="inlineStr">
        <is>
          <t>42aa072b-d88e-42d0-8618-cb7ac7fbb568.jpg</t>
        </is>
      </c>
      <c r="B7054">
        <f>HYPERLINK("Объекты недвижимости, не соответствующие градостроительным нормам_00-022_Август/42aa072b-d88e-42d0-8618-cb7ac7fbb568.jpg","open")</f>
        <v/>
      </c>
      <c r="C7054" t="inlineStr">
        <is>
          <t>cbf95b01-f708-45a3-9ec0-3603469b538e</t>
        </is>
      </c>
      <c r="D7054" t="n">
        <v>55.86076</v>
      </c>
      <c r="E7054" t="n">
        <v>37.61007</v>
      </c>
      <c r="F7054" t="inlineStr"/>
      <c r="G7054" t="inlineStr"/>
      <c r="H7054" t="inlineStr"/>
    </row>
    <row r="7055">
      <c r="A7055" t="inlineStr">
        <is>
          <t>9a56b0b5-b6b3-4b9e-9d13-f0bb338adc62.jpg</t>
        </is>
      </c>
      <c r="B7055">
        <f>HYPERLINK("Объекты недвижимости, не соответствующие градостроительным нормам_00-022_Август/9a56b0b5-b6b3-4b9e-9d13-f0bb338adc62.jpg","open")</f>
        <v/>
      </c>
      <c r="C7055" t="inlineStr">
        <is>
          <t>cbf95b01-f708-45a3-9ec0-3603469b538e</t>
        </is>
      </c>
      <c r="D7055" t="n">
        <v>55.86179</v>
      </c>
      <c r="E7055" t="n">
        <v>37.61054</v>
      </c>
      <c r="F7055" t="inlineStr"/>
      <c r="G7055" t="inlineStr"/>
      <c r="H7055" t="inlineStr"/>
    </row>
    <row r="7056">
      <c r="A7056" t="inlineStr">
        <is>
          <t>a424df17-e0d5-49b0-8978-5f3aa965ac62.jpg</t>
        </is>
      </c>
      <c r="B7056">
        <f>HYPERLINK("Объекты недвижимости, не соответствующие градостроительным нормам_00-022_Август/a424df17-e0d5-49b0-8978-5f3aa965ac62.jpg","open")</f>
        <v/>
      </c>
      <c r="C7056" t="inlineStr">
        <is>
          <t>cbf95b01-f708-45a3-9ec0-3603469b538e</t>
        </is>
      </c>
      <c r="D7056" t="n">
        <v>55.86283</v>
      </c>
      <c r="E7056" t="n">
        <v>37.61094</v>
      </c>
      <c r="F7056" t="inlineStr"/>
      <c r="G7056" t="inlineStr"/>
      <c r="H7056" t="inlineStr"/>
    </row>
    <row r="7057">
      <c r="A7057" t="inlineStr">
        <is>
          <t>835ff04f-1cbc-40e2-a4f2-14b14660ee02.jpg</t>
        </is>
      </c>
      <c r="B7057">
        <f>HYPERLINK("Объекты недвижимости, не соответствующие градостроительным нормам_00-022_Август/835ff04f-1cbc-40e2-a4f2-14b14660ee02.jpg","open")</f>
        <v/>
      </c>
      <c r="C7057" t="inlineStr">
        <is>
          <t>d2c4eccd-3e4b-406c-a903-0f5e43d0be35</t>
        </is>
      </c>
      <c r="D7057" t="n">
        <v>55.97143</v>
      </c>
      <c r="E7057" t="n">
        <v>37.39899</v>
      </c>
      <c r="F7057" t="inlineStr"/>
      <c r="G7057" t="inlineStr"/>
      <c r="H7057" t="inlineStr"/>
    </row>
    <row r="7058">
      <c r="A7058" t="inlineStr">
        <is>
          <t>525bd5c7-0a3f-4bc0-bf1b-d4607321029d.jpg</t>
        </is>
      </c>
      <c r="B7058">
        <f>HYPERLINK("Объекты недвижимости, не соответствующие градостроительным нормам_00-022_Август/525bd5c7-0a3f-4bc0-bf1b-d4607321029d.jpg","open")</f>
        <v/>
      </c>
      <c r="C7058" t="inlineStr">
        <is>
          <t>f60286ac-55e7-4099-85bd-cc599a7a0c65</t>
        </is>
      </c>
      <c r="D7058" t="n">
        <v>55.75889</v>
      </c>
      <c r="E7058" t="n">
        <v>37.7802</v>
      </c>
      <c r="F7058" t="inlineStr"/>
      <c r="G7058" t="inlineStr"/>
      <c r="H7058" t="inlineStr"/>
    </row>
    <row r="7059">
      <c r="A7059" t="inlineStr">
        <is>
          <t>2f3ecee6-4a3f-4a11-a64f-c981ad252791.jpg</t>
        </is>
      </c>
      <c r="B7059">
        <f>HYPERLINK("Объекты недвижимости, не соответствующие градостроительным нормам_00-022_Август/2f3ecee6-4a3f-4a11-a64f-c981ad252791.jpg","open")</f>
        <v/>
      </c>
      <c r="C7059" t="inlineStr">
        <is>
          <t>caa4772d-6278-4484-a046-ee25514bf521</t>
        </is>
      </c>
      <c r="D7059" t="n">
        <v>55.72975</v>
      </c>
      <c r="E7059" t="n">
        <v>37.7354</v>
      </c>
      <c r="F7059" t="inlineStr"/>
      <c r="G7059" t="inlineStr"/>
      <c r="H7059" t="inlineStr"/>
    </row>
    <row r="7060">
      <c r="A7060" t="inlineStr">
        <is>
          <t>d067e9a6-2a4a-4156-9f01-33b97ef0698a.jpg</t>
        </is>
      </c>
      <c r="B7060">
        <f>HYPERLINK("Объекты недвижимости, не соответствующие градостроительным нормам_00-022_Август/d067e9a6-2a4a-4156-9f01-33b97ef0698a.jpg","open")</f>
        <v/>
      </c>
      <c r="C7060" t="inlineStr">
        <is>
          <t>1231bbc5-e64c-4dc7-9acc-77710f47607a</t>
        </is>
      </c>
      <c r="D7060" t="n">
        <v>55.54571</v>
      </c>
      <c r="E7060" t="n">
        <v>37.54869</v>
      </c>
      <c r="F7060" t="inlineStr"/>
      <c r="G7060" t="inlineStr"/>
      <c r="H7060" t="inlineStr"/>
    </row>
    <row r="7061">
      <c r="A7061" t="inlineStr">
        <is>
          <t>1171efcb-f969-4272-a741-d46a4f61a203.jpg</t>
        </is>
      </c>
      <c r="B7061">
        <f>HYPERLINK("Объекты недвижимости, не соответствующие градостроительным нормам_00-022_Август/1171efcb-f969-4272-a741-d46a4f61a203.jpg","open")</f>
        <v/>
      </c>
      <c r="C7061" t="inlineStr">
        <is>
          <t>685d9054-b74f-49ab-857b-109fd2cec80d</t>
        </is>
      </c>
      <c r="D7061" t="n">
        <v>55.54569</v>
      </c>
      <c r="E7061" t="n">
        <v>37.54867</v>
      </c>
      <c r="F7061" t="inlineStr"/>
      <c r="G7061" t="inlineStr"/>
      <c r="H7061" t="inlineStr"/>
    </row>
    <row r="7062">
      <c r="A7062" t="inlineStr">
        <is>
          <t>1867f844-7f81-4439-823d-a5109d0a41cb.jpg</t>
        </is>
      </c>
      <c r="B7062">
        <f>HYPERLINK("Объекты недвижимости, не соответствующие градостроительным нормам_00-022_Август/1867f844-7f81-4439-823d-a5109d0a41cb.jpg","open")</f>
        <v/>
      </c>
      <c r="C7062" t="inlineStr">
        <is>
          <t>1231bbc5-e64c-4dc7-9acc-77710f47607a</t>
        </is>
      </c>
      <c r="D7062" t="n">
        <v>55.54574</v>
      </c>
      <c r="E7062" t="n">
        <v>37.55282</v>
      </c>
      <c r="F7062" t="inlineStr"/>
      <c r="G7062" t="inlineStr"/>
      <c r="H7062" t="inlineStr"/>
    </row>
    <row r="7063">
      <c r="A7063" t="inlineStr">
        <is>
          <t>f58e399e-b90e-4107-be9b-de980a6bdbea.jpg</t>
        </is>
      </c>
      <c r="B7063">
        <f>HYPERLINK("Объекты недвижимости, не соответствующие градостроительным нормам_00-022_Август/f58e399e-b90e-4107-be9b-de980a6bdbea.jpg","open")</f>
        <v/>
      </c>
      <c r="C7063" t="inlineStr">
        <is>
          <t>8cde1fd0-eca1-4510-86ab-3c743b65fdfc</t>
        </is>
      </c>
      <c r="D7063" t="n">
        <v>55.96554</v>
      </c>
      <c r="E7063" t="n">
        <v>37.42295</v>
      </c>
      <c r="F7063" t="inlineStr"/>
      <c r="G7063" t="inlineStr"/>
      <c r="H7063" t="inlineStr"/>
    </row>
    <row r="7064">
      <c r="A7064" t="inlineStr">
        <is>
          <t>1d94b665-f566-44a0-9761-4641eb2c09f3.jpg</t>
        </is>
      </c>
      <c r="B7064">
        <f>HYPERLINK("Объекты недвижимости, не соответствующие градостроительным нормам_00-022_Август/1d94b665-f566-44a0-9761-4641eb2c09f3.jpg","open")</f>
        <v/>
      </c>
      <c r="C7064" t="inlineStr">
        <is>
          <t>1c951e11-4940-43c6-a447-394097e5609a</t>
        </is>
      </c>
      <c r="D7064" t="n">
        <v>55.96554</v>
      </c>
      <c r="E7064" t="n">
        <v>37.42295</v>
      </c>
      <c r="F7064" t="inlineStr"/>
      <c r="G7064" t="inlineStr"/>
      <c r="H7064" t="inlineStr"/>
    </row>
    <row r="7065">
      <c r="A7065" t="inlineStr">
        <is>
          <t>b9714043-49f6-4d6b-a857-d1c35062cf4b.jpg</t>
        </is>
      </c>
      <c r="B7065">
        <f>HYPERLINK("Объекты недвижимости, не соответствующие градостроительным нормам_00-022_Август/b9714043-49f6-4d6b-a857-d1c35062cf4b.jpg","open")</f>
        <v/>
      </c>
      <c r="C7065" t="inlineStr">
        <is>
          <t>8cde1fd0-eca1-4510-86ab-3c743b65fdfc</t>
        </is>
      </c>
      <c r="D7065" t="n">
        <v>55.96554</v>
      </c>
      <c r="E7065" t="n">
        <v>37.42295</v>
      </c>
      <c r="F7065" t="inlineStr"/>
      <c r="G7065" t="inlineStr"/>
      <c r="H7065" t="inlineStr"/>
    </row>
    <row r="7066">
      <c r="A7066" t="inlineStr">
        <is>
          <t>b19d01db-3076-41ce-a31f-8b5027efd764.jpg</t>
        </is>
      </c>
      <c r="B7066">
        <f>HYPERLINK("Объекты недвижимости, не соответствующие градостроительным нормам_00-022_Август/b19d01db-3076-41ce-a31f-8b5027efd764.jpg","open")</f>
        <v/>
      </c>
      <c r="C7066" t="inlineStr">
        <is>
          <t>fce890a6-27da-4062-a046-08262a160ee6</t>
        </is>
      </c>
      <c r="D7066" t="n">
        <v>55.97881</v>
      </c>
      <c r="E7066" t="n">
        <v>37.15487</v>
      </c>
      <c r="F7066" t="inlineStr"/>
      <c r="G7066" t="inlineStr"/>
      <c r="H7066" t="inlineStr"/>
    </row>
    <row r="7067">
      <c r="A7067" t="inlineStr">
        <is>
          <t>bedd78af-e04e-41b2-9b46-1d68bafd029e.jpg</t>
        </is>
      </c>
      <c r="B7067">
        <f>HYPERLINK("Объекты недвижимости, не соответствующие градостроительным нормам_00-022_Август/bedd78af-e04e-41b2-9b46-1d68bafd029e.jpg","open")</f>
        <v/>
      </c>
      <c r="C7067" t="inlineStr">
        <is>
          <t>1c951e11-4940-43c6-a447-394097e5609a</t>
        </is>
      </c>
      <c r="D7067" t="n">
        <v>55.78188</v>
      </c>
      <c r="E7067" t="n">
        <v>37.56372</v>
      </c>
      <c r="F7067" t="inlineStr"/>
      <c r="G7067" t="inlineStr"/>
      <c r="H7067" t="inlineStr"/>
    </row>
    <row r="7068">
      <c r="A7068" t="inlineStr">
        <is>
          <t>aec3acbf-0bf8-488b-bb64-265baf166111.jpg</t>
        </is>
      </c>
      <c r="B7068">
        <f>HYPERLINK("Объекты недвижимости, не соответствующие градостроительным нормам_00-022_Август/aec3acbf-0bf8-488b-bb64-265baf166111.jpg","open")</f>
        <v/>
      </c>
      <c r="C7068" t="inlineStr">
        <is>
          <t>fb9a37cc-57a6-447c-98bb-0b299f09c809</t>
        </is>
      </c>
      <c r="D7068" t="n">
        <v>55.71547</v>
      </c>
      <c r="E7068" t="n">
        <v>37.84539</v>
      </c>
      <c r="F7068" t="inlineStr"/>
      <c r="G7068" t="inlineStr"/>
      <c r="H7068" t="inlineStr"/>
    </row>
    <row r="7069">
      <c r="A7069" t="inlineStr">
        <is>
          <t>4d16d1b8-a01d-475c-9ff3-438a5d22ae1c.jpg</t>
        </is>
      </c>
      <c r="B7069">
        <f>HYPERLINK("Объекты недвижимости, не соответствующие градостроительным нормам_00-022_Август/4d16d1b8-a01d-475c-9ff3-438a5d22ae1c.jpg","open")</f>
        <v/>
      </c>
      <c r="C7069" t="inlineStr">
        <is>
          <t>caa4772d-6278-4484-a046-ee25514bf521</t>
        </is>
      </c>
      <c r="D7069" t="n">
        <v>55.72625</v>
      </c>
      <c r="E7069" t="n">
        <v>37.74117</v>
      </c>
      <c r="F7069" t="inlineStr"/>
      <c r="G7069" t="inlineStr"/>
      <c r="H7069" t="inlineStr"/>
    </row>
    <row r="7070">
      <c r="A7070" t="inlineStr">
        <is>
          <t>85a26194-b2d9-4b23-a5f0-5d832640119d.jpg</t>
        </is>
      </c>
      <c r="B7070">
        <f>HYPERLINK("Объекты недвижимости, не соответствующие градостроительным нормам_00-022_Август/85a26194-b2d9-4b23-a5f0-5d832640119d.jpg","open")</f>
        <v/>
      </c>
      <c r="C7070" t="inlineStr">
        <is>
          <t>caa4772d-6278-4484-a046-ee25514bf521</t>
        </is>
      </c>
      <c r="D7070" t="n">
        <v>55.72573</v>
      </c>
      <c r="E7070" t="n">
        <v>37.738</v>
      </c>
      <c r="F7070" t="inlineStr"/>
      <c r="G7070" t="inlineStr"/>
      <c r="H7070" t="inlineStr"/>
    </row>
    <row r="7071">
      <c r="A7071" t="inlineStr">
        <is>
          <t>79aba1f1-b702-45fe-86e1-d269efcfcdf3.jpg</t>
        </is>
      </c>
      <c r="B7071">
        <f>HYPERLINK("Объекты недвижимости, не соответствующие градостроительным нормам_00-022_Август/79aba1f1-b702-45fe-86e1-d269efcfcdf3.jpg","open")</f>
        <v/>
      </c>
      <c r="C7071" t="inlineStr">
        <is>
          <t>8cde1fd0-eca1-4510-86ab-3c743b65fdfc</t>
        </is>
      </c>
      <c r="D7071" t="n">
        <v>55.78284</v>
      </c>
      <c r="E7071" t="n">
        <v>37.56239</v>
      </c>
      <c r="F7071" t="inlineStr"/>
      <c r="G7071" t="inlineStr"/>
      <c r="H7071" t="inlineStr"/>
    </row>
    <row r="7072">
      <c r="A7072" t="inlineStr">
        <is>
          <t>ebc1c05d-8f15-484e-90ec-c9035dcb56d2.jpg</t>
        </is>
      </c>
      <c r="B7072">
        <f>HYPERLINK("Объекты недвижимости, не соответствующие градостроительным нормам_00-022_Август/ebc1c05d-8f15-484e-90ec-c9035dcb56d2.jpg","open")</f>
        <v/>
      </c>
      <c r="C7072" t="inlineStr">
        <is>
          <t>8b2675e2-7f40-47a9-a462-7c9feecd299c</t>
        </is>
      </c>
      <c r="D7072" t="n">
        <v>55.71056</v>
      </c>
      <c r="E7072" t="n">
        <v>37.66935</v>
      </c>
      <c r="F7072" t="inlineStr"/>
      <c r="G7072" t="inlineStr"/>
      <c r="H7072" t="inlineStr"/>
    </row>
    <row r="7073">
      <c r="A7073" t="inlineStr">
        <is>
          <t>010b85ed-469f-4c5d-bc2a-d2ae750a92f2.jpg</t>
        </is>
      </c>
      <c r="B7073">
        <f>HYPERLINK("Объекты недвижимости, не соответствующие градостроительным нормам_00-022_Август/010b85ed-469f-4c5d-bc2a-d2ae750a92f2.jpg","open")</f>
        <v/>
      </c>
      <c r="C7073" t="inlineStr">
        <is>
          <t>8cde1fd0-eca1-4510-86ab-3c743b65fdfc</t>
        </is>
      </c>
      <c r="D7073" t="n">
        <v>55.77586</v>
      </c>
      <c r="E7073" t="n">
        <v>37.58417</v>
      </c>
      <c r="F7073" t="inlineStr"/>
      <c r="G7073" t="inlineStr"/>
      <c r="H7073" t="inlineStr"/>
    </row>
    <row r="7074">
      <c r="A7074" t="inlineStr">
        <is>
          <t>9c1a7ce2-cb4d-4059-8323-b31fd632846f.jpg</t>
        </is>
      </c>
      <c r="B7074">
        <f>HYPERLINK("Объекты недвижимости, не соответствующие градостроительным нормам_00-022_Август/9c1a7ce2-cb4d-4059-8323-b31fd632846f.jpg","open")</f>
        <v/>
      </c>
      <c r="C7074" t="inlineStr">
        <is>
          <t>8996eb30-6497-4318-8a0e-b95314b8172e</t>
        </is>
      </c>
      <c r="D7074" t="n">
        <v>55.85479</v>
      </c>
      <c r="E7074" t="n">
        <v>37.45111</v>
      </c>
      <c r="F7074" t="inlineStr"/>
      <c r="G7074" t="inlineStr"/>
      <c r="H7074" t="inlineStr"/>
    </row>
    <row r="7075">
      <c r="A7075" t="inlineStr">
        <is>
          <t>77be5728-dada-408e-bdba-e0f7820f3733.jpg</t>
        </is>
      </c>
      <c r="B7075">
        <f>HYPERLINK("Объекты недвижимости, не соответствующие градостроительным нормам_00-022_Август/77be5728-dada-408e-bdba-e0f7820f3733.jpg","open")</f>
        <v/>
      </c>
      <c r="C7075" t="inlineStr">
        <is>
          <t>1a55986c-2c3f-40c0-b3d1-014dce77832e</t>
        </is>
      </c>
      <c r="D7075" t="n">
        <v>55.35101</v>
      </c>
      <c r="E7075" t="n">
        <v>37.2006</v>
      </c>
      <c r="F7075" t="inlineStr"/>
      <c r="G7075" t="inlineStr"/>
      <c r="H7075" t="inlineStr"/>
    </row>
    <row r="7076">
      <c r="A7076" t="inlineStr">
        <is>
          <t>cb356215-561f-47f3-bd9c-00f5d8be76f2.jpg</t>
        </is>
      </c>
      <c r="B7076">
        <f>HYPERLINK("Объекты недвижимости, не соответствующие градостроительным нормам_00-022_Август/cb356215-561f-47f3-bd9c-00f5d8be76f2.jpg","open")</f>
        <v/>
      </c>
      <c r="C7076" t="inlineStr">
        <is>
          <t>1a55986c-2c3f-40c0-b3d1-014dce77832e</t>
        </is>
      </c>
      <c r="D7076" t="n">
        <v>55.35191</v>
      </c>
      <c r="E7076" t="n">
        <v>37.20061</v>
      </c>
      <c r="F7076" t="inlineStr"/>
      <c r="G7076" t="inlineStr"/>
      <c r="H7076" t="inlineStr"/>
    </row>
    <row r="7077">
      <c r="A7077" t="inlineStr">
        <is>
          <t>5a9cb47a-05e0-4ed3-a656-6db0620eb58c.jpg</t>
        </is>
      </c>
      <c r="B7077">
        <f>HYPERLINK("Объекты недвижимости, не соответствующие градостроительным нормам_00-022_Август/5a9cb47a-05e0-4ed3-a656-6db0620eb58c.jpg","open")</f>
        <v/>
      </c>
      <c r="C7077" t="inlineStr">
        <is>
          <t>18a5c468-d9e6-4814-8477-1caf4a2e1fe9</t>
        </is>
      </c>
      <c r="D7077" t="n">
        <v>55.97143</v>
      </c>
      <c r="E7077" t="n">
        <v>37.39899</v>
      </c>
      <c r="F7077" t="inlineStr"/>
      <c r="G7077" t="inlineStr"/>
      <c r="H7077" t="inlineStr"/>
    </row>
    <row r="7078">
      <c r="A7078" t="inlineStr">
        <is>
          <t>96ab781a-b90a-41eb-89fe-d0a237c65de0.jpg</t>
        </is>
      </c>
      <c r="B7078">
        <f>HYPERLINK("Объекты недвижимости, не соответствующие градостроительным нормам_00-022_Август/96ab781a-b90a-41eb-89fe-d0a237c65de0.jpg","open")</f>
        <v/>
      </c>
      <c r="C7078" t="inlineStr">
        <is>
          <t>ed2bf0f1-3a66-4913-896e-4420a9796c0b</t>
        </is>
      </c>
      <c r="D7078" t="n">
        <v>55.35381</v>
      </c>
      <c r="E7078" t="n">
        <v>37.19826</v>
      </c>
      <c r="F7078" t="inlineStr"/>
      <c r="G7078" t="inlineStr"/>
      <c r="H7078" t="inlineStr"/>
    </row>
    <row r="7079">
      <c r="A7079" t="inlineStr">
        <is>
          <t>69a61305-8243-4a48-a30c-552acbd1059e.jpg</t>
        </is>
      </c>
      <c r="B7079">
        <f>HYPERLINK("Объекты недвижимости, не соответствующие градостроительным нормам_00-022_Август/69a61305-8243-4a48-a30c-552acbd1059e.jpg","open")</f>
        <v/>
      </c>
      <c r="C7079" t="inlineStr">
        <is>
          <t>1a55986c-2c3f-40c0-b3d1-014dce77832e</t>
        </is>
      </c>
      <c r="D7079" t="n">
        <v>55.35729</v>
      </c>
      <c r="E7079" t="n">
        <v>37.19447</v>
      </c>
      <c r="F7079" t="inlineStr"/>
      <c r="G7079" t="inlineStr"/>
      <c r="H7079" t="inlineStr"/>
    </row>
    <row r="7080">
      <c r="A7080" t="inlineStr">
        <is>
          <t>5f1f1e1d-787d-465b-b9c5-210d148e4539.jpg</t>
        </is>
      </c>
      <c r="B7080">
        <f>HYPERLINK("Объекты недвижимости, не соответствующие градостроительным нормам_00-022_Август/5f1f1e1d-787d-465b-b9c5-210d148e4539.jpg","open")</f>
        <v/>
      </c>
      <c r="C7080" t="inlineStr">
        <is>
          <t>ed2bf0f1-3a66-4913-896e-4420a9796c0b</t>
        </is>
      </c>
      <c r="D7080" t="n">
        <v>55.35738</v>
      </c>
      <c r="E7080" t="n">
        <v>37.19441</v>
      </c>
      <c r="F7080" t="inlineStr"/>
      <c r="G7080" t="inlineStr"/>
      <c r="H7080" t="inlineStr"/>
    </row>
    <row r="7081">
      <c r="A7081" t="inlineStr">
        <is>
          <t>f1e840e3-b67d-4e26-ad5e-7b5756bddc87.jpg</t>
        </is>
      </c>
      <c r="B7081">
        <f>HYPERLINK("Объекты недвижимости, не соответствующие градостроительным нормам_00-022_Август/f1e840e3-b67d-4e26-ad5e-7b5756bddc87.jpg","open")</f>
        <v/>
      </c>
      <c r="C7081" t="inlineStr">
        <is>
          <t>ed2bf0f1-3a66-4913-896e-4420a9796c0b</t>
        </is>
      </c>
      <c r="D7081" t="n">
        <v>55.35854</v>
      </c>
      <c r="E7081" t="n">
        <v>37.19427</v>
      </c>
      <c r="F7081" t="inlineStr"/>
      <c r="G7081" t="inlineStr"/>
      <c r="H7081" t="inlineStr"/>
    </row>
    <row r="7082">
      <c r="A7082" t="inlineStr">
        <is>
          <t>1dc09345-44f0-4c10-9d34-a208e8507438.jpg</t>
        </is>
      </c>
      <c r="B7082">
        <f>HYPERLINK("Объекты недвижимости, не соответствующие градостроительным нормам_00-022_Август/1dc09345-44f0-4c10-9d34-a208e8507438.jpg","open")</f>
        <v/>
      </c>
      <c r="C7082" t="inlineStr">
        <is>
          <t>685d9054-b74f-49ab-857b-109fd2cec80d</t>
        </is>
      </c>
      <c r="D7082" t="n">
        <v>55.54739</v>
      </c>
      <c r="E7082" t="n">
        <v>37.55214</v>
      </c>
      <c r="F7082" t="inlineStr"/>
      <c r="G7082" t="inlineStr"/>
      <c r="H7082" t="inlineStr"/>
    </row>
    <row r="7083">
      <c r="A7083" t="inlineStr">
        <is>
          <t>ab612b31-7a62-411b-b232-f89ae5d4b459.jpg</t>
        </is>
      </c>
      <c r="B7083">
        <f>HYPERLINK("Объекты недвижимости, не соответствующие градостроительным нормам_00-022_Август/ab612b31-7a62-411b-b232-f89ae5d4b459.jpg","open")</f>
        <v/>
      </c>
      <c r="C7083" t="inlineStr">
        <is>
          <t>685d9054-b74f-49ab-857b-109fd2cec80d</t>
        </is>
      </c>
      <c r="D7083" t="n">
        <v>55.54645</v>
      </c>
      <c r="E7083" t="n">
        <v>37.55173</v>
      </c>
      <c r="F7083" t="inlineStr"/>
      <c r="G7083" t="inlineStr"/>
      <c r="H7083" t="inlineStr"/>
    </row>
    <row r="7084">
      <c r="A7084" t="inlineStr">
        <is>
          <t>5cc8c7e5-eb66-4367-932c-811078d90a02.jpg</t>
        </is>
      </c>
      <c r="B7084">
        <f>HYPERLINK("Объекты недвижимости, не соответствующие градостроительным нормам_00-022_Август/5cc8c7e5-eb66-4367-932c-811078d90a02.jpg","open")</f>
        <v/>
      </c>
      <c r="C7084" t="inlineStr">
        <is>
          <t>685d9054-b74f-49ab-857b-109fd2cec80d</t>
        </is>
      </c>
      <c r="D7084" t="n">
        <v>55.54794</v>
      </c>
      <c r="E7084" t="n">
        <v>37.55492</v>
      </c>
      <c r="F7084" t="inlineStr"/>
      <c r="G7084" t="inlineStr"/>
      <c r="H7084" t="inlineStr"/>
    </row>
    <row r="7085">
      <c r="A7085" t="inlineStr">
        <is>
          <t>07cd5419-b7bd-4bde-a3bd-9c387432aca9.jpg</t>
        </is>
      </c>
      <c r="B7085">
        <f>HYPERLINK("Объекты недвижимости, не соответствующие градостроительным нормам_00-022_Август/07cd5419-b7bd-4bde-a3bd-9c387432aca9.jpg","open")</f>
        <v/>
      </c>
      <c r="C7085" t="inlineStr">
        <is>
          <t>1231bbc5-e64c-4dc7-9acc-77710f47607a</t>
        </is>
      </c>
      <c r="D7085" t="n">
        <v>55.54718</v>
      </c>
      <c r="E7085" t="n">
        <v>37.55527</v>
      </c>
      <c r="F7085" t="inlineStr"/>
      <c r="G7085" t="inlineStr"/>
      <c r="H7085" t="inlineStr"/>
    </row>
    <row r="7086">
      <c r="A7086" t="inlineStr">
        <is>
          <t>87000015-2cbb-45a2-b87b-e96c737a4efa.jpg</t>
        </is>
      </c>
      <c r="B7086">
        <f>HYPERLINK("Объекты недвижимости, не соответствующие градостроительным нормам_00-022_Август/87000015-2cbb-45a2-b87b-e96c737a4efa.jpg","open")</f>
        <v/>
      </c>
      <c r="C7086" t="inlineStr">
        <is>
          <t>685d9054-b74f-49ab-857b-109fd2cec80d</t>
        </is>
      </c>
      <c r="D7086" t="n">
        <v>55.54711</v>
      </c>
      <c r="E7086" t="n">
        <v>37.55523</v>
      </c>
      <c r="F7086" t="inlineStr"/>
      <c r="G7086" t="inlineStr"/>
      <c r="H7086" t="inlineStr"/>
    </row>
    <row r="7087">
      <c r="A7087" t="inlineStr">
        <is>
          <t>ab42178f-a125-42ad-8ea4-a0729a783650.jpg</t>
        </is>
      </c>
      <c r="B7087">
        <f>HYPERLINK("Объекты недвижимости, не соответствующие градостроительным нормам_00-022_Август/ab42178f-a125-42ad-8ea4-a0729a783650.jpg","open")</f>
        <v/>
      </c>
      <c r="C7087" t="inlineStr">
        <is>
          <t>93848fc8-17e7-4748-9ebc-c7e379e11d2f</t>
        </is>
      </c>
      <c r="D7087" t="n">
        <v>55.68606</v>
      </c>
      <c r="E7087" t="n">
        <v>37.59362</v>
      </c>
      <c r="F7087" t="inlineStr"/>
      <c r="G7087" t="inlineStr"/>
      <c r="H7087" t="inlineStr"/>
    </row>
    <row r="7088">
      <c r="A7088" t="inlineStr">
        <is>
          <t>0e9fad17-ba22-4cae-bf0b-59eeb6dd9e5b.jpg</t>
        </is>
      </c>
      <c r="B7088">
        <f>HYPERLINK("Объекты недвижимости, не соответствующие градостроительным нормам_00-022_Август/0e9fad17-ba22-4cae-bf0b-59eeb6dd9e5b.jpg","open")</f>
        <v/>
      </c>
      <c r="C7088" t="inlineStr">
        <is>
          <t>caa4772d-6278-4484-a046-ee25514bf521</t>
        </is>
      </c>
      <c r="D7088" t="n">
        <v>55.73227</v>
      </c>
      <c r="E7088" t="n">
        <v>37.73982</v>
      </c>
      <c r="F7088" t="inlineStr"/>
      <c r="G7088" t="inlineStr"/>
      <c r="H7088" t="inlineStr"/>
    </row>
    <row r="7089">
      <c r="A7089" t="inlineStr">
        <is>
          <t>a9afec68-b184-4831-85a2-f2b9b72fd24b.jpg</t>
        </is>
      </c>
      <c r="B7089">
        <f>HYPERLINK("Объекты недвижимости, не соответствующие градостроительным нормам_00-022_Август/a9afec68-b184-4831-85a2-f2b9b72fd24b.jpg","open")</f>
        <v/>
      </c>
      <c r="C7089" t="inlineStr">
        <is>
          <t>dd48f742-b338-42e2-bbaf-b3a9701b437c</t>
        </is>
      </c>
      <c r="D7089" t="n">
        <v>55.85509</v>
      </c>
      <c r="E7089" t="n">
        <v>37.57384</v>
      </c>
      <c r="F7089" t="inlineStr"/>
      <c r="G7089" t="inlineStr"/>
      <c r="H7089" t="inlineStr"/>
    </row>
    <row r="7090">
      <c r="A7090" t="inlineStr">
        <is>
          <t>cb658426-8e99-427e-aa61-15696c635897.jpg</t>
        </is>
      </c>
      <c r="B7090">
        <f>HYPERLINK("Объекты недвижимости, не соответствующие градостроительным нормам_00-022_Август/cb658426-8e99-427e-aa61-15696c635897.jpg","open")</f>
        <v/>
      </c>
      <c r="C7090" t="inlineStr">
        <is>
          <t>cbf95b01-f708-45a3-9ec0-3603469b538e</t>
        </is>
      </c>
      <c r="D7090" t="n">
        <v>55.86386</v>
      </c>
      <c r="E7090" t="n">
        <v>37.61106</v>
      </c>
      <c r="F7090" t="inlineStr"/>
      <c r="G7090" t="inlineStr"/>
      <c r="H7090" t="inlineStr"/>
    </row>
    <row r="7091">
      <c r="A7091" t="inlineStr">
        <is>
          <t>dd1c8f2d-845b-4954-80f0-a8079c1616de.jpg</t>
        </is>
      </c>
      <c r="B7091">
        <f>HYPERLINK("Объекты недвижимости, не соответствующие градостроительным нормам_00-022_Август/dd1c8f2d-845b-4954-80f0-a8079c1616de.jpg","open")</f>
        <v/>
      </c>
      <c r="C7091" t="inlineStr">
        <is>
          <t>cbf95b01-f708-45a3-9ec0-3603469b538e</t>
        </is>
      </c>
      <c r="D7091" t="n">
        <v>55.86386</v>
      </c>
      <c r="E7091" t="n">
        <v>37.61106</v>
      </c>
      <c r="F7091" t="inlineStr"/>
      <c r="G7091" t="inlineStr"/>
      <c r="H7091" t="inlineStr"/>
    </row>
    <row r="7092">
      <c r="A7092" t="inlineStr">
        <is>
          <t>040acdc6-9a03-4994-8f0b-ac7e97bbb378.jpg</t>
        </is>
      </c>
      <c r="B7092">
        <f>HYPERLINK("Объекты недвижимости, не соответствующие градостроительным нормам_00-022_Август/040acdc6-9a03-4994-8f0b-ac7e97bbb378.jpg","open")</f>
        <v/>
      </c>
      <c r="C7092" t="inlineStr">
        <is>
          <t>acedacc2-0d8b-4fc1-9622-25621a89d071</t>
        </is>
      </c>
      <c r="D7092" t="n">
        <v>55.80452</v>
      </c>
      <c r="E7092" t="n">
        <v>37.72058</v>
      </c>
      <c r="F7092" t="inlineStr"/>
      <c r="G7092" t="inlineStr"/>
      <c r="H7092" t="inlineStr"/>
    </row>
    <row r="7093">
      <c r="A7093" t="inlineStr">
        <is>
          <t>d4fa1b4b-6efe-4a5b-ab9a-4f7275f52f8c.jpg</t>
        </is>
      </c>
      <c r="B7093">
        <f>HYPERLINK("Объекты недвижимости, не соответствующие градостроительным нормам_00-022_Август/d4fa1b4b-6efe-4a5b-ab9a-4f7275f52f8c.jpg","open")</f>
        <v/>
      </c>
      <c r="C7093" t="inlineStr">
        <is>
          <t>cbf95b01-f708-45a3-9ec0-3603469b538e</t>
        </is>
      </c>
      <c r="D7093" t="n">
        <v>55.86386</v>
      </c>
      <c r="E7093" t="n">
        <v>37.61106</v>
      </c>
      <c r="F7093" t="inlineStr"/>
      <c r="G7093" t="inlineStr"/>
      <c r="H7093" t="inlineStr"/>
    </row>
    <row r="7094">
      <c r="A7094" t="inlineStr">
        <is>
          <t>80c05994-701f-4f25-aefe-10fdf710bbbd.jpg</t>
        </is>
      </c>
      <c r="B7094">
        <f>HYPERLINK("Объекты недвижимости, не соответствующие градостроительным нормам_00-022_Август/80c05994-701f-4f25-aefe-10fdf710bbbd.jpg","open")</f>
        <v/>
      </c>
      <c r="C7094" t="inlineStr">
        <is>
          <t>cbf95b01-f708-45a3-9ec0-3603469b538e</t>
        </is>
      </c>
      <c r="D7094" t="n">
        <v>55.86386</v>
      </c>
      <c r="E7094" t="n">
        <v>37.61106</v>
      </c>
      <c r="F7094" t="inlineStr"/>
      <c r="G7094" t="inlineStr"/>
      <c r="H7094" t="inlineStr"/>
    </row>
    <row r="7095">
      <c r="A7095" t="inlineStr">
        <is>
          <t>2ee8a89f-0718-455c-bd6c-dc4555653e9a.jpg</t>
        </is>
      </c>
      <c r="B7095">
        <f>HYPERLINK("Объекты недвижимости, не соответствующие градостроительным нормам_00-022_Август/2ee8a89f-0718-455c-bd6c-dc4555653e9a.jpg","open")</f>
        <v/>
      </c>
      <c r="C7095" t="inlineStr">
        <is>
          <t>1c951e11-4940-43c6-a447-394097e5609a</t>
        </is>
      </c>
      <c r="D7095" t="n">
        <v>55.78142</v>
      </c>
      <c r="E7095" t="n">
        <v>37.56821</v>
      </c>
      <c r="F7095" t="inlineStr"/>
      <c r="G7095" t="inlineStr"/>
      <c r="H7095" t="inlineStr"/>
    </row>
    <row r="7096">
      <c r="A7096" t="inlineStr">
        <is>
          <t>784bd4f7-8461-4b37-b191-6f78fa44d26e.jpg</t>
        </is>
      </c>
      <c r="B7096">
        <f>HYPERLINK("Объекты недвижимости, не соответствующие градостроительным нормам_00-022_Август/784bd4f7-8461-4b37-b191-6f78fa44d26e.jpg","open")</f>
        <v/>
      </c>
      <c r="C7096" t="inlineStr">
        <is>
          <t>8cde1fd0-eca1-4510-86ab-3c743b65fdfc</t>
        </is>
      </c>
      <c r="D7096" t="n">
        <v>55.78172</v>
      </c>
      <c r="E7096" t="n">
        <v>37.5679</v>
      </c>
      <c r="F7096" t="inlineStr"/>
      <c r="G7096" t="inlineStr"/>
      <c r="H7096" t="inlineStr"/>
    </row>
    <row r="7097">
      <c r="A7097" t="inlineStr">
        <is>
          <t>a9f6f80f-a69d-4d48-aff0-0e9e0f572741.jpg</t>
        </is>
      </c>
      <c r="B7097">
        <f>HYPERLINK("Объекты недвижимости, не соответствующие градостроительным нормам_00-022_Август/a9f6f80f-a69d-4d48-aff0-0e9e0f572741.jpg","open")</f>
        <v/>
      </c>
      <c r="C7097" t="inlineStr">
        <is>
          <t>55da50d9-6d31-4c29-a85b-6a228578c6de</t>
        </is>
      </c>
      <c r="D7097" t="n">
        <v>55.73363</v>
      </c>
      <c r="E7097" t="n">
        <v>37.66847</v>
      </c>
      <c r="F7097" t="inlineStr"/>
      <c r="G7097" t="inlineStr"/>
      <c r="H7097" t="inlineStr"/>
    </row>
    <row r="7098">
      <c r="A7098" t="inlineStr">
        <is>
          <t>4e89ec10-bb78-4b82-94ef-e593e698a9d7.jpg</t>
        </is>
      </c>
      <c r="B7098">
        <f>HYPERLINK("Объекты недвижимости, не соответствующие градостроительным нормам_00-022_Август/4e89ec10-bb78-4b82-94ef-e593e698a9d7.jpg","open")</f>
        <v/>
      </c>
      <c r="C7098" t="inlineStr">
        <is>
          <t>8b2675e2-7f40-47a9-a462-7c9feecd299c</t>
        </is>
      </c>
      <c r="D7098" t="n">
        <v>55.73547</v>
      </c>
      <c r="E7098" t="n">
        <v>37.67064</v>
      </c>
      <c r="F7098" t="inlineStr"/>
      <c r="G7098" t="inlineStr"/>
      <c r="H7098" t="inlineStr"/>
    </row>
    <row r="7099">
      <c r="A7099" t="inlineStr">
        <is>
          <t>7b751375-667c-4ee7-9612-a31816d12280.jpg</t>
        </is>
      </c>
      <c r="B7099">
        <f>HYPERLINK("Объекты недвижимости, не соответствующие градостроительным нормам_00-022_Август/7b751375-667c-4ee7-9612-a31816d12280.jpg","open")</f>
        <v/>
      </c>
      <c r="C7099" t="inlineStr">
        <is>
          <t>685d9054-b74f-49ab-857b-109fd2cec80d</t>
        </is>
      </c>
      <c r="D7099" t="n">
        <v>55.54316</v>
      </c>
      <c r="E7099" t="n">
        <v>37.5566</v>
      </c>
      <c r="F7099" t="inlineStr"/>
      <c r="G7099" t="inlineStr"/>
      <c r="H7099" t="inlineStr"/>
    </row>
    <row r="7100">
      <c r="A7100" t="inlineStr">
        <is>
          <t>8320f5ea-7963-4341-96ff-7cd79b413422.jpg</t>
        </is>
      </c>
      <c r="B7100">
        <f>HYPERLINK("Объекты недвижимости, не соответствующие градостроительным нормам_00-022_Август/8320f5ea-7963-4341-96ff-7cd79b413422.jpg","open")</f>
        <v/>
      </c>
      <c r="C7100" t="inlineStr">
        <is>
          <t>8cde1fd0-eca1-4510-86ab-3c743b65fdfc</t>
        </is>
      </c>
      <c r="D7100" t="n">
        <v>55.7755</v>
      </c>
      <c r="E7100" t="n">
        <v>37.57416</v>
      </c>
      <c r="F7100" t="inlineStr"/>
      <c r="G7100" t="inlineStr"/>
      <c r="H7100" t="inlineStr"/>
    </row>
    <row r="7101">
      <c r="A7101" t="inlineStr">
        <is>
          <t>dcbea5be-816d-4583-834e-f93bd45dcfd2.jpg</t>
        </is>
      </c>
      <c r="B7101">
        <f>HYPERLINK("Объекты недвижимости, не соответствующие градостроительным нормам_00-022_Август/dcbea5be-816d-4583-834e-f93bd45dcfd2.jpg","open")</f>
        <v/>
      </c>
      <c r="C7101" t="inlineStr">
        <is>
          <t>1a55986c-2c3f-40c0-b3d1-014dce77832e</t>
        </is>
      </c>
      <c r="D7101" t="n">
        <v>55.35455</v>
      </c>
      <c r="E7101" t="n">
        <v>37.18415</v>
      </c>
      <c r="F7101" t="inlineStr"/>
      <c r="G7101" t="inlineStr"/>
      <c r="H7101" t="inlineStr"/>
    </row>
    <row r="7102">
      <c r="A7102" t="inlineStr">
        <is>
          <t>ecdee406-741c-4881-8ed9-550945e0ae63.jpg</t>
        </is>
      </c>
      <c r="B7102">
        <f>HYPERLINK("Объекты недвижимости, не соответствующие градостроительным нормам_00-022_Август/ecdee406-741c-4881-8ed9-550945e0ae63.jpg","open")</f>
        <v/>
      </c>
      <c r="C7102" t="inlineStr">
        <is>
          <t>8cde1fd0-eca1-4510-86ab-3c743b65fdfc</t>
        </is>
      </c>
      <c r="D7102" t="n">
        <v>55.7754</v>
      </c>
      <c r="E7102" t="n">
        <v>37.57371</v>
      </c>
      <c r="F7102" t="inlineStr"/>
      <c r="G7102" t="inlineStr"/>
      <c r="H7102" t="inlineStr"/>
    </row>
    <row r="7103">
      <c r="A7103" t="inlineStr">
        <is>
          <t>2da4ebce-b452-453d-8dc1-1cfac19f02b3.jpg</t>
        </is>
      </c>
      <c r="B7103">
        <f>HYPERLINK("Объекты недвижимости, не соответствующие градостроительным нормам_00-022_Август/2da4ebce-b452-453d-8dc1-1cfac19f02b3.jpg","open")</f>
        <v/>
      </c>
      <c r="C7103" t="inlineStr">
        <is>
          <t>93848fc8-17e7-4748-9ebc-c7e379e11d2f</t>
        </is>
      </c>
      <c r="D7103" t="n">
        <v>55.682</v>
      </c>
      <c r="E7103" t="n">
        <v>37.60627</v>
      </c>
      <c r="F7103" t="inlineStr"/>
      <c r="G7103" t="inlineStr"/>
      <c r="H7103" t="inlineStr"/>
    </row>
    <row r="7104">
      <c r="A7104" t="inlineStr">
        <is>
          <t>6b65881b-2af7-4fd2-9322-9c57c613eb58.jpg</t>
        </is>
      </c>
      <c r="B7104">
        <f>HYPERLINK("Объекты недвижимости, не соответствующие градостроительным нормам_00-022_Август/6b65881b-2af7-4fd2-9322-9c57c613eb58.jpg","open")</f>
        <v/>
      </c>
      <c r="C7104" t="inlineStr">
        <is>
          <t>8cde1fd0-eca1-4510-86ab-3c743b65fdfc</t>
        </is>
      </c>
      <c r="D7104" t="n">
        <v>55.77585</v>
      </c>
      <c r="E7104" t="n">
        <v>37.57471</v>
      </c>
      <c r="F7104" t="inlineStr"/>
      <c r="G7104" t="inlineStr"/>
      <c r="H7104" t="inlineStr"/>
    </row>
    <row r="7105">
      <c r="A7105" t="inlineStr">
        <is>
          <t>87d37774-8fa3-4853-b800-08eb2500282b.jpg</t>
        </is>
      </c>
      <c r="B7105">
        <f>HYPERLINK("Объекты недвижимости, не соответствующие градостроительным нормам_00-022_Август/87d37774-8fa3-4853-b800-08eb2500282b.jpg","open")</f>
        <v/>
      </c>
      <c r="C7105" t="inlineStr">
        <is>
          <t>cbf95b01-f708-45a3-9ec0-3603469b538e</t>
        </is>
      </c>
      <c r="D7105" t="n">
        <v>55.86386</v>
      </c>
      <c r="E7105" t="n">
        <v>37.61106</v>
      </c>
      <c r="F7105" t="inlineStr"/>
      <c r="G7105" t="inlineStr"/>
      <c r="H7105" t="inlineStr"/>
    </row>
    <row r="7106">
      <c r="A7106" t="inlineStr">
        <is>
          <t>19581074-34e9-41be-932a-626bfc07952d.jpg</t>
        </is>
      </c>
      <c r="B7106">
        <f>HYPERLINK("Объекты недвижимости, не соответствующие градостроительным нормам_00-022_Август/19581074-34e9-41be-932a-626bfc07952d.jpg","open")</f>
        <v/>
      </c>
      <c r="C7106" t="inlineStr">
        <is>
          <t>cbf95b01-f708-45a3-9ec0-3603469b538e</t>
        </is>
      </c>
      <c r="D7106" t="n">
        <v>55.86386</v>
      </c>
      <c r="E7106" t="n">
        <v>37.61106</v>
      </c>
      <c r="F7106" t="inlineStr"/>
      <c r="G7106" t="inlineStr"/>
      <c r="H7106" t="inlineStr"/>
    </row>
    <row r="7107">
      <c r="A7107" t="inlineStr">
        <is>
          <t>d43f78ed-d712-46c7-a565-660077118e60.jpg</t>
        </is>
      </c>
      <c r="B7107">
        <f>HYPERLINK("Объекты недвижимости, не соответствующие градостроительным нормам_00-022_Август/d43f78ed-d712-46c7-a565-660077118e60.jpg","open")</f>
        <v/>
      </c>
      <c r="C7107" t="inlineStr">
        <is>
          <t>1231bbc5-e64c-4dc7-9acc-77710f47607a</t>
        </is>
      </c>
      <c r="D7107" t="n">
        <v>55.54377</v>
      </c>
      <c r="E7107" t="n">
        <v>37.55907</v>
      </c>
      <c r="F7107" t="inlineStr"/>
      <c r="G7107" t="inlineStr"/>
      <c r="H7107" t="inlineStr"/>
    </row>
    <row r="7108">
      <c r="A7108" t="inlineStr">
        <is>
          <t>dcefa10f-6c41-4af4-a60b-f3dd8f209d25.jpg</t>
        </is>
      </c>
      <c r="B7108">
        <f>HYPERLINK("Объекты недвижимости, не соответствующие градостроительным нормам_00-022_Август/dcefa10f-6c41-4af4-a60b-f3dd8f209d25.jpg","open")</f>
        <v/>
      </c>
      <c r="C7108" t="inlineStr">
        <is>
          <t>052a5a2b-f222-4b50-b2cc-21612f1f234a</t>
        </is>
      </c>
      <c r="D7108" t="n">
        <v>55.64255</v>
      </c>
      <c r="E7108" t="n">
        <v>37.40557</v>
      </c>
      <c r="F7108" t="inlineStr"/>
      <c r="G7108" t="inlineStr"/>
      <c r="H7108" t="inlineStr"/>
    </row>
    <row r="7109">
      <c r="A7109" t="inlineStr">
        <is>
          <t>5172ee78-f868-48ca-b3a8-5a4b3fb0c87f.jpg</t>
        </is>
      </c>
      <c r="B7109">
        <f>HYPERLINK("Объекты недвижимости, не соответствующие градостроительным нормам_00-022_Август/5172ee78-f868-48ca-b3a8-5a4b3fb0c87f.jpg","open")</f>
        <v/>
      </c>
      <c r="C7109" t="inlineStr">
        <is>
          <t>cbf95b01-f708-45a3-9ec0-3603469b538e</t>
        </is>
      </c>
      <c r="D7109" t="n">
        <v>55.86386</v>
      </c>
      <c r="E7109" t="n">
        <v>37.61106</v>
      </c>
      <c r="F7109" t="inlineStr"/>
      <c r="G7109" t="inlineStr"/>
      <c r="H7109" t="inlineStr"/>
    </row>
    <row r="7110">
      <c r="A7110" t="inlineStr">
        <is>
          <t>8951e3bb-24c0-419c-994b-27514e8d91b7.jpg</t>
        </is>
      </c>
      <c r="B7110">
        <f>HYPERLINK("Объекты недвижимости, не соответствующие градостроительным нормам_00-022_Август/8951e3bb-24c0-419c-994b-27514e8d91b7.jpg","open")</f>
        <v/>
      </c>
      <c r="C7110" t="inlineStr">
        <is>
          <t>cbf95b01-f708-45a3-9ec0-3603469b538e</t>
        </is>
      </c>
      <c r="D7110" t="n">
        <v>55.76041</v>
      </c>
      <c r="E7110" t="n">
        <v>37.57963</v>
      </c>
      <c r="F7110" t="inlineStr"/>
      <c r="G7110" t="inlineStr"/>
      <c r="H7110" t="inlineStr"/>
    </row>
    <row r="7111">
      <c r="A7111" t="inlineStr">
        <is>
          <t>b4129b90-9d92-4032-b92b-88b2c110a985.jpg</t>
        </is>
      </c>
      <c r="B7111">
        <f>HYPERLINK("Объекты недвижимости, не соответствующие градостроительным нормам_00-022_Август/b4129b90-9d92-4032-b92b-88b2c110a985.jpg","open")</f>
        <v/>
      </c>
      <c r="C7111" t="inlineStr">
        <is>
          <t>1c951e11-4940-43c6-a447-394097e5609a</t>
        </is>
      </c>
      <c r="D7111" t="n">
        <v>55.76629</v>
      </c>
      <c r="E7111" t="n">
        <v>37.59022</v>
      </c>
      <c r="F7111" t="inlineStr"/>
      <c r="G7111" t="inlineStr"/>
      <c r="H7111" t="inlineStr"/>
    </row>
    <row r="7112">
      <c r="A7112" t="inlineStr">
        <is>
          <t>8a77bfee-f04a-475d-83b6-0187bb0e3713.jpg</t>
        </is>
      </c>
      <c r="B7112">
        <f>HYPERLINK("Объекты недвижимости, не соответствующие градостроительным нормам_00-022_Август/8a77bfee-f04a-475d-83b6-0187bb0e3713.jpg","open")</f>
        <v/>
      </c>
      <c r="C7112" t="inlineStr">
        <is>
          <t>cbf95b01-f708-45a3-9ec0-3603469b538e</t>
        </is>
      </c>
      <c r="D7112" t="n">
        <v>55.75929</v>
      </c>
      <c r="E7112" t="n">
        <v>37.58332</v>
      </c>
      <c r="F7112" t="inlineStr"/>
      <c r="G7112" t="inlineStr"/>
      <c r="H7112" t="inlineStr"/>
    </row>
    <row r="7113">
      <c r="A7113" t="inlineStr">
        <is>
          <t>c818c9ff-c310-496d-bd8a-9f0308ca6299.jpg</t>
        </is>
      </c>
      <c r="B7113">
        <f>HYPERLINK("Объекты недвижимости, не соответствующие градостроительным нормам_00-022_Август/c818c9ff-c310-496d-bd8a-9f0308ca6299.jpg","open")</f>
        <v/>
      </c>
      <c r="C7113" t="inlineStr">
        <is>
          <t>e26f5fc2-1353-4f29-85f3-87c56419161c</t>
        </is>
      </c>
      <c r="D7113" t="n">
        <v>55.87503</v>
      </c>
      <c r="E7113" t="n">
        <v>37.58637</v>
      </c>
      <c r="F7113" t="inlineStr"/>
      <c r="G7113" t="inlineStr"/>
      <c r="H7113" t="inlineStr"/>
    </row>
    <row r="7114">
      <c r="A7114" t="inlineStr">
        <is>
          <t>aa0a3d4e-456c-4e73-b0a6-c5c16a85504c.jpg</t>
        </is>
      </c>
      <c r="B7114">
        <f>HYPERLINK("Объекты недвижимости, не соответствующие градостроительным нормам_00-022_Август/aa0a3d4e-456c-4e73-b0a6-c5c16a85504c.jpg","open")</f>
        <v/>
      </c>
      <c r="C7114" t="inlineStr">
        <is>
          <t>8cde1fd0-eca1-4510-86ab-3c743b65fdfc</t>
        </is>
      </c>
      <c r="D7114" t="n">
        <v>55.74391</v>
      </c>
      <c r="E7114" t="n">
        <v>37.61626</v>
      </c>
      <c r="F7114" t="inlineStr"/>
      <c r="G7114" t="inlineStr"/>
      <c r="H7114" t="inlineStr"/>
    </row>
    <row r="7115">
      <c r="A7115" t="inlineStr">
        <is>
          <t>5d94f4e5-da70-42bc-af8b-e4f8c6b3ed26.jpg</t>
        </is>
      </c>
      <c r="B7115">
        <f>HYPERLINK("Объекты недвижимости, не соответствующие градостроительным нормам_00-022_Август/5d94f4e5-da70-42bc-af8b-e4f8c6b3ed26.jpg","open")</f>
        <v/>
      </c>
      <c r="C7115" t="inlineStr">
        <is>
          <t>cbf95b01-f708-45a3-9ec0-3603469b538e</t>
        </is>
      </c>
      <c r="D7115" t="n">
        <v>55.75929</v>
      </c>
      <c r="E7115" t="n">
        <v>37.58332</v>
      </c>
      <c r="F7115" t="inlineStr"/>
      <c r="G7115" t="inlineStr"/>
      <c r="H7115" t="inlineStr"/>
    </row>
    <row r="7116">
      <c r="A7116" t="inlineStr">
        <is>
          <t>fba83cd6-f6fc-4339-a37c-8e0479008486.jpg</t>
        </is>
      </c>
      <c r="B7116">
        <f>HYPERLINK("Объекты недвижимости, не соответствующие градостроительным нормам_00-022_Август/fba83cd6-f6fc-4339-a37c-8e0479008486.jpg","open")</f>
        <v/>
      </c>
      <c r="C7116" t="inlineStr">
        <is>
          <t>cbf95b01-f708-45a3-9ec0-3603469b538e</t>
        </is>
      </c>
      <c r="D7116" t="n">
        <v>55.75929</v>
      </c>
      <c r="E7116" t="n">
        <v>37.58332</v>
      </c>
      <c r="F7116" t="inlineStr"/>
      <c r="G7116" t="inlineStr"/>
      <c r="H7116" t="inlineStr"/>
    </row>
    <row r="7117">
      <c r="A7117" t="inlineStr">
        <is>
          <t>57f1d5d3-1b29-42a7-aef1-b4fd8606a855.jpg</t>
        </is>
      </c>
      <c r="B7117">
        <f>HYPERLINK("Объекты недвижимости, не соответствующие градостроительным нормам_00-022_Август/57f1d5d3-1b29-42a7-aef1-b4fd8606a855.jpg","open")</f>
        <v/>
      </c>
      <c r="C7117" t="inlineStr">
        <is>
          <t>cbf95b01-f708-45a3-9ec0-3603469b538e</t>
        </is>
      </c>
      <c r="D7117" t="n">
        <v>55.75929</v>
      </c>
      <c r="E7117" t="n">
        <v>37.58332</v>
      </c>
      <c r="F7117" t="inlineStr"/>
      <c r="G7117" t="inlineStr"/>
      <c r="H7117" t="inlineStr"/>
    </row>
    <row r="7118">
      <c r="A7118" t="inlineStr">
        <is>
          <t>79da533f-6e2b-4fcd-badf-44a56cbc7398.jpg</t>
        </is>
      </c>
      <c r="B7118">
        <f>HYPERLINK("Объекты недвижимости, не соответствующие градостроительным нормам_00-022_Август/79da533f-6e2b-4fcd-badf-44a56cbc7398.jpg","open")</f>
        <v/>
      </c>
      <c r="C7118" t="inlineStr">
        <is>
          <t>f60286ac-55e7-4099-85bd-cc599a7a0c65</t>
        </is>
      </c>
      <c r="D7118" t="n">
        <v>55.76106</v>
      </c>
      <c r="E7118" t="n">
        <v>37.78353</v>
      </c>
      <c r="F7118" t="inlineStr"/>
      <c r="G7118" t="inlineStr"/>
      <c r="H7118" t="inlineStr"/>
    </row>
    <row r="7119">
      <c r="A7119" t="inlineStr">
        <is>
          <t>3036b04d-dcd4-4875-8eab-5791bdd6e040.jpg</t>
        </is>
      </c>
      <c r="B7119">
        <f>HYPERLINK("Объекты недвижимости, не соответствующие градостроительным нормам_00-022_Август/3036b04d-dcd4-4875-8eab-5791bdd6e040.jpg","open")</f>
        <v/>
      </c>
      <c r="C7119" t="inlineStr">
        <is>
          <t>cbf95b01-f708-45a3-9ec0-3603469b538e</t>
        </is>
      </c>
      <c r="D7119" t="n">
        <v>55.75929</v>
      </c>
      <c r="E7119" t="n">
        <v>37.58332</v>
      </c>
      <c r="F7119" t="inlineStr"/>
      <c r="G7119" t="inlineStr"/>
      <c r="H7119" t="inlineStr"/>
    </row>
    <row r="7120">
      <c r="A7120" t="inlineStr">
        <is>
          <t>f50563b0-3987-475a-8d51-b67f50fe8b3e.jpg</t>
        </is>
      </c>
      <c r="B7120">
        <f>HYPERLINK("Объекты недвижимости, не соответствующие градостроительным нормам_00-022_Август/f50563b0-3987-475a-8d51-b67f50fe8b3e.jpg","open")</f>
        <v/>
      </c>
      <c r="C7120" t="inlineStr">
        <is>
          <t>caa4772d-6278-4484-a046-ee25514bf521</t>
        </is>
      </c>
      <c r="D7120" t="n">
        <v>55.73644</v>
      </c>
      <c r="E7120" t="n">
        <v>37.70469</v>
      </c>
      <c r="F7120" t="inlineStr"/>
      <c r="G7120" t="inlineStr"/>
      <c r="H7120" t="inlineStr"/>
    </row>
    <row r="7121">
      <c r="A7121" t="inlineStr">
        <is>
          <t>e7690a14-b3bc-4999-acf3-fd5851183dad.jpg</t>
        </is>
      </c>
      <c r="B7121">
        <f>HYPERLINK("Объекты недвижимости, не соответствующие градостроительным нормам_00-022_Август/e7690a14-b3bc-4999-acf3-fd5851183dad.jpg","open")</f>
        <v/>
      </c>
      <c r="C7121" t="inlineStr">
        <is>
          <t>ed2bf0f1-3a66-4913-896e-4420a9796c0b</t>
        </is>
      </c>
      <c r="D7121" t="n">
        <v>55.3578</v>
      </c>
      <c r="E7121" t="n">
        <v>37.15528</v>
      </c>
      <c r="F7121" t="inlineStr"/>
      <c r="G7121" t="inlineStr"/>
      <c r="H7121" t="inlineStr"/>
    </row>
    <row r="7122">
      <c r="A7122" t="inlineStr">
        <is>
          <t>7f1a1438-82ea-41c9-86bc-44dc76ab135a.jpg</t>
        </is>
      </c>
      <c r="B7122">
        <f>HYPERLINK("Объекты недвижимости, не соответствующие градостроительным нормам_00-022_Август/7f1a1438-82ea-41c9-86bc-44dc76ab135a.jpg","open")</f>
        <v/>
      </c>
      <c r="C7122" t="inlineStr">
        <is>
          <t>685d9054-b74f-49ab-857b-109fd2cec80d</t>
        </is>
      </c>
      <c r="D7122" t="n">
        <v>55.5466</v>
      </c>
      <c r="E7122" t="n">
        <v>37.55814</v>
      </c>
      <c r="F7122" t="inlineStr"/>
      <c r="G7122" t="inlineStr"/>
      <c r="H7122" t="inlineStr"/>
    </row>
    <row r="7123">
      <c r="A7123" t="inlineStr">
        <is>
          <t>62cea855-5a69-430f-b4f9-cfe1ae56cce5.jpg</t>
        </is>
      </c>
      <c r="B7123">
        <f>HYPERLINK("Объекты недвижимости, не соответствующие градостроительным нормам_00-022_Август/62cea855-5a69-430f-b4f9-cfe1ae56cce5.jpg","open")</f>
        <v/>
      </c>
      <c r="C7123" t="inlineStr">
        <is>
          <t>1231bbc5-e64c-4dc7-9acc-77710f47607a</t>
        </is>
      </c>
      <c r="D7123" t="n">
        <v>55.5466</v>
      </c>
      <c r="E7123" t="n">
        <v>37.55814</v>
      </c>
      <c r="F7123" t="inlineStr"/>
      <c r="G7123" t="inlineStr"/>
      <c r="H7123" t="inlineStr"/>
    </row>
    <row r="7124">
      <c r="A7124" t="inlineStr">
        <is>
          <t>cb1eda7c-4bab-4fa2-a03b-6a3aff2519e1.jpg</t>
        </is>
      </c>
      <c r="B7124">
        <f>HYPERLINK("Объекты недвижимости, не соответствующие градостроительным нормам_00-022_Август/cb1eda7c-4bab-4fa2-a03b-6a3aff2519e1.jpg","open")</f>
        <v/>
      </c>
      <c r="C7124" t="inlineStr">
        <is>
          <t>8996eb30-6497-4318-8a0e-b95314b8172e</t>
        </is>
      </c>
      <c r="D7124" t="n">
        <v>55.97824</v>
      </c>
      <c r="E7124" t="n">
        <v>37.40152</v>
      </c>
      <c r="F7124" t="inlineStr"/>
      <c r="G7124" t="inlineStr"/>
      <c r="H7124" t="inlineStr"/>
    </row>
    <row r="7125">
      <c r="A7125" t="inlineStr">
        <is>
          <t>ca9bab3e-641f-4536-be60-bb77a9ca8974.jpg</t>
        </is>
      </c>
      <c r="B7125">
        <f>HYPERLINK("Объекты недвижимости, не соответствующие градостроительным нормам_00-022_Август/ca9bab3e-641f-4536-be60-bb77a9ca8974.jpg","open")</f>
        <v/>
      </c>
      <c r="C7125" t="inlineStr">
        <is>
          <t>8b2675e2-7f40-47a9-a462-7c9feecd299c</t>
        </is>
      </c>
      <c r="D7125" t="n">
        <v>55.72311</v>
      </c>
      <c r="E7125" t="n">
        <v>37.6389</v>
      </c>
      <c r="F7125" t="inlineStr"/>
      <c r="G7125" t="inlineStr"/>
      <c r="H7125" t="inlineStr"/>
    </row>
    <row r="7126">
      <c r="A7126" t="inlineStr">
        <is>
          <t>a68a1239-42d4-461b-b74d-f50ad514fa55.jpg</t>
        </is>
      </c>
      <c r="B7126">
        <f>HYPERLINK("Объекты недвижимости, не соответствующие градостроительным нормам_00-022_Август/a68a1239-42d4-461b-b74d-f50ad514fa55.jpg","open")</f>
        <v/>
      </c>
      <c r="C7126" t="inlineStr">
        <is>
          <t>685d9054-b74f-49ab-857b-109fd2cec80d</t>
        </is>
      </c>
      <c r="D7126" t="n">
        <v>55.54655</v>
      </c>
      <c r="E7126" t="n">
        <v>37.55827</v>
      </c>
      <c r="F7126" t="inlineStr"/>
      <c r="G7126" t="inlineStr"/>
      <c r="H7126" t="inlineStr"/>
    </row>
    <row r="7127">
      <c r="A7127" t="inlineStr">
        <is>
          <t>c87b42f1-2939-4b39-9957-88a7c507446c.jpg</t>
        </is>
      </c>
      <c r="B7127">
        <f>HYPERLINK("Объекты недвижимости, не соответствующие градостроительным нормам_00-022_Август/c87b42f1-2939-4b39-9957-88a7c507446c.jpg","open")</f>
        <v/>
      </c>
      <c r="C7127" t="inlineStr">
        <is>
          <t>1231bbc5-e64c-4dc7-9acc-77710f47607a</t>
        </is>
      </c>
      <c r="D7127" t="n">
        <v>55.54654</v>
      </c>
      <c r="E7127" t="n">
        <v>37.55835</v>
      </c>
      <c r="F7127" t="inlineStr"/>
      <c r="G7127" t="inlineStr"/>
      <c r="H7127" t="inlineStr"/>
    </row>
    <row r="7128">
      <c r="A7128" t="inlineStr">
        <is>
          <t>7b9edac5-296c-4d4e-a4e0-87a9380f2328.jpg</t>
        </is>
      </c>
      <c r="B7128">
        <f>HYPERLINK("Объекты недвижимости, не соответствующие градостроительным нормам_00-022_Август/7b9edac5-296c-4d4e-a4e0-87a9380f2328.jpg","open")</f>
        <v/>
      </c>
      <c r="C7128" t="inlineStr">
        <is>
          <t>685d9054-b74f-49ab-857b-109fd2cec80d</t>
        </is>
      </c>
      <c r="D7128" t="n">
        <v>55.54646</v>
      </c>
      <c r="E7128" t="n">
        <v>37.5604</v>
      </c>
      <c r="F7128" t="inlineStr"/>
      <c r="G7128" t="inlineStr"/>
      <c r="H7128" t="inlineStr"/>
    </row>
    <row r="7129">
      <c r="A7129" t="inlineStr">
        <is>
          <t>50843bcf-5084-4d7b-a79d-efdf04ad6177.jpg</t>
        </is>
      </c>
      <c r="B7129">
        <f>HYPERLINK("Объекты недвижимости, не соответствующие градостроительным нормам_00-022_Август/50843bcf-5084-4d7b-a79d-efdf04ad6177.jpg","open")</f>
        <v/>
      </c>
      <c r="C7129" t="inlineStr">
        <is>
          <t>f6f80c84-5569-48fd-b627-6f41ce4c61c4</t>
        </is>
      </c>
      <c r="D7129" t="n">
        <v>55.73867</v>
      </c>
      <c r="E7129" t="n">
        <v>37.69364</v>
      </c>
      <c r="F7129" t="inlineStr"/>
      <c r="G7129" t="inlineStr"/>
      <c r="H7129" t="inlineStr"/>
    </row>
    <row r="7130">
      <c r="A7130" t="inlineStr">
        <is>
          <t>f821c7d6-5ca0-4eb2-bbda-efd5fb368bbf.jpg</t>
        </is>
      </c>
      <c r="B7130">
        <f>HYPERLINK("Объекты недвижимости, не соответствующие градостроительным нормам_00-022_Август/f821c7d6-5ca0-4eb2-bbda-efd5fb368bbf.jpg","open")</f>
        <v/>
      </c>
      <c r="C7130" t="inlineStr">
        <is>
          <t>57aae8a4-582b-4309-8045-c8127a9f86ae</t>
        </is>
      </c>
      <c r="D7130" t="n">
        <v>55.80158</v>
      </c>
      <c r="E7130" t="n">
        <v>37.72746</v>
      </c>
      <c r="F7130" t="inlineStr"/>
      <c r="G7130" t="inlineStr"/>
      <c r="H7130" t="inlineStr"/>
    </row>
    <row r="7131">
      <c r="A7131" t="inlineStr">
        <is>
          <t>96f1e2c7-e96c-4040-aa1a-8c99877a78d3.jpg</t>
        </is>
      </c>
      <c r="B7131">
        <f>HYPERLINK("Объекты недвижимости, не соответствующие градостроительным нормам_00-022_Август/96f1e2c7-e96c-4040-aa1a-8c99877a78d3.jpg","open")</f>
        <v/>
      </c>
      <c r="C7131" t="inlineStr">
        <is>
          <t>cbf95b01-f708-45a3-9ec0-3603469b538e</t>
        </is>
      </c>
      <c r="D7131" t="n">
        <v>55.75929</v>
      </c>
      <c r="E7131" t="n">
        <v>37.58332</v>
      </c>
      <c r="F7131" t="inlineStr"/>
      <c r="G7131" t="inlineStr"/>
      <c r="H7131" t="inlineStr"/>
    </row>
    <row r="7132">
      <c r="A7132" t="inlineStr">
        <is>
          <t>7e8869e3-8cd5-483f-96c1-db228be3875d.jpg</t>
        </is>
      </c>
      <c r="B7132">
        <f>HYPERLINK("Объекты недвижимости, не соответствующие градостроительным нормам_00-022_Август/7e8869e3-8cd5-483f-96c1-db228be3875d.jpg","open")</f>
        <v/>
      </c>
      <c r="C7132" t="inlineStr">
        <is>
          <t>cbf95b01-f708-45a3-9ec0-3603469b538e</t>
        </is>
      </c>
      <c r="D7132" t="n">
        <v>55.75929</v>
      </c>
      <c r="E7132" t="n">
        <v>37.58332</v>
      </c>
      <c r="F7132" t="inlineStr"/>
      <c r="G7132" t="inlineStr"/>
      <c r="H7132" t="inlineStr"/>
    </row>
    <row r="7133">
      <c r="A7133" t="inlineStr">
        <is>
          <t>e515f079-cc4a-4fc4-8b1f-b2620c7f7d3c.jpg</t>
        </is>
      </c>
      <c r="B7133">
        <f>HYPERLINK("Объекты недвижимости, не соответствующие градостроительным нормам_00-022_Август/e515f079-cc4a-4fc4-8b1f-b2620c7f7d3c.jpg","open")</f>
        <v/>
      </c>
      <c r="C7133" t="inlineStr">
        <is>
          <t>cbf95b01-f708-45a3-9ec0-3603469b538e</t>
        </is>
      </c>
      <c r="D7133" t="n">
        <v>55.75929</v>
      </c>
      <c r="E7133" t="n">
        <v>37.58332</v>
      </c>
      <c r="F7133" t="inlineStr"/>
      <c r="G7133" t="inlineStr"/>
      <c r="H7133" t="inlineStr"/>
    </row>
    <row r="7134">
      <c r="A7134" t="inlineStr">
        <is>
          <t>8749a23e-d2e7-4ac3-b249-dbd77a5db032.jpg</t>
        </is>
      </c>
      <c r="B7134">
        <f>HYPERLINK("Объекты недвижимости, не соответствующие градостроительным нормам_00-022_Август/8749a23e-d2e7-4ac3-b249-dbd77a5db032.jpg","open")</f>
        <v/>
      </c>
      <c r="C7134" t="inlineStr">
        <is>
          <t>cbf95b01-f708-45a3-9ec0-3603469b538e</t>
        </is>
      </c>
      <c r="D7134" t="n">
        <v>55.75929</v>
      </c>
      <c r="E7134" t="n">
        <v>37.58332</v>
      </c>
      <c r="F7134" t="inlineStr"/>
      <c r="G7134" t="inlineStr"/>
      <c r="H7134" t="inlineStr"/>
    </row>
    <row r="7135">
      <c r="A7135" t="inlineStr">
        <is>
          <t>fedaa68f-2adc-4f61-8843-f49a38fc7fe8.jpg</t>
        </is>
      </c>
      <c r="B7135">
        <f>HYPERLINK("Объекты недвижимости, не соответствующие градостроительным нормам_00-022_Август/fedaa68f-2adc-4f61-8843-f49a38fc7fe8.jpg","open")</f>
        <v/>
      </c>
      <c r="C7135" t="inlineStr">
        <is>
          <t>12e795ad-2aa7-49de-b2da-2c6aa35a4559</t>
        </is>
      </c>
      <c r="D7135" t="n">
        <v>55.66368</v>
      </c>
      <c r="E7135" t="n">
        <v>37.55571</v>
      </c>
      <c r="F7135" t="inlineStr"/>
      <c r="G7135" t="inlineStr"/>
      <c r="H7135" t="inlineStr"/>
    </row>
    <row r="7136">
      <c r="A7136" t="inlineStr">
        <is>
          <t>e087f193-e342-4376-9301-c5128741455e.jpg</t>
        </is>
      </c>
      <c r="B7136">
        <f>HYPERLINK("Объекты недвижимости, не соответствующие градостроительным нормам_00-022_Август/e087f193-e342-4376-9301-c5128741455e.jpg","open")</f>
        <v/>
      </c>
      <c r="C7136" t="inlineStr">
        <is>
          <t>cbf95b01-f708-45a3-9ec0-3603469b538e</t>
        </is>
      </c>
      <c r="D7136" t="n">
        <v>55.75929</v>
      </c>
      <c r="E7136" t="n">
        <v>37.58332</v>
      </c>
      <c r="F7136" t="inlineStr"/>
      <c r="G7136" t="inlineStr"/>
      <c r="H7136" t="inlineStr"/>
    </row>
    <row r="7137">
      <c r="A7137" t="inlineStr">
        <is>
          <t>4f7d6680-a416-422f-b84e-15342835aa4d.jpg</t>
        </is>
      </c>
      <c r="B7137">
        <f>HYPERLINK("Объекты недвижимости, не соответствующие градостроительным нормам_00-022_Август/4f7d6680-a416-422f-b84e-15342835aa4d.jpg","open")</f>
        <v/>
      </c>
      <c r="C7137" t="inlineStr">
        <is>
          <t>cbf95b01-f708-45a3-9ec0-3603469b538e</t>
        </is>
      </c>
      <c r="D7137" t="n">
        <v>55.75929</v>
      </c>
      <c r="E7137" t="n">
        <v>37.58332</v>
      </c>
      <c r="F7137" t="inlineStr"/>
      <c r="G7137" t="inlineStr"/>
      <c r="H7137" t="inlineStr"/>
    </row>
    <row r="7138">
      <c r="A7138" t="inlineStr">
        <is>
          <t>5df89dbe-52a4-44d2-b9c6-658778707cfa.jpg</t>
        </is>
      </c>
      <c r="B7138">
        <f>HYPERLINK("Объекты недвижимости, не соответствующие градостроительным нормам_00-022_Август/5df89dbe-52a4-44d2-b9c6-658778707cfa.jpg","open")</f>
        <v/>
      </c>
      <c r="C7138" t="inlineStr">
        <is>
          <t>caa4772d-6278-4484-a046-ee25514bf521</t>
        </is>
      </c>
      <c r="D7138" t="n">
        <v>55.74507</v>
      </c>
      <c r="E7138" t="n">
        <v>37.68563</v>
      </c>
      <c r="F7138" t="inlineStr"/>
      <c r="G7138" t="inlineStr"/>
      <c r="H7138" t="inlineStr"/>
    </row>
    <row r="7139">
      <c r="A7139" t="inlineStr">
        <is>
          <t>d26863ef-ea0e-4971-a8c3-7d0ed93784c9.jpg</t>
        </is>
      </c>
      <c r="B7139">
        <f>HYPERLINK("Объекты недвижимости, не соответствующие градостроительным нормам_00-022_Август/d26863ef-ea0e-4971-a8c3-7d0ed93784c9.jpg","open")</f>
        <v/>
      </c>
      <c r="C7139" t="inlineStr">
        <is>
          <t>cbf95b01-f708-45a3-9ec0-3603469b538e</t>
        </is>
      </c>
      <c r="D7139" t="n">
        <v>55.75929</v>
      </c>
      <c r="E7139" t="n">
        <v>37.58332</v>
      </c>
      <c r="F7139" t="inlineStr"/>
      <c r="G7139" t="inlineStr"/>
      <c r="H7139" t="inlineStr"/>
    </row>
    <row r="7140">
      <c r="A7140" t="inlineStr">
        <is>
          <t>cc032ac2-19ce-4afc-9b48-fa0d2b5e30de.jpg</t>
        </is>
      </c>
      <c r="B7140">
        <f>HYPERLINK("Объекты недвижимости, не соответствующие градостроительным нормам_00-022_Август/cc032ac2-19ce-4afc-9b48-fa0d2b5e30de.jpg","open")</f>
        <v/>
      </c>
      <c r="C7140" t="inlineStr">
        <is>
          <t>685d9054-b74f-49ab-857b-109fd2cec80d</t>
        </is>
      </c>
      <c r="D7140" t="n">
        <v>55.54646</v>
      </c>
      <c r="E7140" t="n">
        <v>37.55665</v>
      </c>
      <c r="F7140" t="inlineStr"/>
      <c r="G7140" t="inlineStr"/>
      <c r="H7140" t="inlineStr"/>
    </row>
    <row r="7141">
      <c r="A7141" t="inlineStr">
        <is>
          <t>99c5fd6f-a7bf-412b-8ccd-b8a784cf905d.jpg</t>
        </is>
      </c>
      <c r="B7141">
        <f>HYPERLINK("Объекты недвижимости, не соответствующие градостроительным нормам_00-022_Август/99c5fd6f-a7bf-412b-8ccd-b8a784cf905d.jpg","open")</f>
        <v/>
      </c>
      <c r="C7141" t="inlineStr">
        <is>
          <t>8cde1fd0-eca1-4510-86ab-3c743b65fdfc</t>
        </is>
      </c>
      <c r="D7141" t="n">
        <v>55.79827</v>
      </c>
      <c r="E7141" t="n">
        <v>37.55429</v>
      </c>
      <c r="F7141" t="inlineStr"/>
      <c r="G7141" t="inlineStr"/>
      <c r="H7141" t="inlineStr"/>
    </row>
    <row r="7142">
      <c r="A7142" t="inlineStr">
        <is>
          <t>5f1ce685-3edc-4286-8587-c95f19e842d3.jpg</t>
        </is>
      </c>
      <c r="B7142">
        <f>HYPERLINK("Объекты недвижимости, не соответствующие градостроительным нормам_00-022_Август/5f1ce685-3edc-4286-8587-c95f19e842d3.jpg","open")</f>
        <v/>
      </c>
      <c r="C7142" t="inlineStr">
        <is>
          <t>cbf95b01-f708-45a3-9ec0-3603469b538e</t>
        </is>
      </c>
      <c r="D7142" t="n">
        <v>55.75929</v>
      </c>
      <c r="E7142" t="n">
        <v>37.58332</v>
      </c>
      <c r="F7142" t="inlineStr"/>
      <c r="G7142" t="inlineStr"/>
      <c r="H7142" t="inlineStr"/>
    </row>
    <row r="7143">
      <c r="A7143" t="inlineStr">
        <is>
          <t>7bd92b9e-5541-40d2-a91a-26d58d51f54a.jpg</t>
        </is>
      </c>
      <c r="B7143">
        <f>HYPERLINK("Объекты недвижимости, не соответствующие градостроительным нормам_00-022_Август/7bd92b9e-5541-40d2-a91a-26d58d51f54a.jpg","open")</f>
        <v/>
      </c>
      <c r="C7143" t="inlineStr">
        <is>
          <t>cbf95b01-f708-45a3-9ec0-3603469b538e</t>
        </is>
      </c>
      <c r="D7143" t="n">
        <v>55.75929</v>
      </c>
      <c r="E7143" t="n">
        <v>37.58332</v>
      </c>
      <c r="F7143" t="inlineStr"/>
      <c r="G7143" t="inlineStr"/>
      <c r="H7143" t="inlineStr"/>
    </row>
    <row r="7144">
      <c r="A7144" t="inlineStr">
        <is>
          <t>2c046198-4a0a-4658-b8bb-036ea2b5b408.jpg</t>
        </is>
      </c>
      <c r="B7144">
        <f>HYPERLINK("Объекты недвижимости, не соответствующие градостроительным нормам_00-022_Август/2c046198-4a0a-4658-b8bb-036ea2b5b408.jpg","open")</f>
        <v/>
      </c>
      <c r="C7144" t="inlineStr">
        <is>
          <t>685d9054-b74f-49ab-857b-109fd2cec80d</t>
        </is>
      </c>
      <c r="D7144" t="n">
        <v>55.54777</v>
      </c>
      <c r="E7144" t="n">
        <v>37.55655</v>
      </c>
      <c r="F7144" t="inlineStr"/>
      <c r="G7144" t="inlineStr"/>
      <c r="H7144" t="inlineStr"/>
    </row>
    <row r="7145">
      <c r="A7145" t="inlineStr">
        <is>
          <t>baa5957b-f98f-48dc-92b6-b581aaf2e868.jpg</t>
        </is>
      </c>
      <c r="B7145">
        <f>HYPERLINK("Объекты недвижимости, не соответствующие градостроительным нормам_00-022_Август/baa5957b-f98f-48dc-92b6-b581aaf2e868.jpg","open")</f>
        <v/>
      </c>
      <c r="C7145" t="inlineStr">
        <is>
          <t>9ca2abb7-5978-4e19-b2b4-4d185fa6739e</t>
        </is>
      </c>
      <c r="D7145" t="n">
        <v>55.63978</v>
      </c>
      <c r="E7145" t="n">
        <v>37.41007</v>
      </c>
      <c r="F7145" t="inlineStr"/>
      <c r="G7145" t="inlineStr"/>
      <c r="H7145" t="inlineStr"/>
    </row>
    <row r="7146">
      <c r="A7146" t="inlineStr">
        <is>
          <t>1a819f0c-a7ee-4ce3-b551-f5e1e6670435.jpg</t>
        </is>
      </c>
      <c r="B7146">
        <f>HYPERLINK("Объекты недвижимости, не соответствующие градостроительным нормам_00-022_Август/1a819f0c-a7ee-4ce3-b551-f5e1e6670435.jpg","open")</f>
        <v/>
      </c>
      <c r="C7146" t="inlineStr">
        <is>
          <t>cbf95b01-f708-45a3-9ec0-3603469b538e</t>
        </is>
      </c>
      <c r="D7146" t="n">
        <v>55.75929</v>
      </c>
      <c r="E7146" t="n">
        <v>37.58332</v>
      </c>
      <c r="F7146" t="inlineStr"/>
      <c r="G7146" t="inlineStr"/>
      <c r="H7146" t="inlineStr"/>
    </row>
    <row r="7147">
      <c r="A7147" t="inlineStr">
        <is>
          <t>dd3c0096-3de7-4427-93a8-b057ae812961.jpg</t>
        </is>
      </c>
      <c r="B7147">
        <f>HYPERLINK("Объекты недвижимости, не соответствующие градостроительным нормам_00-022_Август/dd3c0096-3de7-4427-93a8-b057ae812961.jpg","open")</f>
        <v/>
      </c>
      <c r="C7147" t="inlineStr">
        <is>
          <t>685d9054-b74f-49ab-857b-109fd2cec80d</t>
        </is>
      </c>
      <c r="D7147" t="n">
        <v>55.54801</v>
      </c>
      <c r="E7147" t="n">
        <v>37.55742</v>
      </c>
      <c r="F7147" t="inlineStr"/>
      <c r="G7147" t="inlineStr"/>
      <c r="H7147" t="inlineStr"/>
    </row>
    <row r="7148">
      <c r="A7148" t="inlineStr">
        <is>
          <t>461e3f3b-31bb-4a5d-be23-d9ae5cb9ef2a.jpg</t>
        </is>
      </c>
      <c r="B7148">
        <f>HYPERLINK("Объекты недвижимости, не соответствующие градостроительным нормам_00-022_Август/461e3f3b-31bb-4a5d-be23-d9ae5cb9ef2a.jpg","open")</f>
        <v/>
      </c>
      <c r="C7148" t="inlineStr">
        <is>
          <t>93848fc8-17e7-4748-9ebc-c7e379e11d2f</t>
        </is>
      </c>
      <c r="D7148" t="n">
        <v>55.70229</v>
      </c>
      <c r="E7148" t="n">
        <v>37.59168</v>
      </c>
      <c r="F7148" t="inlineStr"/>
      <c r="G7148" t="inlineStr"/>
      <c r="H7148" t="inlineStr"/>
    </row>
    <row r="7149">
      <c r="A7149" t="inlineStr">
        <is>
          <t>ddfa45e4-2715-408c-9426-94d8c0f678a2.jpg</t>
        </is>
      </c>
      <c r="B7149">
        <f>HYPERLINK("Объекты недвижимости, не соответствующие градостроительным нормам_00-022_Август/ddfa45e4-2715-408c-9426-94d8c0f678a2.jpg","open")</f>
        <v/>
      </c>
      <c r="C7149" t="inlineStr">
        <is>
          <t>1231bbc5-e64c-4dc7-9acc-77710f47607a</t>
        </is>
      </c>
      <c r="D7149" t="n">
        <v>55.54679</v>
      </c>
      <c r="E7149" t="n">
        <v>37.55834</v>
      </c>
      <c r="F7149" t="inlineStr"/>
      <c r="G7149" t="inlineStr"/>
      <c r="H7149" t="inlineStr"/>
    </row>
    <row r="7150">
      <c r="A7150" t="inlineStr">
        <is>
          <t>d88e3bc3-9c50-4c86-9585-674638426a18.jpg</t>
        </is>
      </c>
      <c r="B7150">
        <f>HYPERLINK("Объекты недвижимости, не соответствующие градостроительным нормам_00-022_Август/d88e3bc3-9c50-4c86-9585-674638426a18.jpg","open")</f>
        <v/>
      </c>
      <c r="C7150" t="inlineStr">
        <is>
          <t>685d9054-b74f-49ab-857b-109fd2cec80d</t>
        </is>
      </c>
      <c r="D7150" t="n">
        <v>55.54678</v>
      </c>
      <c r="E7150" t="n">
        <v>37.55835</v>
      </c>
      <c r="F7150" t="inlineStr"/>
      <c r="G7150" t="inlineStr"/>
      <c r="H7150" t="inlineStr"/>
    </row>
    <row r="7151">
      <c r="A7151" t="inlineStr">
        <is>
          <t>7b23dc5d-444f-4533-8ad4-114be5cec1fa.jpg</t>
        </is>
      </c>
      <c r="B7151">
        <f>HYPERLINK("Объекты недвижимости, не соответствующие градостроительным нормам_00-022_Август/7b23dc5d-444f-4533-8ad4-114be5cec1fa.jpg","open")</f>
        <v/>
      </c>
      <c r="C7151" t="inlineStr">
        <is>
          <t>a1a9db89-3f74-42ef-8fad-ad69705102cd</t>
        </is>
      </c>
      <c r="D7151" t="n">
        <v>55.75929</v>
      </c>
      <c r="E7151" t="n">
        <v>37.58332</v>
      </c>
      <c r="F7151" t="inlineStr"/>
      <c r="G7151" t="inlineStr"/>
      <c r="H7151" t="inlineStr"/>
    </row>
    <row r="7152">
      <c r="A7152" t="inlineStr">
        <is>
          <t>402aa185-e76e-4b08-abbe-b31418d2e69a.jpg</t>
        </is>
      </c>
      <c r="B7152">
        <f>HYPERLINK("Объекты недвижимости, не соответствующие градостроительным нормам_00-022_Август/402aa185-e76e-4b08-abbe-b31418d2e69a.jpg","open")</f>
        <v/>
      </c>
      <c r="C7152" t="inlineStr">
        <is>
          <t>cbf95b01-f708-45a3-9ec0-3603469b538e</t>
        </is>
      </c>
      <c r="D7152" t="n">
        <v>55.75929</v>
      </c>
      <c r="E7152" t="n">
        <v>37.58332</v>
      </c>
      <c r="F7152" t="inlineStr"/>
      <c r="G7152" t="inlineStr"/>
      <c r="H7152" t="inlineStr"/>
    </row>
    <row r="7153">
      <c r="A7153" t="inlineStr">
        <is>
          <t>98c5434a-fb2a-4b16-9639-d55d94186b50.jpg</t>
        </is>
      </c>
      <c r="B7153">
        <f>HYPERLINK("Объекты недвижимости, не соответствующие градостроительным нормам_00-022_Август/98c5434a-fb2a-4b16-9639-d55d94186b50.jpg","open")</f>
        <v/>
      </c>
      <c r="C7153" t="inlineStr">
        <is>
          <t>685d9054-b74f-49ab-857b-109fd2cec80d</t>
        </is>
      </c>
      <c r="D7153" t="n">
        <v>55.54863</v>
      </c>
      <c r="E7153" t="n">
        <v>37.56001</v>
      </c>
      <c r="F7153" t="inlineStr"/>
      <c r="G7153" t="inlineStr"/>
      <c r="H7153" t="inlineStr"/>
    </row>
    <row r="7154">
      <c r="A7154" t="inlineStr">
        <is>
          <t>8a48ad5f-2046-484d-a22f-036a5491cdd7.jpg</t>
        </is>
      </c>
      <c r="B7154">
        <f>HYPERLINK("Объекты недвижимости, не соответствующие градостроительным нормам_00-022_Август/8a48ad5f-2046-484d-a22f-036a5491cdd7.jpg","open")</f>
        <v/>
      </c>
      <c r="C7154" t="inlineStr">
        <is>
          <t>cbf95b01-f708-45a3-9ec0-3603469b538e</t>
        </is>
      </c>
      <c r="D7154" t="n">
        <v>55.75929</v>
      </c>
      <c r="E7154" t="n">
        <v>37.58332</v>
      </c>
      <c r="F7154" t="inlineStr"/>
      <c r="G7154" t="inlineStr"/>
      <c r="H7154" t="inlineStr"/>
    </row>
    <row r="7155">
      <c r="A7155" t="inlineStr">
        <is>
          <t>43f8fd0f-0ab2-49e1-9d1a-005b6a06897f.jpg</t>
        </is>
      </c>
      <c r="B7155">
        <f>HYPERLINK("Объекты недвижимости, не соответствующие градостроительным нормам_00-022_Август/43f8fd0f-0ab2-49e1-9d1a-005b6a06897f.jpg","open")</f>
        <v/>
      </c>
      <c r="C7155" t="inlineStr">
        <is>
          <t>cbf95b01-f708-45a3-9ec0-3603469b538e</t>
        </is>
      </c>
      <c r="D7155" t="n">
        <v>55.75929</v>
      </c>
      <c r="E7155" t="n">
        <v>37.58332</v>
      </c>
      <c r="F7155" t="inlineStr"/>
      <c r="G7155" t="inlineStr"/>
      <c r="H7155" t="inlineStr"/>
    </row>
    <row r="7156">
      <c r="A7156" t="inlineStr">
        <is>
          <t>fae3e718-7d71-4025-8fb3-d3f7cb477a56.jpg</t>
        </is>
      </c>
      <c r="B7156">
        <f>HYPERLINK("Объекты недвижимости, не соответствующие градостроительным нормам_00-022_Август/fae3e718-7d71-4025-8fb3-d3f7cb477a56.jpg","open")</f>
        <v/>
      </c>
      <c r="C7156" t="inlineStr">
        <is>
          <t>cbf95b01-f708-45a3-9ec0-3603469b538e</t>
        </is>
      </c>
      <c r="D7156" t="n">
        <v>55.75929</v>
      </c>
      <c r="E7156" t="n">
        <v>37.58332</v>
      </c>
      <c r="F7156" t="inlineStr"/>
      <c r="G7156" t="inlineStr"/>
      <c r="H7156" t="inlineStr"/>
    </row>
    <row r="7157">
      <c r="A7157" t="inlineStr">
        <is>
          <t>98689e20-3bde-4eca-91db-e3ad1dbb4635.jpg</t>
        </is>
      </c>
      <c r="B7157">
        <f>HYPERLINK("Объекты недвижимости, не соответствующие градостроительным нормам_00-022_Август/98689e20-3bde-4eca-91db-e3ad1dbb4635.jpg","open")</f>
        <v/>
      </c>
      <c r="C7157" t="inlineStr">
        <is>
          <t>cbf95b01-f708-45a3-9ec0-3603469b538e</t>
        </is>
      </c>
      <c r="D7157" t="n">
        <v>55.75929</v>
      </c>
      <c r="E7157" t="n">
        <v>37.58332</v>
      </c>
      <c r="F7157" t="inlineStr"/>
      <c r="G7157" t="inlineStr"/>
      <c r="H7157" t="inlineStr"/>
    </row>
    <row r="7158">
      <c r="A7158" t="inlineStr">
        <is>
          <t>f43c6a77-92c4-4446-bf4c-c244455a60b7.jpg</t>
        </is>
      </c>
      <c r="B7158">
        <f>HYPERLINK("Объекты недвижимости, не соответствующие градостроительным нормам_00-022_Август/f43c6a77-92c4-4446-bf4c-c244455a60b7.jpg","open")</f>
        <v/>
      </c>
      <c r="C7158" t="inlineStr">
        <is>
          <t>685d9054-b74f-49ab-857b-109fd2cec80d</t>
        </is>
      </c>
      <c r="D7158" t="n">
        <v>55.54883</v>
      </c>
      <c r="E7158" t="n">
        <v>37.56023</v>
      </c>
      <c r="F7158" t="inlineStr"/>
      <c r="G7158" t="inlineStr"/>
      <c r="H7158" t="inlineStr"/>
    </row>
    <row r="7159">
      <c r="A7159" t="inlineStr">
        <is>
          <t>2daf1905-0735-4a8d-ba16-13931c5cd625.jpg</t>
        </is>
      </c>
      <c r="B7159">
        <f>HYPERLINK("Объекты недвижимости, не соответствующие градостроительным нормам_00-022_Август/2daf1905-0735-4a8d-ba16-13931c5cd625.jpg","open")</f>
        <v/>
      </c>
      <c r="C7159" t="inlineStr">
        <is>
          <t>cbf95b01-f708-45a3-9ec0-3603469b538e</t>
        </is>
      </c>
      <c r="D7159" t="n">
        <v>55.75929</v>
      </c>
      <c r="E7159" t="n">
        <v>37.58332</v>
      </c>
      <c r="F7159" t="inlineStr"/>
      <c r="G7159" t="inlineStr"/>
      <c r="H7159" t="inlineStr"/>
    </row>
    <row r="7160">
      <c r="A7160" t="inlineStr">
        <is>
          <t>077476f5-8e2b-4a8f-9250-959ac4729ba0.jpg</t>
        </is>
      </c>
      <c r="B7160">
        <f>HYPERLINK("Объекты недвижимости, не соответствующие градостроительным нормам_00-022_Август/077476f5-8e2b-4a8f-9250-959ac4729ba0.jpg","open")</f>
        <v/>
      </c>
      <c r="C7160" t="inlineStr">
        <is>
          <t>a1a9db89-3f74-42ef-8fad-ad69705102cd</t>
        </is>
      </c>
      <c r="D7160" t="n">
        <v>55.75929</v>
      </c>
      <c r="E7160" t="n">
        <v>37.58332</v>
      </c>
      <c r="F7160" t="inlineStr"/>
      <c r="G7160" t="inlineStr"/>
      <c r="H7160" t="inlineStr"/>
    </row>
    <row r="7161">
      <c r="A7161" t="inlineStr">
        <is>
          <t>fe28b0df-49aa-432f-a5c6-f98d40bb8863.jpg</t>
        </is>
      </c>
      <c r="B7161">
        <f>HYPERLINK("Объекты недвижимости, не соответствующие градостроительным нормам_00-022_Август/fe28b0df-49aa-432f-a5c6-f98d40bb8863.jpg","open")</f>
        <v/>
      </c>
      <c r="C7161" t="inlineStr">
        <is>
          <t>cbf95b01-f708-45a3-9ec0-3603469b538e</t>
        </is>
      </c>
      <c r="D7161" t="n">
        <v>55.75929</v>
      </c>
      <c r="E7161" t="n">
        <v>37.58332</v>
      </c>
      <c r="F7161" t="inlineStr"/>
      <c r="G7161" t="inlineStr"/>
      <c r="H7161" t="inlineStr"/>
    </row>
    <row r="7162">
      <c r="A7162" t="inlineStr">
        <is>
          <t>d8b4ecd4-c026-4fad-b3fa-dea9b8c0ab85.jpg</t>
        </is>
      </c>
      <c r="B7162">
        <f>HYPERLINK("Объекты недвижимости, не соответствующие градостроительным нормам_00-022_Август/d8b4ecd4-c026-4fad-b3fa-dea9b8c0ab85.jpg","open")</f>
        <v/>
      </c>
      <c r="C7162" t="inlineStr">
        <is>
          <t>cbf95b01-f708-45a3-9ec0-3603469b538e</t>
        </is>
      </c>
      <c r="D7162" t="n">
        <v>55.75929</v>
      </c>
      <c r="E7162" t="n">
        <v>37.58332</v>
      </c>
      <c r="F7162" t="inlineStr"/>
      <c r="G7162" t="inlineStr"/>
      <c r="H7162" t="inlineStr"/>
    </row>
    <row r="7163">
      <c r="A7163" t="inlineStr">
        <is>
          <t>c4692335-b296-4472-876b-6f3f8deb25f6.jpg</t>
        </is>
      </c>
      <c r="B7163">
        <f>HYPERLINK("Объекты недвижимости, не соответствующие градостроительным нормам_00-022_Август/c4692335-b296-4472-876b-6f3f8deb25f6.jpg","open")</f>
        <v/>
      </c>
      <c r="C7163" t="inlineStr">
        <is>
          <t>685d9054-b74f-49ab-857b-109fd2cec80d</t>
        </is>
      </c>
      <c r="D7163" t="n">
        <v>55.54697</v>
      </c>
      <c r="E7163" t="n">
        <v>37.56507</v>
      </c>
      <c r="F7163" t="inlineStr"/>
      <c r="G7163" t="inlineStr"/>
      <c r="H7163" t="inlineStr"/>
    </row>
    <row r="7164">
      <c r="A7164" t="inlineStr">
        <is>
          <t>4d99a6b0-1dd3-4825-9c0e-ce3ba1fe0c3f.jpg</t>
        </is>
      </c>
      <c r="B7164">
        <f>HYPERLINK("Объекты недвижимости, не соответствующие градостроительным нормам_00-022_Август/4d99a6b0-1dd3-4825-9c0e-ce3ba1fe0c3f.jpg","open")</f>
        <v/>
      </c>
      <c r="C7164" t="inlineStr">
        <is>
          <t>cbf95b01-f708-45a3-9ec0-3603469b538e</t>
        </is>
      </c>
      <c r="D7164" t="n">
        <v>55.75929</v>
      </c>
      <c r="E7164" t="n">
        <v>37.58332</v>
      </c>
      <c r="F7164" t="inlineStr"/>
      <c r="G7164" t="inlineStr"/>
      <c r="H7164" t="inlineStr"/>
    </row>
    <row r="7165">
      <c r="A7165" t="inlineStr">
        <is>
          <t>b29a07f4-b6a2-4ab5-ac37-3b5d904e054f.jpg</t>
        </is>
      </c>
      <c r="B7165">
        <f>HYPERLINK("Объекты недвижимости, не соответствующие градостроительным нормам_00-022_Август/b29a07f4-b6a2-4ab5-ac37-3b5d904e054f.jpg","open")</f>
        <v/>
      </c>
      <c r="C7165" t="inlineStr">
        <is>
          <t>b0429a31-0c70-4b9f-8ea5-73929d82f89e</t>
        </is>
      </c>
      <c r="D7165" t="n">
        <v>55.60599</v>
      </c>
      <c r="E7165" t="n">
        <v>37.58021</v>
      </c>
      <c r="F7165" t="inlineStr"/>
      <c r="G7165" t="inlineStr"/>
      <c r="H7165" t="inlineStr"/>
    </row>
    <row r="7166">
      <c r="A7166" t="inlineStr">
        <is>
          <t>3f06bafb-b59b-4bbe-874f-a7a44d57c2fd.jpg</t>
        </is>
      </c>
      <c r="B7166">
        <f>HYPERLINK("Объекты недвижимости, не соответствующие градостроительным нормам_00-022_Август/3f06bafb-b59b-4bbe-874f-a7a44d57c2fd.jpg","open")</f>
        <v/>
      </c>
      <c r="C7166" t="inlineStr">
        <is>
          <t>b0b7ea82-53be-40d0-b992-e2fd18611d5c</t>
        </is>
      </c>
      <c r="D7166" t="n">
        <v>55.69593</v>
      </c>
      <c r="E7166" t="n">
        <v>37.82665</v>
      </c>
      <c r="F7166" t="inlineStr"/>
      <c r="G7166" t="inlineStr"/>
      <c r="H7166" t="inlineStr"/>
    </row>
    <row r="7167">
      <c r="A7167" t="inlineStr">
        <is>
          <t>cbf2cbb8-d042-4fdf-a060-a48c0e04bc41.jpg</t>
        </is>
      </c>
      <c r="B7167">
        <f>HYPERLINK("Объекты недвижимости, не соответствующие градостроительным нормам_00-022_Август/cbf2cbb8-d042-4fdf-a060-a48c0e04bc41.jpg","open")</f>
        <v/>
      </c>
      <c r="C7167" t="inlineStr">
        <is>
          <t>a1a9db89-3f74-42ef-8fad-ad69705102cd</t>
        </is>
      </c>
      <c r="D7167" t="n">
        <v>55.75929</v>
      </c>
      <c r="E7167" t="n">
        <v>37.58332</v>
      </c>
      <c r="F7167" t="inlineStr"/>
      <c r="G7167" t="inlineStr"/>
      <c r="H7167" t="inlineStr"/>
    </row>
    <row r="7168">
      <c r="A7168" t="inlineStr">
        <is>
          <t>2a8c4f73-197c-47ba-b378-ee56d502a460.jpg</t>
        </is>
      </c>
      <c r="B7168">
        <f>HYPERLINK("Объекты недвижимости, не соответствующие градостроительным нормам_00-022_Август/2a8c4f73-197c-47ba-b378-ee56d502a460.jpg","open")</f>
        <v/>
      </c>
      <c r="C7168" t="inlineStr">
        <is>
          <t>8cde1fd0-eca1-4510-86ab-3c743b65fdfc</t>
        </is>
      </c>
      <c r="D7168" t="n">
        <v>55.79755</v>
      </c>
      <c r="E7168" t="n">
        <v>37.54006</v>
      </c>
      <c r="F7168" t="inlineStr"/>
      <c r="G7168" t="inlineStr"/>
      <c r="H7168" t="inlineStr"/>
    </row>
    <row r="7169">
      <c r="A7169" t="inlineStr">
        <is>
          <t>847aa202-f7e5-4420-b558-789f4f3d224b.jpg</t>
        </is>
      </c>
      <c r="B7169">
        <f>HYPERLINK("Объекты недвижимости, не соответствующие градостроительным нормам_00-022_Август/847aa202-f7e5-4420-b558-789f4f3d224b.jpg","open")</f>
        <v/>
      </c>
      <c r="C7169" t="inlineStr">
        <is>
          <t>caa4772d-6278-4484-a046-ee25514bf521</t>
        </is>
      </c>
      <c r="D7169" t="n">
        <v>55.73374</v>
      </c>
      <c r="E7169" t="n">
        <v>37.73707</v>
      </c>
      <c r="F7169" t="inlineStr"/>
      <c r="G7169" t="inlineStr"/>
      <c r="H7169" t="inlineStr"/>
    </row>
    <row r="7170">
      <c r="A7170" t="inlineStr">
        <is>
          <t>584d2c55-bbee-4813-bf42-ce9f6745c6cf.jpg</t>
        </is>
      </c>
      <c r="B7170">
        <f>HYPERLINK("Объекты недвижимости, не соответствующие градостроительным нормам_00-022_Август/584d2c55-bbee-4813-bf42-ce9f6745c6cf.jpg","open")</f>
        <v/>
      </c>
      <c r="C7170" t="inlineStr">
        <is>
          <t>1c951e11-4940-43c6-a447-394097e5609a</t>
        </is>
      </c>
      <c r="D7170" t="n">
        <v>55.79763</v>
      </c>
      <c r="E7170" t="n">
        <v>37.54017</v>
      </c>
      <c r="F7170" t="inlineStr"/>
      <c r="G7170" t="inlineStr"/>
      <c r="H7170" t="inlineStr"/>
    </row>
    <row r="7171">
      <c r="A7171" t="inlineStr">
        <is>
          <t>ef99ff74-f608-4050-a1d2-076702107c29.jpg</t>
        </is>
      </c>
      <c r="B7171">
        <f>HYPERLINK("Объекты недвижимости, не соответствующие градостроительным нормам_00-022_Август/ef99ff74-f608-4050-a1d2-076702107c29.jpg","open")</f>
        <v/>
      </c>
      <c r="C7171" t="inlineStr">
        <is>
          <t>8cde1fd0-eca1-4510-86ab-3c743b65fdfc</t>
        </is>
      </c>
      <c r="D7171" t="n">
        <v>55.79785</v>
      </c>
      <c r="E7171" t="n">
        <v>37.54042</v>
      </c>
      <c r="F7171" t="inlineStr"/>
      <c r="G7171" t="inlineStr"/>
      <c r="H7171" t="inlineStr"/>
    </row>
    <row r="7172">
      <c r="A7172" t="inlineStr">
        <is>
          <t>02e5fb95-36bf-42ff-a323-d6488550f5aa.jpg</t>
        </is>
      </c>
      <c r="B7172">
        <f>HYPERLINK("Объекты недвижимости, не соответствующие градостроительным нормам_00-022_Август/02e5fb95-36bf-42ff-a323-d6488550f5aa.jpg","open")</f>
        <v/>
      </c>
      <c r="C7172" t="inlineStr">
        <is>
          <t>8cde1fd0-eca1-4510-86ab-3c743b65fdfc</t>
        </is>
      </c>
      <c r="D7172" t="n">
        <v>55.79776</v>
      </c>
      <c r="E7172" t="n">
        <v>37.54031</v>
      </c>
      <c r="F7172" t="inlineStr"/>
      <c r="G7172" t="inlineStr"/>
      <c r="H7172" t="inlineStr"/>
    </row>
    <row r="7173">
      <c r="A7173" t="inlineStr">
        <is>
          <t>0939f365-f504-4a56-b74a-2e0c7c9a3026.jpg</t>
        </is>
      </c>
      <c r="B7173">
        <f>HYPERLINK("Объекты недвижимости, не соответствующие градостроительным нормам_00-022_Август/0939f365-f504-4a56-b74a-2e0c7c9a3026.jpg","open")</f>
        <v/>
      </c>
      <c r="C7173" t="inlineStr">
        <is>
          <t>cbf95b01-f708-45a3-9ec0-3603469b538e</t>
        </is>
      </c>
      <c r="D7173" t="n">
        <v>55.77457</v>
      </c>
      <c r="E7173" t="n">
        <v>37.5896</v>
      </c>
      <c r="F7173" t="inlineStr"/>
      <c r="G7173" t="inlineStr"/>
      <c r="H7173" t="inlineStr"/>
    </row>
    <row r="7174">
      <c r="A7174" t="inlineStr">
        <is>
          <t>5c3adced-8bfd-47f3-baf6-b93afacb07ca.jpg</t>
        </is>
      </c>
      <c r="B7174">
        <f>HYPERLINK("Объекты недвижимости, не соответствующие градостроительным нормам_00-022_Август/5c3adced-8bfd-47f3-baf6-b93afacb07ca.jpg","open")</f>
        <v/>
      </c>
      <c r="C7174" t="inlineStr">
        <is>
          <t>8cde1fd0-eca1-4510-86ab-3c743b65fdfc</t>
        </is>
      </c>
      <c r="D7174" t="n">
        <v>55.7981</v>
      </c>
      <c r="E7174" t="n">
        <v>37.54478</v>
      </c>
      <c r="F7174" t="inlineStr"/>
      <c r="G7174" t="inlineStr"/>
      <c r="H7174" t="inlineStr"/>
    </row>
    <row r="7175">
      <c r="A7175" t="inlineStr">
        <is>
          <t>689da8c1-17ba-40b0-991e-56ddb3910f29.jpg</t>
        </is>
      </c>
      <c r="B7175">
        <f>HYPERLINK("Объекты недвижимости, не соответствующие градостроительным нормам_00-022_Август/689da8c1-17ba-40b0-991e-56ddb3910f29.jpg","open")</f>
        <v/>
      </c>
      <c r="C7175" t="inlineStr">
        <is>
          <t>8cde1fd0-eca1-4510-86ab-3c743b65fdfc</t>
        </is>
      </c>
      <c r="D7175" t="n">
        <v>55.79767</v>
      </c>
      <c r="E7175" t="n">
        <v>37.54013</v>
      </c>
      <c r="F7175" t="inlineStr"/>
      <c r="G7175" t="inlineStr"/>
      <c r="H7175" t="inlineStr"/>
    </row>
    <row r="7176">
      <c r="A7176" t="inlineStr">
        <is>
          <t>e3318c6a-fdef-4b59-9801-a85d964cd45b.jpg</t>
        </is>
      </c>
      <c r="B7176">
        <f>HYPERLINK("Объекты недвижимости, не соответствующие градостроительным нормам_00-022_Август/e3318c6a-fdef-4b59-9801-a85d964cd45b.jpg","open")</f>
        <v/>
      </c>
      <c r="C7176" t="inlineStr">
        <is>
          <t>1c951e11-4940-43c6-a447-394097e5609a</t>
        </is>
      </c>
      <c r="D7176" t="n">
        <v>55.79769</v>
      </c>
      <c r="E7176" t="n">
        <v>37.54016</v>
      </c>
      <c r="F7176" t="inlineStr"/>
      <c r="G7176" t="inlineStr"/>
      <c r="H7176" t="inlineStr"/>
    </row>
    <row r="7177">
      <c r="A7177" t="inlineStr">
        <is>
          <t>9f445d20-8182-46cc-9adf-82c322f867be.jpg</t>
        </is>
      </c>
      <c r="B7177">
        <f>HYPERLINK("Объекты недвижимости, не соответствующие градостроительным нормам_00-022_Август/9f445d20-8182-46cc-9adf-82c322f867be.jpg","open")</f>
        <v/>
      </c>
      <c r="C7177" t="inlineStr">
        <is>
          <t>1c951e11-4940-43c6-a447-394097e5609a</t>
        </is>
      </c>
      <c r="D7177" t="n">
        <v>55.79779</v>
      </c>
      <c r="E7177" t="n">
        <v>37.54031</v>
      </c>
      <c r="F7177" t="inlineStr"/>
      <c r="G7177" t="inlineStr"/>
      <c r="H7177" t="inlineStr"/>
    </row>
    <row r="7178">
      <c r="A7178" t="inlineStr">
        <is>
          <t>17f0b5c2-a72a-4462-ab6c-bda3b5a6b616.jpg</t>
        </is>
      </c>
      <c r="B7178">
        <f>HYPERLINK("Объекты недвижимости, не соответствующие градостроительным нормам_00-022_Август/17f0b5c2-a72a-4462-ab6c-bda3b5a6b616.jpg","open")</f>
        <v/>
      </c>
      <c r="C7178" t="inlineStr">
        <is>
          <t>8cde1fd0-eca1-4510-86ab-3c743b65fdfc</t>
        </is>
      </c>
      <c r="D7178" t="n">
        <v>55.79782</v>
      </c>
      <c r="E7178" t="n">
        <v>37.54037</v>
      </c>
      <c r="F7178" t="inlineStr"/>
      <c r="G7178" t="inlineStr"/>
      <c r="H7178" t="inlineStr"/>
    </row>
    <row r="7179">
      <c r="A7179" t="inlineStr">
        <is>
          <t>71a4eb34-dc2c-4999-a400-f3cdfb8dda99.jpg</t>
        </is>
      </c>
      <c r="B7179">
        <f>HYPERLINK("Объекты недвижимости, не соответствующие градостроительным нормам_00-022_Август/71a4eb34-dc2c-4999-a400-f3cdfb8dda99.jpg","open")</f>
        <v/>
      </c>
      <c r="C7179" t="inlineStr">
        <is>
          <t>8cde1fd0-eca1-4510-86ab-3c743b65fdfc</t>
        </is>
      </c>
      <c r="D7179" t="n">
        <v>55.79775</v>
      </c>
      <c r="E7179" t="n">
        <v>37.54026</v>
      </c>
      <c r="F7179" t="inlineStr"/>
      <c r="G7179" t="inlineStr"/>
      <c r="H7179" t="inlineStr"/>
    </row>
    <row r="7180">
      <c r="A7180" t="inlineStr">
        <is>
          <t>8724b106-6217-4467-81e6-31d7f5822f97.jpg</t>
        </is>
      </c>
      <c r="B7180">
        <f>HYPERLINK("Объекты недвижимости, не соответствующие градостроительным нормам_00-022_Август/8724b106-6217-4467-81e6-31d7f5822f97.jpg","open")</f>
        <v/>
      </c>
      <c r="C7180" t="inlineStr">
        <is>
          <t>cbf95b01-f708-45a3-9ec0-3603469b538e</t>
        </is>
      </c>
      <c r="D7180" t="n">
        <v>55.77521</v>
      </c>
      <c r="E7180" t="n">
        <v>37.58923</v>
      </c>
      <c r="F7180" t="inlineStr"/>
      <c r="G7180" t="inlineStr"/>
      <c r="H7180" t="inlineStr"/>
    </row>
    <row r="7181">
      <c r="A7181" t="inlineStr">
        <is>
          <t>3f39e68a-ebf8-4a3a-b878-e80555831cdd.jpg</t>
        </is>
      </c>
      <c r="B7181">
        <f>HYPERLINK("Объекты недвижимости, не соответствующие градостроительным нормам_00-022_Август/3f39e68a-ebf8-4a3a-b878-e80555831cdd.jpg","open")</f>
        <v/>
      </c>
      <c r="C7181" t="inlineStr">
        <is>
          <t>93848fc8-17e7-4748-9ebc-c7e379e11d2f</t>
        </is>
      </c>
      <c r="D7181" t="n">
        <v>55.6865</v>
      </c>
      <c r="E7181" t="n">
        <v>37.57616</v>
      </c>
      <c r="F7181" t="inlineStr"/>
      <c r="G7181" t="inlineStr"/>
      <c r="H7181" t="inlineStr"/>
    </row>
    <row r="7182">
      <c r="A7182" t="inlineStr">
        <is>
          <t>bcae93af-c79a-4407-9294-6f55aa901b31.jpg</t>
        </is>
      </c>
      <c r="B7182">
        <f>HYPERLINK("Объекты недвижимости, не соответствующие градостроительным нормам_00-022_Август/bcae93af-c79a-4407-9294-6f55aa901b31.jpg","open")</f>
        <v/>
      </c>
      <c r="C7182" t="inlineStr">
        <is>
          <t>8cde1fd0-eca1-4510-86ab-3c743b65fdfc</t>
        </is>
      </c>
      <c r="D7182" t="n">
        <v>55.79539</v>
      </c>
      <c r="E7182" t="n">
        <v>37.54562</v>
      </c>
      <c r="F7182" t="inlineStr"/>
      <c r="G7182" t="inlineStr"/>
      <c r="H7182" t="inlineStr"/>
    </row>
    <row r="7183">
      <c r="A7183" t="inlineStr">
        <is>
          <t>a9033605-c2c7-4193-a03a-8bd01fa7f0e5.jpg</t>
        </is>
      </c>
      <c r="B7183">
        <f>HYPERLINK("Объекты недвижимости, не соответствующие градостроительным нормам_00-022_Август/a9033605-c2c7-4193-a03a-8bd01fa7f0e5.jpg","open")</f>
        <v/>
      </c>
      <c r="C7183" t="inlineStr">
        <is>
          <t>1c951e11-4940-43c6-a447-394097e5609a</t>
        </is>
      </c>
      <c r="D7183" t="n">
        <v>55.79539</v>
      </c>
      <c r="E7183" t="n">
        <v>37.54562</v>
      </c>
      <c r="F7183" t="inlineStr"/>
      <c r="G7183" t="inlineStr"/>
      <c r="H7183" t="inlineStr"/>
    </row>
    <row r="7184">
      <c r="A7184" t="inlineStr">
        <is>
          <t>4f06d663-ba8f-426f-9f1e-335ef9fec769.jpg</t>
        </is>
      </c>
      <c r="B7184">
        <f>HYPERLINK("Объекты недвижимости, не соответствующие градостроительным нормам_00-022_Август/4f06d663-ba8f-426f-9f1e-335ef9fec769.jpg","open")</f>
        <v/>
      </c>
      <c r="C7184" t="inlineStr">
        <is>
          <t>8cde1fd0-eca1-4510-86ab-3c743b65fdfc</t>
        </is>
      </c>
      <c r="D7184" t="n">
        <v>55.79848</v>
      </c>
      <c r="E7184" t="n">
        <v>37.53753</v>
      </c>
      <c r="F7184" t="inlineStr"/>
      <c r="G7184" t="inlineStr"/>
      <c r="H7184" t="inlineStr"/>
    </row>
    <row r="7185">
      <c r="A7185" t="inlineStr">
        <is>
          <t>154ae41a-5f3a-41cc-8121-4e8d7d1f8271.jpg</t>
        </is>
      </c>
      <c r="B7185">
        <f>HYPERLINK("Объекты недвижимости, не соответствующие градостроительным нормам_00-022_Август/154ae41a-5f3a-41cc-8121-4e8d7d1f8271.jpg","open")</f>
        <v/>
      </c>
      <c r="C7185" t="inlineStr">
        <is>
          <t>caa4772d-6278-4484-a046-ee25514bf521</t>
        </is>
      </c>
      <c r="D7185" t="n">
        <v>55.73605</v>
      </c>
      <c r="E7185" t="n">
        <v>37.75966</v>
      </c>
      <c r="F7185" t="inlineStr"/>
      <c r="G7185" t="inlineStr"/>
      <c r="H7185" t="inlineStr"/>
    </row>
    <row r="7186">
      <c r="A7186" t="inlineStr">
        <is>
          <t>40c192b4-25fe-4318-8d76-e4b692b1d464.jpg</t>
        </is>
      </c>
      <c r="B7186">
        <f>HYPERLINK("Объекты недвижимости, не соответствующие градостроительным нормам_00-022_Август/40c192b4-25fe-4318-8d76-e4b692b1d464.jpg","open")</f>
        <v/>
      </c>
      <c r="C7186" t="inlineStr">
        <is>
          <t>f6f80c84-5569-48fd-b627-6f41ce4c61c4</t>
        </is>
      </c>
      <c r="D7186" t="n">
        <v>55.73672</v>
      </c>
      <c r="E7186" t="n">
        <v>37.75118</v>
      </c>
      <c r="F7186" t="inlineStr"/>
      <c r="G7186" t="inlineStr"/>
      <c r="H7186" t="inlineStr"/>
    </row>
    <row r="7187">
      <c r="A7187" t="inlineStr">
        <is>
          <t>be2afb6e-1097-4e5e-a0b0-685edae80a32.jpg</t>
        </is>
      </c>
      <c r="B7187">
        <f>HYPERLINK("Объекты недвижимости, не соответствующие градостроительным нормам_00-022_Август/be2afb6e-1097-4e5e-a0b0-685edae80a32.jpg","open")</f>
        <v/>
      </c>
      <c r="C7187" t="inlineStr">
        <is>
          <t>61936922-4d4b-458e-80ea-6d4c450aa1d5</t>
        </is>
      </c>
      <c r="D7187" t="n">
        <v>55.70877</v>
      </c>
      <c r="E7187" t="n">
        <v>37.48427</v>
      </c>
      <c r="F7187" t="inlineStr"/>
      <c r="G7187" t="inlineStr"/>
      <c r="H7187" t="inlineStr"/>
    </row>
    <row r="7188">
      <c r="A7188" t="inlineStr">
        <is>
          <t>1c74ad7f-3338-4bfd-8bb4-13b1a032c52d.jpg</t>
        </is>
      </c>
      <c r="B7188">
        <f>HYPERLINK("Объекты недвижимости, не соответствующие градостроительным нормам_00-022_Август/1c74ad7f-3338-4bfd-8bb4-13b1a032c52d.jpg","open")</f>
        <v/>
      </c>
      <c r="C7188" t="inlineStr">
        <is>
          <t>99f3abba-c55b-49f0-9de5-9f88e9597cc0</t>
        </is>
      </c>
      <c r="D7188" t="n">
        <v>55.61305</v>
      </c>
      <c r="E7188" t="n">
        <v>37.57853</v>
      </c>
      <c r="F7188" t="inlineStr"/>
      <c r="G7188" t="inlineStr"/>
      <c r="H7188" t="inlineStr"/>
    </row>
    <row r="7189">
      <c r="A7189" t="inlineStr">
        <is>
          <t>2056482e-1a78-463e-946a-2f83d2fa00f5.jpg</t>
        </is>
      </c>
      <c r="B7189">
        <f>HYPERLINK("Объекты недвижимости, не соответствующие градостроительным нормам_00-022_Август/2056482e-1a78-463e-946a-2f83d2fa00f5.jpg","open")</f>
        <v/>
      </c>
      <c r="C7189" t="inlineStr">
        <is>
          <t>8cde1fd0-eca1-4510-86ab-3c743b65fdfc</t>
        </is>
      </c>
      <c r="D7189" t="n">
        <v>55.79895</v>
      </c>
      <c r="E7189" t="n">
        <v>37.53754</v>
      </c>
      <c r="F7189" t="inlineStr"/>
      <c r="G7189" t="inlineStr"/>
      <c r="H7189" t="inlineStr"/>
    </row>
    <row r="7190">
      <c r="A7190" t="inlineStr">
        <is>
          <t>283aeaf1-f7bb-4482-8c0c-20d271067c29.jpg</t>
        </is>
      </c>
      <c r="B7190">
        <f>HYPERLINK("Объекты недвижимости, не соответствующие градостроительным нормам_00-022_Август/283aeaf1-f7bb-4482-8c0c-20d271067c29.jpg","open")</f>
        <v/>
      </c>
      <c r="C7190" t="inlineStr">
        <is>
          <t>caa4772d-6278-4484-a046-ee25514bf521</t>
        </is>
      </c>
      <c r="D7190" t="n">
        <v>55.73463</v>
      </c>
      <c r="E7190" t="n">
        <v>37.74143</v>
      </c>
      <c r="F7190" t="inlineStr"/>
      <c r="G7190" t="inlineStr"/>
      <c r="H7190" t="inlineStr"/>
    </row>
    <row r="7191">
      <c r="A7191" t="inlineStr">
        <is>
          <t>0b5c2812-16d2-44c8-b493-32714a3b4985.jpg</t>
        </is>
      </c>
      <c r="B7191">
        <f>HYPERLINK("Объекты недвижимости, не соответствующие градостроительным нормам_00-022_Август/0b5c2812-16d2-44c8-b493-32714a3b4985.jpg","open")</f>
        <v/>
      </c>
      <c r="C7191" t="inlineStr">
        <is>
          <t>50e4626c-a80e-42ab-b999-b5092c2c063f</t>
        </is>
      </c>
      <c r="D7191" t="n">
        <v>55.6952</v>
      </c>
      <c r="E7191" t="n">
        <v>37.91053</v>
      </c>
      <c r="F7191" t="inlineStr"/>
      <c r="G7191" t="inlineStr"/>
      <c r="H7191" t="inlineStr"/>
    </row>
    <row r="7192">
      <c r="A7192" t="inlineStr">
        <is>
          <t>fafbba23-362e-49c1-9817-5a5e7b33c733.jpg</t>
        </is>
      </c>
      <c r="B7192">
        <f>HYPERLINK("Объекты недвижимости, не соответствующие градостроительным нормам_00-022_Август/fafbba23-362e-49c1-9817-5a5e7b33c733.jpg","open")</f>
        <v/>
      </c>
      <c r="C7192" t="inlineStr">
        <is>
          <t>cbf95b01-f708-45a3-9ec0-3603469b538e</t>
        </is>
      </c>
      <c r="D7192" t="n">
        <v>55.77525</v>
      </c>
      <c r="E7192" t="n">
        <v>37.58916</v>
      </c>
      <c r="F7192" t="inlineStr"/>
      <c r="G7192" t="inlineStr"/>
      <c r="H7192" t="inlineStr"/>
    </row>
    <row r="7193">
      <c r="A7193" t="inlineStr">
        <is>
          <t>dcb306ff-9ffd-4985-8f74-46eab9155ad7.jpg</t>
        </is>
      </c>
      <c r="B7193">
        <f>HYPERLINK("Объекты недвижимости, не соответствующие градостроительным нормам_00-022_Август/dcb306ff-9ffd-4985-8f74-46eab9155ad7.jpg","open")</f>
        <v/>
      </c>
      <c r="C7193" t="inlineStr">
        <is>
          <t>cbf95b01-f708-45a3-9ec0-3603469b538e</t>
        </is>
      </c>
      <c r="D7193" t="n">
        <v>55.77525</v>
      </c>
      <c r="E7193" t="n">
        <v>37.58916</v>
      </c>
      <c r="F7193" t="inlineStr"/>
      <c r="G7193" t="inlineStr"/>
      <c r="H7193" t="inlineStr"/>
    </row>
    <row r="7194">
      <c r="A7194" t="inlineStr">
        <is>
          <t>f0a0e830-304e-4b58-85f2-5f8eff9c2e6e.jpg</t>
        </is>
      </c>
      <c r="B7194">
        <f>HYPERLINK("Объекты недвижимости, не соответствующие градостроительным нормам_00-022_Август/f0a0e830-304e-4b58-85f2-5f8eff9c2e6e.jpg","open")</f>
        <v/>
      </c>
      <c r="C7194" t="inlineStr">
        <is>
          <t>f20fbc2b-b369-4734-bb66-92af02fbb0d1</t>
        </is>
      </c>
      <c r="D7194" t="n">
        <v>55.6963</v>
      </c>
      <c r="E7194" t="n">
        <v>37.82172</v>
      </c>
      <c r="F7194" t="inlineStr"/>
      <c r="G7194" t="inlineStr"/>
      <c r="H7194" t="inlineStr"/>
    </row>
    <row r="7195">
      <c r="A7195" t="inlineStr">
        <is>
          <t>0e0445e2-7454-413c-bc5e-908a6409ff1d.jpg</t>
        </is>
      </c>
      <c r="B7195">
        <f>HYPERLINK("Объекты недвижимости, не соответствующие градостроительным нормам_00-022_Август/0e0445e2-7454-413c-bc5e-908a6409ff1d.jpg","open")</f>
        <v/>
      </c>
      <c r="C7195" t="inlineStr">
        <is>
          <t>a1a9db89-3f74-42ef-8fad-ad69705102cd</t>
        </is>
      </c>
      <c r="D7195" t="n">
        <v>55.77525</v>
      </c>
      <c r="E7195" t="n">
        <v>37.58916</v>
      </c>
      <c r="F7195" t="inlineStr"/>
      <c r="G7195" t="inlineStr"/>
      <c r="H7195" t="inlineStr"/>
    </row>
    <row r="7196">
      <c r="A7196" t="inlineStr">
        <is>
          <t>1f25b8ef-5b78-4f30-909c-518fcc94da21.jpg</t>
        </is>
      </c>
      <c r="B7196">
        <f>HYPERLINK("Объекты недвижимости, не соответствующие градостроительным нормам_00-022_Август/1f25b8ef-5b78-4f30-909c-518fcc94da21.jpg","open")</f>
        <v/>
      </c>
      <c r="C7196" t="inlineStr">
        <is>
          <t>cbf95b01-f708-45a3-9ec0-3603469b538e</t>
        </is>
      </c>
      <c r="D7196" t="n">
        <v>55.77525</v>
      </c>
      <c r="E7196" t="n">
        <v>37.58916</v>
      </c>
      <c r="F7196" t="inlineStr"/>
      <c r="G7196" t="inlineStr"/>
      <c r="H7196" t="inlineStr"/>
    </row>
    <row r="7197">
      <c r="A7197" t="inlineStr">
        <is>
          <t>246d7b4f-e4d9-4d7e-99b7-06a21610bca0.jpg</t>
        </is>
      </c>
      <c r="B7197">
        <f>HYPERLINK("Объекты недвижимости, не соответствующие градостроительным нормам_00-022_Август/246d7b4f-e4d9-4d7e-99b7-06a21610bca0.jpg","open")</f>
        <v/>
      </c>
      <c r="C7197" t="inlineStr">
        <is>
          <t>6e2567a0-1fb9-40d5-a0e7-0adb480d2965</t>
        </is>
      </c>
      <c r="D7197" t="n">
        <v>55.62607</v>
      </c>
      <c r="E7197" t="n">
        <v>37.67855</v>
      </c>
      <c r="F7197" t="inlineStr"/>
      <c r="G7197" t="inlineStr"/>
      <c r="H7197" t="inlineStr"/>
    </row>
    <row r="7198">
      <c r="A7198" t="inlineStr">
        <is>
          <t>d706e77b-41d0-4151-9a47-2dc984491979.jpg</t>
        </is>
      </c>
      <c r="B7198">
        <f>HYPERLINK("Объекты недвижимости, не соответствующие градостроительным нормам_00-022_Август/d706e77b-41d0-4151-9a47-2dc984491979.jpg","open")</f>
        <v/>
      </c>
      <c r="C7198" t="inlineStr">
        <is>
          <t>052a5a2b-f222-4b50-b2cc-21612f1f234a</t>
        </is>
      </c>
      <c r="D7198" t="n">
        <v>55.75049</v>
      </c>
      <c r="E7198" t="n">
        <v>37.40905</v>
      </c>
      <c r="F7198" t="inlineStr"/>
      <c r="G7198" t="inlineStr"/>
      <c r="H7198" t="inlineStr"/>
    </row>
    <row r="7199">
      <c r="A7199" t="inlineStr">
        <is>
          <t>0b4e01c4-9051-4dcb-b7cb-85d06a9b7127.jpg</t>
        </is>
      </c>
      <c r="B7199">
        <f>HYPERLINK("Объекты недвижимости, не соответствующие градостроительным нормам_00-022_Август/0b4e01c4-9051-4dcb-b7cb-85d06a9b7127.jpg","open")</f>
        <v/>
      </c>
      <c r="C7199" t="inlineStr">
        <is>
          <t>052a5a2b-f222-4b50-b2cc-21612f1f234a</t>
        </is>
      </c>
      <c r="D7199" t="n">
        <v>55.75049</v>
      </c>
      <c r="E7199" t="n">
        <v>37.40905</v>
      </c>
      <c r="F7199" t="inlineStr"/>
      <c r="G7199" t="inlineStr"/>
      <c r="H7199" t="inlineStr"/>
    </row>
    <row r="7200">
      <c r="A7200" t="inlineStr">
        <is>
          <t>ccff4f35-2eb0-482e-a8c3-ee15421b7b40.jpg</t>
        </is>
      </c>
      <c r="B7200">
        <f>HYPERLINK("Объекты недвижимости, не соответствующие градостроительным нормам_00-022_Август/ccff4f35-2eb0-482e-a8c3-ee15421b7b40.jpg","open")</f>
        <v/>
      </c>
      <c r="C7200" t="inlineStr">
        <is>
          <t>ed2bf0f1-3a66-4913-896e-4420a9796c0b</t>
        </is>
      </c>
      <c r="D7200" t="n">
        <v>55.34288</v>
      </c>
      <c r="E7200" t="n">
        <v>37.17863</v>
      </c>
      <c r="F7200" t="inlineStr"/>
      <c r="G7200" t="inlineStr"/>
      <c r="H7200" t="inlineStr"/>
    </row>
    <row r="7201">
      <c r="A7201" t="inlineStr">
        <is>
          <t>649f4c1f-4ee1-43d2-af4e-0494b661a133.jpg</t>
        </is>
      </c>
      <c r="B7201">
        <f>HYPERLINK("Объекты недвижимости, не соответствующие градостроительным нормам_00-022_Август/649f4c1f-4ee1-43d2-af4e-0494b661a133.jpg","open")</f>
        <v/>
      </c>
      <c r="C7201" t="inlineStr">
        <is>
          <t>f60286ac-55e7-4099-85bd-cc599a7a0c65</t>
        </is>
      </c>
      <c r="D7201" t="n">
        <v>55.76212</v>
      </c>
      <c r="E7201" t="n">
        <v>37.78588</v>
      </c>
      <c r="F7201" t="inlineStr"/>
      <c r="G7201" t="inlineStr"/>
      <c r="H7201" t="inlineStr"/>
    </row>
    <row r="7202">
      <c r="A7202" t="inlineStr">
        <is>
          <t>5ae43186-3ebe-499d-a8a7-8bb06a921c21.jpg</t>
        </is>
      </c>
      <c r="B7202">
        <f>HYPERLINK("Объекты недвижимости, не соответствующие градостроительным нормам_00-022_Август/5ae43186-3ebe-499d-a8a7-8bb06a921c21.jpg","open")</f>
        <v/>
      </c>
      <c r="C7202" t="inlineStr">
        <is>
          <t>1c951e11-4940-43c6-a447-394097e5609a</t>
        </is>
      </c>
      <c r="D7202" t="n">
        <v>55.80112</v>
      </c>
      <c r="E7202" t="n">
        <v>37.53389</v>
      </c>
      <c r="F7202" t="inlineStr"/>
      <c r="G7202" t="inlineStr"/>
      <c r="H7202" t="inlineStr"/>
    </row>
    <row r="7203">
      <c r="A7203" t="inlineStr">
        <is>
          <t>f7c1aa68-fd87-4d67-ac9e-bc556ba6cccd.jpg</t>
        </is>
      </c>
      <c r="B7203">
        <f>HYPERLINK("Объекты недвижимости, не соответствующие градостроительным нормам_00-022_Август/f7c1aa68-fd87-4d67-ac9e-bc556ba6cccd.jpg","open")</f>
        <v/>
      </c>
      <c r="C7203" t="inlineStr">
        <is>
          <t>8cde1fd0-eca1-4510-86ab-3c743b65fdfc</t>
        </is>
      </c>
      <c r="D7203" t="n">
        <v>55.80112</v>
      </c>
      <c r="E7203" t="n">
        <v>37.53389</v>
      </c>
      <c r="F7203" t="inlineStr"/>
      <c r="G7203" t="inlineStr"/>
      <c r="H7203" t="inlineStr"/>
    </row>
    <row r="7204">
      <c r="A7204" t="inlineStr">
        <is>
          <t>a948bcbb-a6ef-4a87-980e-67b8f1ec28f6.jpg</t>
        </is>
      </c>
      <c r="B7204">
        <f>HYPERLINK("Объекты недвижимости, не соответствующие градостроительным нормам_00-022_Август/a948bcbb-a6ef-4a87-980e-67b8f1ec28f6.jpg","open")</f>
        <v/>
      </c>
      <c r="C7204" t="inlineStr">
        <is>
          <t>ed2bf0f1-3a66-4913-896e-4420a9796c0b</t>
        </is>
      </c>
      <c r="D7204" t="n">
        <v>55.34239</v>
      </c>
      <c r="E7204" t="n">
        <v>37.17815</v>
      </c>
      <c r="F7204" t="inlineStr"/>
      <c r="G7204" t="inlineStr"/>
      <c r="H7204" t="inlineStr"/>
    </row>
    <row r="7205">
      <c r="A7205" t="inlineStr">
        <is>
          <t>40ec7511-2455-47a5-b420-a7af962b6e18.jpg</t>
        </is>
      </c>
      <c r="B7205">
        <f>HYPERLINK("Объекты недвижимости, не соответствующие градостроительным нормам_00-022_Август/40ec7511-2455-47a5-b420-a7af962b6e18.jpg","open")</f>
        <v/>
      </c>
      <c r="C7205" t="inlineStr">
        <is>
          <t>685d9054-b74f-49ab-857b-109fd2cec80d</t>
        </is>
      </c>
      <c r="D7205" t="n">
        <v>55.55105</v>
      </c>
      <c r="E7205" t="n">
        <v>37.57068</v>
      </c>
      <c r="F7205" t="inlineStr"/>
      <c r="G7205" t="inlineStr"/>
      <c r="H7205" t="inlineStr"/>
    </row>
    <row r="7206">
      <c r="A7206" t="inlineStr">
        <is>
          <t>2b7624e8-a114-4ee5-a81f-b0183211e601.jpg</t>
        </is>
      </c>
      <c r="B7206">
        <f>HYPERLINK("Объекты недвижимости, не соответствующие градостроительным нормам_00-022_Август/2b7624e8-a114-4ee5-a81f-b0183211e601.jpg","open")</f>
        <v/>
      </c>
      <c r="C7206" t="inlineStr">
        <is>
          <t>685d9054-b74f-49ab-857b-109fd2cec80d</t>
        </is>
      </c>
      <c r="D7206" t="n">
        <v>55.5514</v>
      </c>
      <c r="E7206" t="n">
        <v>37.57107</v>
      </c>
      <c r="F7206" t="inlineStr"/>
      <c r="G7206" t="inlineStr"/>
      <c r="H7206" t="inlineStr"/>
    </row>
    <row r="7207">
      <c r="A7207" t="inlineStr">
        <is>
          <t>f3905437-bb8e-4546-8dca-138956a57e74.jpg</t>
        </is>
      </c>
      <c r="B7207">
        <f>HYPERLINK("Объекты недвижимости, не соответствующие градостроительным нормам_00-022_Август/f3905437-bb8e-4546-8dca-138956a57e74.jpg","open")</f>
        <v/>
      </c>
      <c r="C7207" t="inlineStr">
        <is>
          <t>1231bbc5-e64c-4dc7-9acc-77710f47607a</t>
        </is>
      </c>
      <c r="D7207" t="n">
        <v>55.5514</v>
      </c>
      <c r="E7207" t="n">
        <v>37.57109</v>
      </c>
      <c r="F7207" t="inlineStr"/>
      <c r="G7207" t="inlineStr"/>
      <c r="H7207" t="inlineStr"/>
    </row>
    <row r="7208">
      <c r="A7208" t="inlineStr">
        <is>
          <t>41ea9206-ec89-4252-8d74-4cb2113e0a37.jpg</t>
        </is>
      </c>
      <c r="B7208">
        <f>HYPERLINK("Объекты недвижимости, не соответствующие градостроительным нормам_00-022_Август/41ea9206-ec89-4252-8d74-4cb2113e0a37.jpg","open")</f>
        <v/>
      </c>
      <c r="C7208" t="inlineStr">
        <is>
          <t>a1a9db89-3f74-42ef-8fad-ad69705102cd</t>
        </is>
      </c>
      <c r="D7208" t="n">
        <v>55.77525</v>
      </c>
      <c r="E7208" t="n">
        <v>37.58916</v>
      </c>
      <c r="F7208" t="inlineStr"/>
      <c r="G7208" t="inlineStr"/>
      <c r="H7208" t="inlineStr"/>
    </row>
    <row r="7209">
      <c r="A7209" t="inlineStr">
        <is>
          <t>13b0d231-babb-4779-9b0a-9024bcd2807f.jpg</t>
        </is>
      </c>
      <c r="B7209">
        <f>HYPERLINK("Объекты недвижимости, не соответствующие градостроительным нормам_00-022_Август/13b0d231-babb-4779-9b0a-9024bcd2807f.jpg","open")</f>
        <v/>
      </c>
      <c r="C7209" t="inlineStr">
        <is>
          <t>cbf95b01-f708-45a3-9ec0-3603469b538e</t>
        </is>
      </c>
      <c r="D7209" t="n">
        <v>55.77525</v>
      </c>
      <c r="E7209" t="n">
        <v>37.58916</v>
      </c>
      <c r="F7209" t="inlineStr"/>
      <c r="G7209" t="inlineStr"/>
      <c r="H7209" t="inlineStr"/>
    </row>
    <row r="7210">
      <c r="A7210" t="inlineStr">
        <is>
          <t>fbad7bbc-39f7-4cd1-b836-2afb6f972f3e.jpg</t>
        </is>
      </c>
      <c r="B7210">
        <f>HYPERLINK("Объекты недвижимости, не соответствующие градостроительным нормам_00-022_Август/fbad7bbc-39f7-4cd1-b836-2afb6f972f3e.jpg","open")</f>
        <v/>
      </c>
      <c r="C7210" t="inlineStr">
        <is>
          <t>5adecbcf-6742-48b8-951f-8e3abc9509e4</t>
        </is>
      </c>
      <c r="D7210" t="n">
        <v>55.73069</v>
      </c>
      <c r="E7210" t="n">
        <v>37.67373</v>
      </c>
      <c r="F7210" t="inlineStr"/>
      <c r="G7210" t="inlineStr"/>
      <c r="H7210" t="inlineStr"/>
    </row>
    <row r="7211">
      <c r="A7211" t="inlineStr">
        <is>
          <t>ec4e0fe1-7364-4453-a013-8744611e7a82.jpg</t>
        </is>
      </c>
      <c r="B7211">
        <f>HYPERLINK("Объекты недвижимости, не соответствующие градостроительным нормам_00-022_Август/ec4e0fe1-7364-4453-a013-8744611e7a82.jpg","open")</f>
        <v/>
      </c>
      <c r="C7211" t="inlineStr">
        <is>
          <t>cbf95b01-f708-45a3-9ec0-3603469b538e</t>
        </is>
      </c>
      <c r="D7211" t="n">
        <v>55.77525</v>
      </c>
      <c r="E7211" t="n">
        <v>37.58916</v>
      </c>
      <c r="F7211" t="inlineStr"/>
      <c r="G7211" t="inlineStr"/>
      <c r="H7211" t="inlineStr"/>
    </row>
    <row r="7212">
      <c r="A7212" t="inlineStr">
        <is>
          <t>81fb32e0-2118-4700-b795-b4a7a1f5d23c.jpg</t>
        </is>
      </c>
      <c r="B7212">
        <f>HYPERLINK("Объекты недвижимости, не соответствующие градостроительным нормам_00-022_Август/81fb32e0-2118-4700-b795-b4a7a1f5d23c.jpg","open")</f>
        <v/>
      </c>
      <c r="C7212" t="inlineStr">
        <is>
          <t>cbf95b01-f708-45a3-9ec0-3603469b538e</t>
        </is>
      </c>
      <c r="D7212" t="n">
        <v>55.77525</v>
      </c>
      <c r="E7212" t="n">
        <v>37.58916</v>
      </c>
      <c r="F7212" t="inlineStr"/>
      <c r="G7212" t="inlineStr"/>
      <c r="H7212" t="inlineStr"/>
    </row>
    <row r="7213">
      <c r="A7213" t="inlineStr">
        <is>
          <t>bdac240c-8ec1-45f3-8618-5ded7fc386a2.jpg</t>
        </is>
      </c>
      <c r="B7213">
        <f>HYPERLINK("Объекты недвижимости, не соответствующие градостроительным нормам_00-022_Август/bdac240c-8ec1-45f3-8618-5ded7fc386a2.jpg","open")</f>
        <v/>
      </c>
      <c r="C7213" t="inlineStr">
        <is>
          <t>5adecbcf-6742-48b8-951f-8e3abc9509e4</t>
        </is>
      </c>
      <c r="D7213" t="n">
        <v>55.73069</v>
      </c>
      <c r="E7213" t="n">
        <v>37.67373</v>
      </c>
      <c r="F7213" t="inlineStr"/>
      <c r="G7213" t="inlineStr"/>
      <c r="H7213" t="inlineStr"/>
    </row>
    <row r="7214">
      <c r="A7214" t="inlineStr">
        <is>
          <t>4e08af8e-33d2-42f4-8342-6e7bb2cb6cd6.jpg</t>
        </is>
      </c>
      <c r="B7214">
        <f>HYPERLINK("Объекты недвижимости, не соответствующие градостроительным нормам_00-022_Август/4e08af8e-33d2-42f4-8342-6e7bb2cb6cd6.jpg","open")</f>
        <v/>
      </c>
      <c r="C7214" t="inlineStr">
        <is>
          <t>a1a9db89-3f74-42ef-8fad-ad69705102cd</t>
        </is>
      </c>
      <c r="D7214" t="n">
        <v>55.77525</v>
      </c>
      <c r="E7214" t="n">
        <v>37.58916</v>
      </c>
      <c r="F7214" t="inlineStr"/>
      <c r="G7214" t="inlineStr"/>
      <c r="H7214" t="inlineStr"/>
    </row>
    <row r="7215">
      <c r="A7215" t="inlineStr">
        <is>
          <t>1aa82da9-8951-49bc-b02f-ec34953261ce.jpg</t>
        </is>
      </c>
      <c r="B7215">
        <f>HYPERLINK("Объекты недвижимости, не соответствующие градостроительным нормам_00-022_Август/1aa82da9-8951-49bc-b02f-ec34953261ce.jpg","open")</f>
        <v/>
      </c>
      <c r="C7215" t="inlineStr">
        <is>
          <t>cbf95b01-f708-45a3-9ec0-3603469b538e</t>
        </is>
      </c>
      <c r="D7215" t="n">
        <v>55.77525</v>
      </c>
      <c r="E7215" t="n">
        <v>37.58916</v>
      </c>
      <c r="F7215" t="inlineStr"/>
      <c r="G7215" t="inlineStr"/>
      <c r="H7215" t="inlineStr"/>
    </row>
    <row r="7216">
      <c r="A7216" t="inlineStr">
        <is>
          <t>c3e8504f-e650-405a-b533-1a14134e58cd.jpg</t>
        </is>
      </c>
      <c r="B7216">
        <f>HYPERLINK("Объекты недвижимости, не соответствующие градостроительным нормам_00-022_Август/c3e8504f-e650-405a-b533-1a14134e58cd.jpg","open")</f>
        <v/>
      </c>
      <c r="C7216" t="inlineStr">
        <is>
          <t>cbf95b01-f708-45a3-9ec0-3603469b538e</t>
        </is>
      </c>
      <c r="D7216" t="n">
        <v>55.77525</v>
      </c>
      <c r="E7216" t="n">
        <v>37.58916</v>
      </c>
      <c r="F7216" t="inlineStr"/>
      <c r="G7216" t="inlineStr"/>
      <c r="H7216" t="inlineStr"/>
    </row>
    <row r="7217">
      <c r="A7217" t="inlineStr">
        <is>
          <t>6cac16d3-311d-45f9-b833-22c8f8d7a0a6.jpg</t>
        </is>
      </c>
      <c r="B7217">
        <f>HYPERLINK("Объекты недвижимости, не соответствующие градостроительным нормам_00-022_Август/6cac16d3-311d-45f9-b833-22c8f8d7a0a6.jpg","open")</f>
        <v/>
      </c>
      <c r="C7217" t="inlineStr">
        <is>
          <t>a1a9db89-3f74-42ef-8fad-ad69705102cd</t>
        </is>
      </c>
      <c r="D7217" t="n">
        <v>55.77525</v>
      </c>
      <c r="E7217" t="n">
        <v>37.58916</v>
      </c>
      <c r="F7217" t="inlineStr"/>
      <c r="G7217" t="inlineStr"/>
      <c r="H7217" t="inlineStr"/>
    </row>
    <row r="7218">
      <c r="A7218" t="inlineStr">
        <is>
          <t>f27b1c66-33e1-44a3-90eb-779029001d73.jpg</t>
        </is>
      </c>
      <c r="B7218">
        <f>HYPERLINK("Объекты недвижимости, не соответствующие градостроительным нормам_00-022_Август/f27b1c66-33e1-44a3-90eb-779029001d73.jpg","open")</f>
        <v/>
      </c>
      <c r="C7218" t="inlineStr">
        <is>
          <t>cbf95b01-f708-45a3-9ec0-3603469b538e</t>
        </is>
      </c>
      <c r="D7218" t="n">
        <v>55.77525</v>
      </c>
      <c r="E7218" t="n">
        <v>37.58916</v>
      </c>
      <c r="F7218" t="inlineStr"/>
      <c r="G7218" t="inlineStr"/>
      <c r="H7218" t="inlineStr"/>
    </row>
    <row r="7219">
      <c r="A7219" t="inlineStr">
        <is>
          <t>2020cfb5-df5f-484f-aa27-ce94fbe5b061.jpg</t>
        </is>
      </c>
      <c r="B7219">
        <f>HYPERLINK("Объекты недвижимости, не соответствующие градостроительным нормам_00-022_Август/2020cfb5-df5f-484f-aa27-ce94fbe5b061.jpg","open")</f>
        <v/>
      </c>
      <c r="C7219" t="inlineStr">
        <is>
          <t>cbf95b01-f708-45a3-9ec0-3603469b538e</t>
        </is>
      </c>
      <c r="D7219" t="n">
        <v>55.77525</v>
      </c>
      <c r="E7219" t="n">
        <v>37.58916</v>
      </c>
      <c r="F7219" t="inlineStr"/>
      <c r="G7219" t="inlineStr"/>
      <c r="H7219" t="inlineStr"/>
    </row>
    <row r="7220">
      <c r="A7220" t="inlineStr">
        <is>
          <t>90910045-0525-4772-b321-38ac0dfdfd68.jpg</t>
        </is>
      </c>
      <c r="B7220">
        <f>HYPERLINK("Объекты недвижимости, не соответствующие градостроительным нормам_00-022_Август/90910045-0525-4772-b321-38ac0dfdfd68.jpg","open")</f>
        <v/>
      </c>
      <c r="C7220" t="inlineStr">
        <is>
          <t>1231bbc5-e64c-4dc7-9acc-77710f47607a</t>
        </is>
      </c>
      <c r="D7220" t="n">
        <v>55.55146</v>
      </c>
      <c r="E7220" t="n">
        <v>37.57141</v>
      </c>
      <c r="F7220" t="inlineStr"/>
      <c r="G7220" t="inlineStr"/>
      <c r="H7220" t="inlineStr"/>
    </row>
    <row r="7221">
      <c r="A7221" t="inlineStr">
        <is>
          <t>766ecc14-30aa-47f1-9c79-566d761008d4.jpg</t>
        </is>
      </c>
      <c r="B7221">
        <f>HYPERLINK("Объекты недвижимости, не соответствующие градостроительным нормам_00-022_Август/766ecc14-30aa-47f1-9c79-566d761008d4.jpg","open")</f>
        <v/>
      </c>
      <c r="C7221" t="inlineStr">
        <is>
          <t>cbf95b01-f708-45a3-9ec0-3603469b538e</t>
        </is>
      </c>
      <c r="D7221" t="n">
        <v>55.77525</v>
      </c>
      <c r="E7221" t="n">
        <v>37.58916</v>
      </c>
      <c r="F7221" t="inlineStr"/>
      <c r="G7221" t="inlineStr"/>
      <c r="H7221" t="inlineStr"/>
    </row>
    <row r="7222">
      <c r="A7222" t="inlineStr">
        <is>
          <t>e62156ee-e5b8-4ceb-bbd8-653599589686.jpg</t>
        </is>
      </c>
      <c r="B7222">
        <f>HYPERLINK("Объекты недвижимости, не соответствующие градостроительным нормам_00-022_Август/e62156ee-e5b8-4ceb-bbd8-653599589686.jpg","open")</f>
        <v/>
      </c>
      <c r="C7222" t="inlineStr">
        <is>
          <t>cbf95b01-f708-45a3-9ec0-3603469b538e</t>
        </is>
      </c>
      <c r="D7222" t="n">
        <v>55.77525</v>
      </c>
      <c r="E7222" t="n">
        <v>37.58916</v>
      </c>
      <c r="F7222" t="inlineStr"/>
      <c r="G7222" t="inlineStr"/>
      <c r="H7222" t="inlineStr"/>
    </row>
    <row r="7223">
      <c r="A7223" t="inlineStr">
        <is>
          <t>63399704-0397-4d5b-aa44-cb5878119432.jpg</t>
        </is>
      </c>
      <c r="B7223">
        <f>HYPERLINK("Объекты недвижимости, не соответствующие градостроительным нормам_00-022_Август/63399704-0397-4d5b-aa44-cb5878119432.jpg","open")</f>
        <v/>
      </c>
      <c r="C7223" t="inlineStr">
        <is>
          <t>ffd931da-542f-43e9-979f-5552b17fe3dc</t>
        </is>
      </c>
      <c r="D7223" t="n">
        <v>55.76428</v>
      </c>
      <c r="E7223" t="n">
        <v>37.7864</v>
      </c>
      <c r="F7223" t="inlineStr"/>
      <c r="G7223" t="inlineStr"/>
      <c r="H7223" t="inlineStr"/>
    </row>
    <row r="7224">
      <c r="A7224" t="inlineStr">
        <is>
          <t>c2f36455-e180-4b8c-8e0c-4c1c0eb43259.jpg</t>
        </is>
      </c>
      <c r="B7224">
        <f>HYPERLINK("Объекты недвижимости, не соответствующие градостроительным нормам_00-022_Август/c2f36455-e180-4b8c-8e0c-4c1c0eb43259.jpg","open")</f>
        <v/>
      </c>
      <c r="C7224" t="inlineStr">
        <is>
          <t>685d9054-b74f-49ab-857b-109fd2cec80d</t>
        </is>
      </c>
      <c r="D7224" t="n">
        <v>55.55144</v>
      </c>
      <c r="E7224" t="n">
        <v>37.57146</v>
      </c>
      <c r="F7224" t="inlineStr"/>
      <c r="G7224" t="inlineStr"/>
      <c r="H7224" t="inlineStr"/>
    </row>
    <row r="7225">
      <c r="A7225" t="inlineStr">
        <is>
          <t>77334cd2-515a-4b51-8448-0cd0d15f88b1.jpg</t>
        </is>
      </c>
      <c r="B7225">
        <f>HYPERLINK("Объекты недвижимости, не соответствующие градостроительным нормам_00-022_Август/77334cd2-515a-4b51-8448-0cd0d15f88b1.jpg","open")</f>
        <v/>
      </c>
      <c r="C7225" t="inlineStr">
        <is>
          <t>1231bbc5-e64c-4dc7-9acc-77710f47607a</t>
        </is>
      </c>
      <c r="D7225" t="n">
        <v>55.55144</v>
      </c>
      <c r="E7225" t="n">
        <v>37.57146</v>
      </c>
      <c r="F7225" t="inlineStr"/>
      <c r="G7225" t="inlineStr"/>
      <c r="H7225" t="inlineStr"/>
    </row>
    <row r="7226">
      <c r="A7226" t="inlineStr">
        <is>
          <t>be248e57-9424-400e-8d63-ce6ae0f85ae7.jpg</t>
        </is>
      </c>
      <c r="B7226">
        <f>HYPERLINK("Объекты недвижимости, не соответствующие градостроительным нормам_00-022_Август/be248e57-9424-400e-8d63-ce6ae0f85ae7.jpg","open")</f>
        <v/>
      </c>
      <c r="C7226" t="inlineStr">
        <is>
          <t>caa4772d-6278-4484-a046-ee25514bf521</t>
        </is>
      </c>
      <c r="D7226" t="n">
        <v>55.73701</v>
      </c>
      <c r="E7226" t="n">
        <v>37.75056</v>
      </c>
      <c r="F7226" t="inlineStr"/>
      <c r="G7226" t="inlineStr"/>
      <c r="H7226" t="inlineStr"/>
    </row>
    <row r="7227">
      <c r="A7227" t="inlineStr">
        <is>
          <t>5f8f9442-bdae-482a-8c04-3de0937535f3.jpg</t>
        </is>
      </c>
      <c r="B7227">
        <f>HYPERLINK("Объекты недвижимости, не соответствующие градостроительным нормам_00-022_Август/5f8f9442-bdae-482a-8c04-3de0937535f3.jpg","open")</f>
        <v/>
      </c>
      <c r="C7227" t="inlineStr">
        <is>
          <t>cbf95b01-f708-45a3-9ec0-3603469b538e</t>
        </is>
      </c>
      <c r="D7227" t="n">
        <v>55.77525</v>
      </c>
      <c r="E7227" t="n">
        <v>37.58916</v>
      </c>
      <c r="F7227" t="inlineStr"/>
      <c r="G7227" t="inlineStr"/>
      <c r="H7227" t="inlineStr"/>
    </row>
    <row r="7228">
      <c r="A7228" t="inlineStr">
        <is>
          <t>f9d9f7fe-58e2-456d-b447-ecf9c170baab.jpg</t>
        </is>
      </c>
      <c r="B7228">
        <f>HYPERLINK("Объекты недвижимости, не соответствующие градостроительным нормам_00-022_Август/f9d9f7fe-58e2-456d-b447-ecf9c170baab.jpg","open")</f>
        <v/>
      </c>
      <c r="C7228" t="inlineStr">
        <is>
          <t>f6f80c84-5569-48fd-b627-6f41ce4c61c4</t>
        </is>
      </c>
      <c r="D7228" t="n">
        <v>55.73682</v>
      </c>
      <c r="E7228" t="n">
        <v>37.7507</v>
      </c>
      <c r="F7228" t="inlineStr"/>
      <c r="G7228" t="inlineStr"/>
      <c r="H7228" t="inlineStr"/>
    </row>
    <row r="7229">
      <c r="A7229" t="inlineStr">
        <is>
          <t>d775a256-4371-4794-a0c5-594072873611.jpg</t>
        </is>
      </c>
      <c r="B7229">
        <f>HYPERLINK("Объекты недвижимости, не соответствующие градостроительным нормам_00-022_Август/d775a256-4371-4794-a0c5-594072873611.jpg","open")</f>
        <v/>
      </c>
      <c r="C7229" t="inlineStr">
        <is>
          <t>cbf95b01-f708-45a3-9ec0-3603469b538e</t>
        </is>
      </c>
      <c r="D7229" t="n">
        <v>55.77525</v>
      </c>
      <c r="E7229" t="n">
        <v>37.58916</v>
      </c>
      <c r="F7229" t="inlineStr"/>
      <c r="G7229" t="inlineStr"/>
      <c r="H7229" t="inlineStr"/>
    </row>
    <row r="7230">
      <c r="A7230" t="inlineStr">
        <is>
          <t>86c8b2cd-5e6c-4087-95ca-3b8abe70db5e.jpg</t>
        </is>
      </c>
      <c r="B7230">
        <f>HYPERLINK("Объекты недвижимости, не соответствующие градостроительным нормам_00-022_Август/86c8b2cd-5e6c-4087-95ca-3b8abe70db5e.jpg","open")</f>
        <v/>
      </c>
      <c r="C7230" t="inlineStr">
        <is>
          <t>cbf95b01-f708-45a3-9ec0-3603469b538e</t>
        </is>
      </c>
      <c r="D7230" t="n">
        <v>55.77525</v>
      </c>
      <c r="E7230" t="n">
        <v>37.58916</v>
      </c>
      <c r="F7230" t="inlineStr"/>
      <c r="G7230" t="inlineStr"/>
      <c r="H7230" t="inlineStr"/>
    </row>
    <row r="7231">
      <c r="A7231" t="inlineStr">
        <is>
          <t>0fe19359-2513-4db1-b581-4701ea983052.jpg</t>
        </is>
      </c>
      <c r="B7231">
        <f>HYPERLINK("Объекты недвижимости, не соответствующие градостроительным нормам_00-022_Август/0fe19359-2513-4db1-b581-4701ea983052.jpg","open")</f>
        <v/>
      </c>
      <c r="C7231" t="inlineStr">
        <is>
          <t>a1a9db89-3f74-42ef-8fad-ad69705102cd</t>
        </is>
      </c>
      <c r="D7231" t="n">
        <v>55.77525</v>
      </c>
      <c r="E7231" t="n">
        <v>37.58916</v>
      </c>
      <c r="F7231" t="inlineStr"/>
      <c r="G7231" t="inlineStr"/>
      <c r="H7231" t="inlineStr"/>
    </row>
    <row r="7232">
      <c r="A7232" t="inlineStr">
        <is>
          <t>f6360f68-723d-4aa9-9c4f-8180e527d57d.jpg</t>
        </is>
      </c>
      <c r="B7232">
        <f>HYPERLINK("Объекты недвижимости, не соответствующие градостроительным нормам_00-022_Август/f6360f68-723d-4aa9-9c4f-8180e527d57d.jpg","open")</f>
        <v/>
      </c>
      <c r="C7232" t="inlineStr">
        <is>
          <t>cbf95b01-f708-45a3-9ec0-3603469b538e</t>
        </is>
      </c>
      <c r="D7232" t="n">
        <v>55.77525</v>
      </c>
      <c r="E7232" t="n">
        <v>37.58916</v>
      </c>
      <c r="F7232" t="inlineStr"/>
      <c r="G7232" t="inlineStr"/>
      <c r="H7232" t="inlineStr"/>
    </row>
    <row r="7233">
      <c r="A7233" t="inlineStr">
        <is>
          <t>59cac4bb-1501-44c0-8fb8-65bae99c5708.jpg</t>
        </is>
      </c>
      <c r="B7233">
        <f>HYPERLINK("Объекты недвижимости, не соответствующие градостроительным нормам_00-022_Август/59cac4bb-1501-44c0-8fb8-65bae99c5708.jpg","open")</f>
        <v/>
      </c>
      <c r="C7233" t="inlineStr">
        <is>
          <t>93848fc8-17e7-4748-9ebc-c7e379e11d2f</t>
        </is>
      </c>
      <c r="D7233" t="n">
        <v>55.6844</v>
      </c>
      <c r="E7233" t="n">
        <v>37.56612</v>
      </c>
      <c r="F7233" t="inlineStr"/>
      <c r="G7233" t="inlineStr"/>
      <c r="H7233" t="inlineStr"/>
    </row>
    <row r="7234">
      <c r="A7234" t="inlineStr">
        <is>
          <t>62a2ddb4-2b17-413d-9f0d-4bad154b0751.jpg</t>
        </is>
      </c>
      <c r="B7234">
        <f>HYPERLINK("Объекты недвижимости, не соответствующие градостроительным нормам_00-022_Август/62a2ddb4-2b17-413d-9f0d-4bad154b0751.jpg","open")</f>
        <v/>
      </c>
      <c r="C7234" t="inlineStr">
        <is>
          <t>cbf95b01-f708-45a3-9ec0-3603469b538e</t>
        </is>
      </c>
      <c r="D7234" t="n">
        <v>55.77525</v>
      </c>
      <c r="E7234" t="n">
        <v>37.58916</v>
      </c>
      <c r="F7234" t="inlineStr"/>
      <c r="G7234" t="inlineStr"/>
      <c r="H7234" t="inlineStr"/>
    </row>
    <row r="7235">
      <c r="A7235" t="inlineStr">
        <is>
          <t>40fb3dd6-c0bc-425a-bf20-29dc0f361b1d.jpg</t>
        </is>
      </c>
      <c r="B7235">
        <f>HYPERLINK("Объекты недвижимости, не соответствующие градостроительным нормам_00-022_Август/40fb3dd6-c0bc-425a-bf20-29dc0f361b1d.jpg","open")</f>
        <v/>
      </c>
      <c r="C7235" t="inlineStr">
        <is>
          <t>cbf95b01-f708-45a3-9ec0-3603469b538e</t>
        </is>
      </c>
      <c r="D7235" t="n">
        <v>55.77525</v>
      </c>
      <c r="E7235" t="n">
        <v>37.58916</v>
      </c>
      <c r="F7235" t="inlineStr"/>
      <c r="G7235" t="inlineStr"/>
      <c r="H7235" t="inlineStr"/>
    </row>
    <row r="7236">
      <c r="A7236" t="inlineStr">
        <is>
          <t>22ff9a5a-5f4b-4766-9e64-cb25c027f628.jpg</t>
        </is>
      </c>
      <c r="B7236">
        <f>HYPERLINK("Объекты недвижимости, не соответствующие градостроительным нормам_00-022_Август/22ff9a5a-5f4b-4766-9e64-cb25c027f628.jpg","open")</f>
        <v/>
      </c>
      <c r="C7236" t="inlineStr">
        <is>
          <t>685d9054-b74f-49ab-857b-109fd2cec80d</t>
        </is>
      </c>
      <c r="D7236" t="n">
        <v>55.54685</v>
      </c>
      <c r="E7236" t="n">
        <v>37.5677</v>
      </c>
      <c r="F7236" t="inlineStr"/>
      <c r="G7236" t="inlineStr"/>
      <c r="H7236" t="inlineStr"/>
    </row>
    <row r="7237">
      <c r="A7237" t="inlineStr">
        <is>
          <t>6cc29179-868f-4339-84e2-3c147e4b2e7c.jpg</t>
        </is>
      </c>
      <c r="B7237">
        <f>HYPERLINK("Объекты недвижимости, не соответствующие градостроительным нормам_00-022_Август/6cc29179-868f-4339-84e2-3c147e4b2e7c.jpg","open")</f>
        <v/>
      </c>
      <c r="C7237" t="inlineStr">
        <is>
          <t>1231bbc5-e64c-4dc7-9acc-77710f47607a</t>
        </is>
      </c>
      <c r="D7237" t="n">
        <v>55.54703</v>
      </c>
      <c r="E7237" t="n">
        <v>37.56681</v>
      </c>
      <c r="F7237" t="inlineStr"/>
      <c r="G7237" t="inlineStr"/>
      <c r="H7237" t="inlineStr"/>
    </row>
    <row r="7238">
      <c r="A7238" t="inlineStr">
        <is>
          <t>8e682057-d854-44df-a447-248da56e9356.jpg</t>
        </is>
      </c>
      <c r="B7238">
        <f>HYPERLINK("Объекты недвижимости, не соответствующие градостроительным нормам_00-022_Август/8e682057-d854-44df-a447-248da56e9356.jpg","open")</f>
        <v/>
      </c>
      <c r="C7238" t="inlineStr">
        <is>
          <t>1231bbc5-e64c-4dc7-9acc-77710f47607a</t>
        </is>
      </c>
      <c r="D7238" t="n">
        <v>55.54712</v>
      </c>
      <c r="E7238" t="n">
        <v>37.56828</v>
      </c>
      <c r="F7238" t="inlineStr"/>
      <c r="G7238" t="inlineStr"/>
      <c r="H7238" t="inlineStr"/>
    </row>
    <row r="7239">
      <c r="A7239" t="inlineStr">
        <is>
          <t>65e7d4ce-ce46-48c4-bab3-4264659bf315.jpg</t>
        </is>
      </c>
      <c r="B7239">
        <f>HYPERLINK("Объекты недвижимости, не соответствующие градостроительным нормам_00-022_Август/65e7d4ce-ce46-48c4-bab3-4264659bf315.jpg","open")</f>
        <v/>
      </c>
      <c r="C7239" t="inlineStr">
        <is>
          <t>1231bbc5-e64c-4dc7-9acc-77710f47607a</t>
        </is>
      </c>
      <c r="D7239" t="n">
        <v>55.54773</v>
      </c>
      <c r="E7239" t="n">
        <v>37.56836</v>
      </c>
      <c r="F7239" t="inlineStr"/>
      <c r="G7239" t="inlineStr"/>
      <c r="H7239" t="inlineStr"/>
    </row>
    <row r="7240">
      <c r="A7240" t="inlineStr">
        <is>
          <t>2778b204-a18e-42ac-a297-2168b5b75e45.jpg</t>
        </is>
      </c>
      <c r="B7240">
        <f>HYPERLINK("Объекты недвижимости, не соответствующие градостроительным нормам_00-022_Август/2778b204-a18e-42ac-a297-2168b5b75e45.jpg","open")</f>
        <v/>
      </c>
      <c r="C7240" t="inlineStr">
        <is>
          <t>1a55986c-2c3f-40c0-b3d1-014dce77832e</t>
        </is>
      </c>
      <c r="D7240" t="n">
        <v>55.33201</v>
      </c>
      <c r="E7240" t="n">
        <v>37.15897</v>
      </c>
      <c r="F7240" t="inlineStr"/>
      <c r="G7240" t="inlineStr"/>
      <c r="H7240" t="inlineStr"/>
    </row>
    <row r="7241">
      <c r="A7241" t="inlineStr">
        <is>
          <t>a0b8e8b3-a6de-4161-acac-933f88576aee.jpg</t>
        </is>
      </c>
      <c r="B7241">
        <f>HYPERLINK("Объекты недвижимости, не соответствующие градостроительным нормам_00-022_Август/a0b8e8b3-a6de-4161-acac-933f88576aee.jpg","open")</f>
        <v/>
      </c>
      <c r="C7241" t="inlineStr">
        <is>
          <t>b0429a31-0c70-4b9f-8ea5-73929d82f89e</t>
        </is>
      </c>
      <c r="D7241" t="n">
        <v>55.6155</v>
      </c>
      <c r="E7241" t="n">
        <v>37.58943</v>
      </c>
      <c r="F7241" t="inlineStr"/>
      <c r="G7241" t="inlineStr"/>
      <c r="H7241" t="inlineStr"/>
    </row>
    <row r="7242">
      <c r="A7242" t="inlineStr">
        <is>
          <t>b46025fc-e2f7-40a3-981b-8600417f54fd.jpg</t>
        </is>
      </c>
      <c r="B7242">
        <f>HYPERLINK("Объекты недвижимости, не соответствующие градостроительным нормам_00-022_Август/b46025fc-e2f7-40a3-981b-8600417f54fd.jpg","open")</f>
        <v/>
      </c>
      <c r="C7242" t="inlineStr">
        <is>
          <t>1c951e11-4940-43c6-a447-394097e5609a</t>
        </is>
      </c>
      <c r="D7242" t="n">
        <v>55.79795</v>
      </c>
      <c r="E7242" t="n">
        <v>37.55372</v>
      </c>
      <c r="F7242" t="inlineStr"/>
      <c r="G7242" t="inlineStr"/>
      <c r="H7242" t="inlineStr"/>
    </row>
    <row r="7243">
      <c r="A7243" t="inlineStr">
        <is>
          <t>f4e04134-4af7-4f52-a93a-7b08205c0c6f.jpg</t>
        </is>
      </c>
      <c r="B7243">
        <f>HYPERLINK("Объекты недвижимости, не соответствующие градостроительным нормам_00-022_Август/f4e04134-4af7-4f52-a93a-7b08205c0c6f.jpg","open")</f>
        <v/>
      </c>
      <c r="C7243" t="inlineStr">
        <is>
          <t>cbf95b01-f708-45a3-9ec0-3603469b538e</t>
        </is>
      </c>
      <c r="D7243" t="n">
        <v>55.77525</v>
      </c>
      <c r="E7243" t="n">
        <v>37.58916</v>
      </c>
      <c r="F7243" t="inlineStr"/>
      <c r="G7243" t="inlineStr"/>
      <c r="H7243" t="inlineStr"/>
    </row>
    <row r="7244">
      <c r="A7244" t="inlineStr">
        <is>
          <t>3e36254b-9bd4-4e93-bb51-c2c31aaa3202.jpg</t>
        </is>
      </c>
      <c r="B7244">
        <f>HYPERLINK("Объекты недвижимости, не соответствующие градостроительным нормам_00-022_Август/3e36254b-9bd4-4e93-bb51-c2c31aaa3202.jpg","open")</f>
        <v/>
      </c>
      <c r="C7244" t="inlineStr">
        <is>
          <t>cbf95b01-f708-45a3-9ec0-3603469b538e</t>
        </is>
      </c>
      <c r="D7244" t="n">
        <v>55.77525</v>
      </c>
      <c r="E7244" t="n">
        <v>37.58916</v>
      </c>
      <c r="F7244" t="inlineStr"/>
      <c r="G7244" t="inlineStr"/>
      <c r="H7244" t="inlineStr"/>
    </row>
    <row r="7245">
      <c r="A7245" t="inlineStr">
        <is>
          <t>3a46d35c-de9d-47f9-8379-ca22c79cf41c.jpg</t>
        </is>
      </c>
      <c r="B7245">
        <f>HYPERLINK("Объекты недвижимости, не соответствующие градостроительным нормам_00-022_Август/3a46d35c-de9d-47f9-8379-ca22c79cf41c.jpg","open")</f>
        <v/>
      </c>
      <c r="C7245" t="inlineStr">
        <is>
          <t>cbf95b01-f708-45a3-9ec0-3603469b538e</t>
        </is>
      </c>
      <c r="D7245" t="n">
        <v>55.77525</v>
      </c>
      <c r="E7245" t="n">
        <v>37.58916</v>
      </c>
      <c r="F7245" t="inlineStr"/>
      <c r="G7245" t="inlineStr"/>
      <c r="H7245" t="inlineStr"/>
    </row>
    <row r="7246">
      <c r="A7246" t="inlineStr">
        <is>
          <t>88ff760a-0b34-470c-940a-4c6bd742f1b2.jpg</t>
        </is>
      </c>
      <c r="B7246">
        <f>HYPERLINK("Объекты недвижимости, не соответствующие градостроительным нормам_00-022_Август/88ff760a-0b34-470c-940a-4c6bd742f1b2.jpg","open")</f>
        <v/>
      </c>
      <c r="C7246" t="inlineStr">
        <is>
          <t>a1a9db89-3f74-42ef-8fad-ad69705102cd</t>
        </is>
      </c>
      <c r="D7246" t="n">
        <v>55.77525</v>
      </c>
      <c r="E7246" t="n">
        <v>37.58916</v>
      </c>
      <c r="F7246" t="inlineStr"/>
      <c r="G7246" t="inlineStr"/>
      <c r="H7246" t="inlineStr"/>
    </row>
    <row r="7247">
      <c r="A7247" t="inlineStr">
        <is>
          <t>d1f96d36-fd71-4d2d-a516-af5d7c96629d.jpg</t>
        </is>
      </c>
      <c r="B7247">
        <f>HYPERLINK("Объекты недвижимости, не соответствующие градостроительным нормам_00-022_Август/d1f96d36-fd71-4d2d-a516-af5d7c96629d.jpg","open")</f>
        <v/>
      </c>
      <c r="C7247" t="inlineStr">
        <is>
          <t>cbf95b01-f708-45a3-9ec0-3603469b538e</t>
        </is>
      </c>
      <c r="D7247" t="n">
        <v>55.77525</v>
      </c>
      <c r="E7247" t="n">
        <v>37.58916</v>
      </c>
      <c r="F7247" t="inlineStr"/>
      <c r="G7247" t="inlineStr"/>
      <c r="H7247" t="inlineStr"/>
    </row>
    <row r="7248">
      <c r="A7248" t="inlineStr">
        <is>
          <t>1afeb417-502d-4e49-b824-10c4f1a19dc0.jpg</t>
        </is>
      </c>
      <c r="B7248">
        <f>HYPERLINK("Объекты недвижимости, не соответствующие градостроительным нормам_00-022_Август/1afeb417-502d-4e49-b824-10c4f1a19dc0.jpg","open")</f>
        <v/>
      </c>
      <c r="C7248" t="inlineStr">
        <is>
          <t>5adecbcf-6742-48b8-951f-8e3abc9509e4</t>
        </is>
      </c>
      <c r="D7248" t="n">
        <v>55.71008</v>
      </c>
      <c r="E7248" t="n">
        <v>37.66499</v>
      </c>
      <c r="F7248" t="inlineStr"/>
      <c r="G7248" t="inlineStr"/>
      <c r="H7248" t="inlineStr"/>
    </row>
    <row r="7249">
      <c r="A7249" t="inlineStr">
        <is>
          <t>c4298259-1300-47e7-9a34-a4efc4a37758.jpg</t>
        </is>
      </c>
      <c r="B7249">
        <f>HYPERLINK("Объекты недвижимости, не соответствующие градостроительным нормам_00-022_Август/c4298259-1300-47e7-9a34-a4efc4a37758.jpg","open")</f>
        <v/>
      </c>
      <c r="C7249" t="inlineStr">
        <is>
          <t>cbf95b01-f708-45a3-9ec0-3603469b538e</t>
        </is>
      </c>
      <c r="D7249" t="n">
        <v>55.77525</v>
      </c>
      <c r="E7249" t="n">
        <v>37.58916</v>
      </c>
      <c r="F7249" t="inlineStr"/>
      <c r="G7249" t="inlineStr"/>
      <c r="H7249" t="inlineStr"/>
    </row>
    <row r="7250">
      <c r="A7250" t="inlineStr">
        <is>
          <t>f732b078-0809-484d-91d0-6edf5d3583b7.jpg</t>
        </is>
      </c>
      <c r="B7250">
        <f>HYPERLINK("Объекты недвижимости, не соответствующие градостроительным нормам_00-022_Август/f732b078-0809-484d-91d0-6edf5d3583b7.jpg","open")</f>
        <v/>
      </c>
      <c r="C7250" t="inlineStr">
        <is>
          <t>a1a9db89-3f74-42ef-8fad-ad69705102cd</t>
        </is>
      </c>
      <c r="D7250" t="n">
        <v>55.77525</v>
      </c>
      <c r="E7250" t="n">
        <v>37.58916</v>
      </c>
      <c r="F7250" t="inlineStr"/>
      <c r="G7250" t="inlineStr"/>
      <c r="H7250" t="inlineStr"/>
    </row>
    <row r="7251">
      <c r="A7251" t="inlineStr">
        <is>
          <t>7df62377-7feb-4f46-a66a-b2fa879b205c.jpg</t>
        </is>
      </c>
      <c r="B7251">
        <f>HYPERLINK("Объекты недвижимости, не соответствующие градостроительным нормам_00-022_Август/7df62377-7feb-4f46-a66a-b2fa879b205c.jpg","open")</f>
        <v/>
      </c>
      <c r="C7251" t="inlineStr">
        <is>
          <t>99f3abba-c55b-49f0-9de5-9f88e9597cc0</t>
        </is>
      </c>
      <c r="D7251" t="n">
        <v>55.61579</v>
      </c>
      <c r="E7251" t="n">
        <v>37.58875</v>
      </c>
      <c r="F7251" t="inlineStr"/>
      <c r="G7251" t="inlineStr"/>
      <c r="H7251" t="inlineStr"/>
    </row>
    <row r="7252">
      <c r="A7252" t="inlineStr">
        <is>
          <t>d76fcca1-9057-41d8-8f15-3daec9bf739e.jpg</t>
        </is>
      </c>
      <c r="B7252">
        <f>HYPERLINK("Объекты недвижимости, не соответствующие градостроительным нормам_00-022_Август/d76fcca1-9057-41d8-8f15-3daec9bf739e.jpg","open")</f>
        <v/>
      </c>
      <c r="C7252" t="inlineStr">
        <is>
          <t>a1a9db89-3f74-42ef-8fad-ad69705102cd</t>
        </is>
      </c>
      <c r="D7252" t="n">
        <v>55.77525</v>
      </c>
      <c r="E7252" t="n">
        <v>37.58916</v>
      </c>
      <c r="F7252" t="inlineStr"/>
      <c r="G7252" t="inlineStr"/>
      <c r="H7252" t="inlineStr"/>
    </row>
    <row r="7253">
      <c r="A7253" t="inlineStr">
        <is>
          <t>0be5c0bf-b90e-42e0-9d3e-ef7d85fd3f83.jpg</t>
        </is>
      </c>
      <c r="B7253">
        <f>HYPERLINK("Объекты недвижимости, не соответствующие градостроительным нормам_00-022_Август/0be5c0bf-b90e-42e0-9d3e-ef7d85fd3f83.jpg","open")</f>
        <v/>
      </c>
      <c r="C7253" t="inlineStr">
        <is>
          <t>a1a9db89-3f74-42ef-8fad-ad69705102cd</t>
        </is>
      </c>
      <c r="D7253" t="n">
        <v>55.77525</v>
      </c>
      <c r="E7253" t="n">
        <v>37.58916</v>
      </c>
      <c r="F7253" t="inlineStr"/>
      <c r="G7253" t="inlineStr"/>
      <c r="H7253" t="inlineStr"/>
    </row>
    <row r="7254">
      <c r="A7254" t="inlineStr">
        <is>
          <t>70c8cbef-f801-4576-8ec6-0e12e1c97f4c.jpg</t>
        </is>
      </c>
      <c r="B7254">
        <f>HYPERLINK("Объекты недвижимости, не соответствующие градостроительным нормам_00-022_Август/70c8cbef-f801-4576-8ec6-0e12e1c97f4c.jpg","open")</f>
        <v/>
      </c>
      <c r="C7254" t="inlineStr">
        <is>
          <t>1231bbc5-e64c-4dc7-9acc-77710f47607a</t>
        </is>
      </c>
      <c r="D7254" t="n">
        <v>55.54958</v>
      </c>
      <c r="E7254" t="n">
        <v>37.57121</v>
      </c>
      <c r="F7254" t="inlineStr"/>
      <c r="G7254" t="inlineStr"/>
      <c r="H7254" t="inlineStr"/>
    </row>
    <row r="7255">
      <c r="A7255" t="inlineStr">
        <is>
          <t>8098cf70-6239-4d1d-b6a4-1e39d63d0d5d.jpg</t>
        </is>
      </c>
      <c r="B7255">
        <f>HYPERLINK("Объекты недвижимости, не соответствующие градостроительным нормам_00-022_Август/8098cf70-6239-4d1d-b6a4-1e39d63d0d5d.jpg","open")</f>
        <v/>
      </c>
      <c r="C7255" t="inlineStr">
        <is>
          <t>685d9054-b74f-49ab-857b-109fd2cec80d</t>
        </is>
      </c>
      <c r="D7255" t="n">
        <v>55.54957</v>
      </c>
      <c r="E7255" t="n">
        <v>37.57119</v>
      </c>
      <c r="F7255" t="inlineStr"/>
      <c r="G7255" t="inlineStr"/>
      <c r="H7255" t="inlineStr"/>
    </row>
    <row r="7256">
      <c r="A7256" t="inlineStr">
        <is>
          <t>d3c50b8f-c50a-4578-b22b-7111adc7a81e.jpg</t>
        </is>
      </c>
      <c r="B7256">
        <f>HYPERLINK("Объекты недвижимости, не соответствующие градостроительным нормам_00-022_Август/d3c50b8f-c50a-4578-b22b-7111adc7a81e.jpg","open")</f>
        <v/>
      </c>
      <c r="C7256" t="inlineStr">
        <is>
          <t>a1a9db89-3f74-42ef-8fad-ad69705102cd</t>
        </is>
      </c>
      <c r="D7256" t="n">
        <v>55.77525</v>
      </c>
      <c r="E7256" t="n">
        <v>37.58916</v>
      </c>
      <c r="F7256" t="inlineStr"/>
      <c r="G7256" t="inlineStr"/>
      <c r="H7256" t="inlineStr"/>
    </row>
    <row r="7257">
      <c r="A7257" t="inlineStr">
        <is>
          <t>e9842848-8b16-486f-b23c-2fe25f408779.jpg</t>
        </is>
      </c>
      <c r="B7257">
        <f>HYPERLINK("Объекты недвижимости, не соответствующие градостроительным нормам_00-022_Август/e9842848-8b16-486f-b23c-2fe25f408779.jpg","open")</f>
        <v/>
      </c>
      <c r="C7257" t="inlineStr">
        <is>
          <t>685d9054-b74f-49ab-857b-109fd2cec80d</t>
        </is>
      </c>
      <c r="D7257" t="n">
        <v>55.54934</v>
      </c>
      <c r="E7257" t="n">
        <v>37.57104</v>
      </c>
      <c r="F7257" t="inlineStr"/>
      <c r="G7257" t="inlineStr"/>
      <c r="H7257" t="inlineStr"/>
    </row>
    <row r="7258">
      <c r="A7258" t="inlineStr">
        <is>
          <t>b9aa521b-b4ca-46c1-b98d-029f7dad1a62.jpg</t>
        </is>
      </c>
      <c r="B7258">
        <f>HYPERLINK("Объекты недвижимости, не соответствующие градостроительным нормам_00-022_Август/b9aa521b-b4ca-46c1-b98d-029f7dad1a62.jpg","open")</f>
        <v/>
      </c>
      <c r="C7258" t="inlineStr">
        <is>
          <t>e26f5fc2-1353-4f29-85f3-87c56419161c</t>
        </is>
      </c>
      <c r="D7258" t="n">
        <v>55.90651</v>
      </c>
      <c r="E7258" t="n">
        <v>37.60027</v>
      </c>
      <c r="F7258" t="inlineStr"/>
      <c r="G7258" t="inlineStr"/>
      <c r="H7258" t="inlineStr"/>
    </row>
    <row r="7259">
      <c r="A7259" t="inlineStr">
        <is>
          <t>897cc5ec-03dd-42d5-b7db-3d6e5d68d420.jpg</t>
        </is>
      </c>
      <c r="B7259">
        <f>HYPERLINK("Объекты недвижимости, не соответствующие градостроительным нормам_00-022_Август/897cc5ec-03dd-42d5-b7db-3d6e5d68d420.jpg","open")</f>
        <v/>
      </c>
      <c r="C7259" t="inlineStr">
        <is>
          <t>a1a9db89-3f74-42ef-8fad-ad69705102cd</t>
        </is>
      </c>
      <c r="D7259" t="n">
        <v>55.77525</v>
      </c>
      <c r="E7259" t="n">
        <v>37.58916</v>
      </c>
      <c r="F7259" t="inlineStr"/>
      <c r="G7259" t="inlineStr"/>
      <c r="H7259" t="inlineStr"/>
    </row>
    <row r="7260">
      <c r="A7260" t="inlineStr">
        <is>
          <t>3b9d25ed-e2cb-4716-84fd-853f119d1a6a.jpg</t>
        </is>
      </c>
      <c r="B7260">
        <f>HYPERLINK("Объекты недвижимости, не соответствующие градостроительным нормам_00-022_Август/3b9d25ed-e2cb-4716-84fd-853f119d1a6a.jpg","open")</f>
        <v/>
      </c>
      <c r="C7260" t="inlineStr">
        <is>
          <t>a1a9db89-3f74-42ef-8fad-ad69705102cd</t>
        </is>
      </c>
      <c r="D7260" t="n">
        <v>55.77525</v>
      </c>
      <c r="E7260" t="n">
        <v>37.58916</v>
      </c>
      <c r="F7260" t="inlineStr"/>
      <c r="G7260" t="inlineStr"/>
      <c r="H7260" t="inlineStr"/>
    </row>
    <row r="7261">
      <c r="A7261" t="inlineStr">
        <is>
          <t>dbbfd182-2b46-4ba9-9772-b885f1e9003f.jpg</t>
        </is>
      </c>
      <c r="B7261">
        <f>HYPERLINK("Объекты недвижимости, не соответствующие градостроительным нормам_00-022_Август/dbbfd182-2b46-4ba9-9772-b885f1e9003f.jpg","open")</f>
        <v/>
      </c>
      <c r="C7261" t="inlineStr">
        <is>
          <t>cbf95b01-f708-45a3-9ec0-3603469b538e</t>
        </is>
      </c>
      <c r="D7261" t="n">
        <v>55.77525</v>
      </c>
      <c r="E7261" t="n">
        <v>37.58916</v>
      </c>
      <c r="F7261" t="inlineStr"/>
      <c r="G7261" t="inlineStr"/>
      <c r="H7261" t="inlineStr"/>
    </row>
    <row r="7262">
      <c r="A7262" t="inlineStr">
        <is>
          <t>f8842b9c-b6a6-4d39-8d92-a0e9a15e0767.jpg</t>
        </is>
      </c>
      <c r="B7262">
        <f>HYPERLINK("Объекты недвижимости, не соответствующие градостроительным нормам_00-022_Август/f8842b9c-b6a6-4d39-8d92-a0e9a15e0767.jpg","open")</f>
        <v/>
      </c>
      <c r="C7262" t="inlineStr">
        <is>
          <t>cbf95b01-f708-45a3-9ec0-3603469b538e</t>
        </is>
      </c>
      <c r="D7262" t="n">
        <v>55.77525</v>
      </c>
      <c r="E7262" t="n">
        <v>37.58916</v>
      </c>
      <c r="F7262" t="inlineStr"/>
      <c r="G7262" t="inlineStr"/>
      <c r="H7262" t="inlineStr"/>
    </row>
    <row r="7263">
      <c r="A7263" t="inlineStr">
        <is>
          <t>0a71aa2f-d3e6-4b78-a66f-bac893fc774f.jpg</t>
        </is>
      </c>
      <c r="B7263">
        <f>HYPERLINK("Объекты недвижимости, не соответствующие градостроительным нормам_00-022_Август/0a71aa2f-d3e6-4b78-a66f-bac893fc774f.jpg","open")</f>
        <v/>
      </c>
      <c r="C7263" t="inlineStr">
        <is>
          <t>a1a9db89-3f74-42ef-8fad-ad69705102cd</t>
        </is>
      </c>
      <c r="D7263" t="n">
        <v>55.77525</v>
      </c>
      <c r="E7263" t="n">
        <v>37.58916</v>
      </c>
      <c r="F7263" t="inlineStr"/>
      <c r="G7263" t="inlineStr"/>
      <c r="H7263" t="inlineStr"/>
    </row>
    <row r="7264">
      <c r="A7264" t="inlineStr">
        <is>
          <t>db066930-ef0b-40cc-8c92-210c14df14f3.jpg</t>
        </is>
      </c>
      <c r="B7264">
        <f>HYPERLINK("Объекты недвижимости, не соответствующие градостроительным нормам_00-022_Август/db066930-ef0b-40cc-8c92-210c14df14f3.jpg","open")</f>
        <v/>
      </c>
      <c r="C7264" t="inlineStr">
        <is>
          <t>685d9054-b74f-49ab-857b-109fd2cec80d</t>
        </is>
      </c>
      <c r="D7264" t="n">
        <v>55.54762</v>
      </c>
      <c r="E7264" t="n">
        <v>37.56984</v>
      </c>
      <c r="F7264" t="inlineStr"/>
      <c r="G7264" t="inlineStr"/>
      <c r="H7264" t="inlineStr"/>
    </row>
    <row r="7265">
      <c r="A7265" t="inlineStr">
        <is>
          <t>c2550efc-9958-457d-96fc-41e7642c6652.jpg</t>
        </is>
      </c>
      <c r="B7265">
        <f>HYPERLINK("Объекты недвижимости, не соответствующие градостроительным нормам_00-022_Август/c2550efc-9958-457d-96fc-41e7642c6652.jpg","open")</f>
        <v/>
      </c>
      <c r="C7265" t="inlineStr">
        <is>
          <t>cbf95b01-f708-45a3-9ec0-3603469b538e</t>
        </is>
      </c>
      <c r="D7265" t="n">
        <v>55.77525</v>
      </c>
      <c r="E7265" t="n">
        <v>37.58916</v>
      </c>
      <c r="F7265" t="inlineStr"/>
      <c r="G7265" t="inlineStr"/>
      <c r="H7265" t="inlineStr"/>
    </row>
    <row r="7266">
      <c r="A7266" t="inlineStr">
        <is>
          <t>d7fbd9c4-2c57-4d2b-9d7f-c1698eedae28.jpg</t>
        </is>
      </c>
      <c r="B7266">
        <f>HYPERLINK("Объекты недвижимости, не соответствующие градостроительным нормам_00-022_Август/d7fbd9c4-2c57-4d2b-9d7f-c1698eedae28.jpg","open")</f>
        <v/>
      </c>
      <c r="C7266" t="inlineStr">
        <is>
          <t>b23a39fd-838c-435a-bacd-b4d6bb842c62</t>
        </is>
      </c>
      <c r="D7266" t="n">
        <v>55.71013</v>
      </c>
      <c r="E7266" t="n">
        <v>37.87933</v>
      </c>
      <c r="F7266" t="inlineStr"/>
      <c r="G7266" t="inlineStr"/>
      <c r="H7266" t="inlineStr"/>
    </row>
    <row r="7267">
      <c r="A7267" t="inlineStr">
        <is>
          <t>061879c1-3427-46e9-9687-56f6cc5ba70c.jpg</t>
        </is>
      </c>
      <c r="B7267">
        <f>HYPERLINK("Объекты недвижимости, не соответствующие градостроительным нормам_00-022_Август/061879c1-3427-46e9-9687-56f6cc5ba70c.jpg","open")</f>
        <v/>
      </c>
      <c r="C7267" t="inlineStr">
        <is>
          <t>685d9054-b74f-49ab-857b-109fd2cec80d</t>
        </is>
      </c>
      <c r="D7267" t="n">
        <v>55.54748</v>
      </c>
      <c r="E7267" t="n">
        <v>37.56881</v>
      </c>
      <c r="F7267" t="inlineStr"/>
      <c r="G7267" t="inlineStr"/>
      <c r="H7267" t="inlineStr"/>
    </row>
    <row r="7268">
      <c r="A7268" t="inlineStr">
        <is>
          <t>082fa406-54b5-44d1-87bf-63adb6834585.jpg</t>
        </is>
      </c>
      <c r="B7268">
        <f>HYPERLINK("Объекты недвижимости, не соответствующие градостроительным нормам_00-022_Август/082fa406-54b5-44d1-87bf-63adb6834585.jpg","open")</f>
        <v/>
      </c>
      <c r="C7268" t="inlineStr">
        <is>
          <t>685d9054-b74f-49ab-857b-109fd2cec80d</t>
        </is>
      </c>
      <c r="D7268" t="n">
        <v>55.54672</v>
      </c>
      <c r="E7268" t="n">
        <v>37.56812</v>
      </c>
      <c r="F7268" t="inlineStr"/>
      <c r="G7268" t="inlineStr"/>
      <c r="H7268" t="inlineStr"/>
    </row>
    <row r="7269">
      <c r="A7269" t="inlineStr">
        <is>
          <t>2a0a7410-036d-44c0-9a2c-2ec9eaf38289.jpg</t>
        </is>
      </c>
      <c r="B7269">
        <f>HYPERLINK("Объекты недвижимости, не соответствующие градостроительным нормам_00-022_Август/2a0a7410-036d-44c0-9a2c-2ec9eaf38289.jpg","open")</f>
        <v/>
      </c>
      <c r="C7269" t="inlineStr">
        <is>
          <t>61936922-4d4b-458e-80ea-6d4c450aa1d5</t>
        </is>
      </c>
      <c r="D7269" t="n">
        <v>55.71307</v>
      </c>
      <c r="E7269" t="n">
        <v>37.48751</v>
      </c>
      <c r="F7269" t="inlineStr"/>
      <c r="G7269" t="inlineStr"/>
      <c r="H7269" t="inlineStr"/>
    </row>
    <row r="7270">
      <c r="A7270" t="inlineStr">
        <is>
          <t>8e6e0c7c-9227-4890-8cef-8d91aba9730a.jpg</t>
        </is>
      </c>
      <c r="B7270">
        <f>HYPERLINK("Объекты недвижимости, не соответствующие градостроительным нормам_00-022_Август/8e6e0c7c-9227-4890-8cef-8d91aba9730a.jpg","open")</f>
        <v/>
      </c>
      <c r="C7270" t="inlineStr">
        <is>
          <t>1231bbc5-e64c-4dc7-9acc-77710f47607a</t>
        </is>
      </c>
      <c r="D7270" t="n">
        <v>55.54648</v>
      </c>
      <c r="E7270" t="n">
        <v>37.5675</v>
      </c>
      <c r="F7270" t="inlineStr"/>
      <c r="G7270" t="inlineStr"/>
      <c r="H7270" t="inlineStr"/>
    </row>
    <row r="7271">
      <c r="A7271" t="inlineStr">
        <is>
          <t>4022e47f-ba25-4c6c-a378-ff25562388c9.jpg</t>
        </is>
      </c>
      <c r="B7271">
        <f>HYPERLINK("Объекты недвижимости, не соответствующие градостроительным нормам_00-022_Август/4022e47f-ba25-4c6c-a378-ff25562388c9.jpg","open")</f>
        <v/>
      </c>
      <c r="C7271" t="inlineStr">
        <is>
          <t>8b2675e2-7f40-47a9-a462-7c9feecd299c</t>
        </is>
      </c>
      <c r="D7271" t="n">
        <v>55.71144</v>
      </c>
      <c r="E7271" t="n">
        <v>37.65767</v>
      </c>
      <c r="F7271" t="inlineStr"/>
      <c r="G7271" t="inlineStr"/>
      <c r="H7271" t="inlineStr"/>
    </row>
    <row r="7272">
      <c r="A7272" t="inlineStr">
        <is>
          <t>b3d30d78-5a00-42ab-8b28-36aea2ccd95f.jpg</t>
        </is>
      </c>
      <c r="B7272">
        <f>HYPERLINK("Объекты недвижимости, не соответствующие градостроительным нормам_00-022_Август/b3d30d78-5a00-42ab-8b28-36aea2ccd95f.jpg","open")</f>
        <v/>
      </c>
      <c r="C7272" t="inlineStr">
        <is>
          <t>8cde1fd0-eca1-4510-86ab-3c743b65fdfc</t>
        </is>
      </c>
      <c r="D7272" t="n">
        <v>55.80864</v>
      </c>
      <c r="E7272" t="n">
        <v>37.54295</v>
      </c>
      <c r="F7272" t="inlineStr"/>
      <c r="G7272" t="inlineStr"/>
      <c r="H7272" t="inlineStr"/>
    </row>
    <row r="7273">
      <c r="A7273" t="inlineStr">
        <is>
          <t>014e4735-8752-4147-8b67-d3d16dd23dd7.jpg</t>
        </is>
      </c>
      <c r="B7273">
        <f>HYPERLINK("Объекты недвижимости, не соответствующие градостроительным нормам_00-022_Август/014e4735-8752-4147-8b67-d3d16dd23dd7.jpg","open")</f>
        <v/>
      </c>
      <c r="C7273" t="inlineStr">
        <is>
          <t>8cde1fd0-eca1-4510-86ab-3c743b65fdfc</t>
        </is>
      </c>
      <c r="D7273" t="n">
        <v>55.80896</v>
      </c>
      <c r="E7273" t="n">
        <v>37.54377</v>
      </c>
      <c r="F7273" t="inlineStr"/>
      <c r="G7273" t="inlineStr"/>
      <c r="H7273" t="inlineStr"/>
    </row>
    <row r="7274">
      <c r="A7274" t="inlineStr">
        <is>
          <t>6e8a37d8-6528-4204-9104-cb0f4d6f4752.jpg</t>
        </is>
      </c>
      <c r="B7274">
        <f>HYPERLINK("Объекты недвижимости, не соответствующие градостроительным нормам_00-022_Август/6e8a37d8-6528-4204-9104-cb0f4d6f4752.jpg","open")</f>
        <v/>
      </c>
      <c r="C7274" t="inlineStr">
        <is>
          <t>1c951e11-4940-43c6-a447-394097e5609a</t>
        </is>
      </c>
      <c r="D7274" t="n">
        <v>55.80898</v>
      </c>
      <c r="E7274" t="n">
        <v>37.54382</v>
      </c>
      <c r="F7274" t="inlineStr"/>
      <c r="G7274" t="inlineStr"/>
      <c r="H7274" t="inlineStr"/>
    </row>
    <row r="7275">
      <c r="A7275" t="inlineStr">
        <is>
          <t>5c86727c-7fd4-4526-8d28-d999d4023351.jpg</t>
        </is>
      </c>
      <c r="B7275">
        <f>HYPERLINK("Объекты недвижимости, не соответствующие градостроительным нормам_00-022_Август/5c86727c-7fd4-4526-8d28-d999d4023351.jpg","open")</f>
        <v/>
      </c>
      <c r="C7275" t="inlineStr">
        <is>
          <t>6e2567a0-1fb9-40d5-a0e7-0adb480d2965</t>
        </is>
      </c>
      <c r="D7275" t="n">
        <v>55.78444</v>
      </c>
      <c r="E7275" t="n">
        <v>37.67501</v>
      </c>
      <c r="F7275" t="inlineStr"/>
      <c r="G7275" t="inlineStr"/>
      <c r="H7275" t="inlineStr"/>
    </row>
    <row r="7276">
      <c r="A7276" t="inlineStr">
        <is>
          <t>ee201a4f-9b5b-452d-abad-700829961215.jpg</t>
        </is>
      </c>
      <c r="B7276">
        <f>HYPERLINK("Объекты недвижимости, не соответствующие градостроительным нормам_00-022_Август/ee201a4f-9b5b-452d-abad-700829961215.jpg","open")</f>
        <v/>
      </c>
      <c r="C7276" t="inlineStr">
        <is>
          <t>1c951e11-4940-43c6-a447-394097e5609a</t>
        </is>
      </c>
      <c r="D7276" t="n">
        <v>55.80812</v>
      </c>
      <c r="E7276" t="n">
        <v>37.53588</v>
      </c>
      <c r="F7276" t="inlineStr"/>
      <c r="G7276" t="inlineStr"/>
      <c r="H7276" t="inlineStr"/>
    </row>
    <row r="7277">
      <c r="A7277" t="inlineStr">
        <is>
          <t>8b56385a-1cca-4bcd-8938-b5f6a36e7b0c.jpg</t>
        </is>
      </c>
      <c r="B7277">
        <f>HYPERLINK("Объекты недвижимости, не соответствующие градостроительным нормам_00-022_Август/8b56385a-1cca-4bcd-8938-b5f6a36e7b0c.jpg","open")</f>
        <v/>
      </c>
      <c r="C7277" t="inlineStr">
        <is>
          <t>685d9054-b74f-49ab-857b-109fd2cec80d</t>
        </is>
      </c>
      <c r="D7277" t="n">
        <v>55.54277</v>
      </c>
      <c r="E7277" t="n">
        <v>37.56529</v>
      </c>
      <c r="F7277" t="inlineStr"/>
      <c r="G7277" t="inlineStr"/>
      <c r="H7277" t="inlineStr"/>
    </row>
    <row r="7278">
      <c r="A7278" t="inlineStr">
        <is>
          <t>200693d7-379a-4dba-b6e7-8205d36b4bcd.jpg</t>
        </is>
      </c>
      <c r="B7278">
        <f>HYPERLINK("Объекты недвижимости, не соответствующие градостроительным нормам_00-022_Август/200693d7-379a-4dba-b6e7-8205d36b4bcd.jpg","open")</f>
        <v/>
      </c>
      <c r="C7278" t="inlineStr">
        <is>
          <t>caa4772d-6278-4484-a046-ee25514bf521</t>
        </is>
      </c>
      <c r="D7278" t="n">
        <v>55.7141</v>
      </c>
      <c r="E7278" t="n">
        <v>37.6672</v>
      </c>
      <c r="F7278" t="inlineStr"/>
      <c r="G7278" t="inlineStr"/>
      <c r="H7278" t="inlineStr"/>
    </row>
    <row r="7279">
      <c r="A7279" t="inlineStr">
        <is>
          <t>41fddc6c-f117-4a84-b97d-be57712d9379.jpg</t>
        </is>
      </c>
      <c r="B7279">
        <f>HYPERLINK("Объекты недвижимости, не соответствующие градостроительным нормам_00-022_Август/41fddc6c-f117-4a84-b97d-be57712d9379.jpg","open")</f>
        <v/>
      </c>
      <c r="C7279" t="inlineStr">
        <is>
          <t>685d9054-b74f-49ab-857b-109fd2cec80d</t>
        </is>
      </c>
      <c r="D7279" t="n">
        <v>55.54337</v>
      </c>
      <c r="E7279" t="n">
        <v>37.56244</v>
      </c>
      <c r="F7279" t="inlineStr"/>
      <c r="G7279" t="inlineStr"/>
      <c r="H7279" t="inlineStr"/>
    </row>
    <row r="7280">
      <c r="A7280" t="inlineStr">
        <is>
          <t>1d5003c4-05a9-42fb-a551-d2fe070f0490.jpg</t>
        </is>
      </c>
      <c r="B7280">
        <f>HYPERLINK("Объекты недвижимости, не соответствующие градостроительным нормам_00-022_Август/1d5003c4-05a9-42fb-a551-d2fe070f0490.jpg","open")</f>
        <v/>
      </c>
      <c r="C7280" t="inlineStr">
        <is>
          <t>685d9054-b74f-49ab-857b-109fd2cec80d</t>
        </is>
      </c>
      <c r="D7280" t="n">
        <v>55.54172</v>
      </c>
      <c r="E7280" t="n">
        <v>37.56188</v>
      </c>
      <c r="F7280" t="inlineStr"/>
      <c r="G7280" t="inlineStr"/>
      <c r="H7280" t="inlineStr"/>
    </row>
    <row r="7281">
      <c r="A7281" t="inlineStr">
        <is>
          <t>86b7e7c2-47de-41fb-80ed-0265999d17c2.jpg</t>
        </is>
      </c>
      <c r="B7281">
        <f>HYPERLINK("Объекты недвижимости, не соответствующие градостроительным нормам_00-022_Август/86b7e7c2-47de-41fb-80ed-0265999d17c2.jpg","open")</f>
        <v/>
      </c>
      <c r="C7281" t="inlineStr">
        <is>
          <t>57812597-37e6-414c-8b11-8c661dbfeb70</t>
        </is>
      </c>
      <c r="D7281" t="n">
        <v>55.76348</v>
      </c>
      <c r="E7281" t="n">
        <v>37.63167</v>
      </c>
      <c r="F7281" t="inlineStr"/>
      <c r="G7281" t="inlineStr"/>
      <c r="H7281" t="inlineStr"/>
    </row>
    <row r="7282">
      <c r="A7282" t="inlineStr">
        <is>
          <t>9e9a70be-5d05-472c-af7b-b3f436baa571.jpg</t>
        </is>
      </c>
      <c r="B7282">
        <f>HYPERLINK("Объекты недвижимости, не соответствующие градостроительным нормам_00-022_Август/9e9a70be-5d05-472c-af7b-b3f436baa571.jpg","open")</f>
        <v/>
      </c>
      <c r="C7282" t="inlineStr">
        <is>
          <t>b0429a31-0c70-4b9f-8ea5-73929d82f89e</t>
        </is>
      </c>
      <c r="D7282" t="n">
        <v>55.62178</v>
      </c>
      <c r="E7282" t="n">
        <v>37.58878</v>
      </c>
      <c r="F7282" t="inlineStr"/>
      <c r="G7282" t="inlineStr"/>
      <c r="H7282" t="inlineStr"/>
    </row>
    <row r="7283">
      <c r="A7283" t="inlineStr">
        <is>
          <t>e454915c-0bed-4be7-8218-05a1c3307507.jpg</t>
        </is>
      </c>
      <c r="B7283">
        <f>HYPERLINK("Объекты недвижимости, не соответствующие градостроительным нормам_00-022_Август/e454915c-0bed-4be7-8218-05a1c3307507.jpg","open")</f>
        <v/>
      </c>
      <c r="C7283" t="inlineStr">
        <is>
          <t>685d9054-b74f-49ab-857b-109fd2cec80d</t>
        </is>
      </c>
      <c r="D7283" t="n">
        <v>55.5445</v>
      </c>
      <c r="E7283" t="n">
        <v>37.56241</v>
      </c>
      <c r="F7283" t="inlineStr"/>
      <c r="G7283" t="inlineStr"/>
      <c r="H7283" t="inlineStr"/>
    </row>
    <row r="7284">
      <c r="A7284" t="inlineStr">
        <is>
          <t>c96f483c-5fac-4e00-bfee-8f5b5b7b84fa.jpg</t>
        </is>
      </c>
      <c r="B7284">
        <f>HYPERLINK("Объекты недвижимости, не соответствующие градостроительным нормам_00-022_Август/c96f483c-5fac-4e00-bfee-8f5b5b7b84fa.jpg","open")</f>
        <v/>
      </c>
      <c r="C7284" t="inlineStr">
        <is>
          <t>1231bbc5-e64c-4dc7-9acc-77710f47607a</t>
        </is>
      </c>
      <c r="D7284" t="n">
        <v>55.5445</v>
      </c>
      <c r="E7284" t="n">
        <v>37.56243</v>
      </c>
      <c r="F7284" t="inlineStr"/>
      <c r="G7284" t="inlineStr"/>
      <c r="H7284" t="inlineStr"/>
    </row>
    <row r="7285">
      <c r="A7285" t="inlineStr">
        <is>
          <t>b9881007-0bf3-4387-ae35-e013c06c8a14.jpg</t>
        </is>
      </c>
      <c r="B7285">
        <f>HYPERLINK("Объекты недвижимости, не соответствующие градостроительным нормам_00-022_Август/b9881007-0bf3-4387-ae35-e013c06c8a14.jpg","open")</f>
        <v/>
      </c>
      <c r="C7285" t="inlineStr">
        <is>
          <t>caa4772d-6278-4484-a046-ee25514bf521</t>
        </is>
      </c>
      <c r="D7285" t="n">
        <v>55.61035</v>
      </c>
      <c r="E7285" t="n">
        <v>37.76393</v>
      </c>
      <c r="F7285" t="inlineStr"/>
      <c r="G7285" t="inlineStr"/>
      <c r="H7285" t="inlineStr"/>
    </row>
    <row r="7286">
      <c r="A7286" t="inlineStr">
        <is>
          <t>2c98b1cb-03b5-49a8-a064-cb0506b7c72b.jpg</t>
        </is>
      </c>
      <c r="B7286">
        <f>HYPERLINK("Объекты недвижимости, не соответствующие градостроительным нормам_00-022_Август/2c98b1cb-03b5-49a8-a064-cb0506b7c72b.jpg","open")</f>
        <v/>
      </c>
      <c r="C7286" t="inlineStr">
        <is>
          <t>685d9054-b74f-49ab-857b-109fd2cec80d</t>
        </is>
      </c>
      <c r="D7286" t="n">
        <v>55.55233</v>
      </c>
      <c r="E7286" t="n">
        <v>37.56165</v>
      </c>
      <c r="F7286" t="inlineStr"/>
      <c r="G7286" t="inlineStr"/>
      <c r="H7286" t="inlineStr"/>
    </row>
    <row r="7287">
      <c r="A7287" t="inlineStr">
        <is>
          <t>fe0615ab-ae8a-471b-a6a8-6c684590ec25.jpg</t>
        </is>
      </c>
      <c r="B7287">
        <f>HYPERLINK("Объекты недвижимости, не соответствующие градостроительным нормам_00-022_Август/fe0615ab-ae8a-471b-a6a8-6c684590ec25.jpg","open")</f>
        <v/>
      </c>
      <c r="C7287" t="inlineStr">
        <is>
          <t>685d9054-b74f-49ab-857b-109fd2cec80d</t>
        </is>
      </c>
      <c r="D7287" t="n">
        <v>55.55326</v>
      </c>
      <c r="E7287" t="n">
        <v>37.55922</v>
      </c>
      <c r="F7287" t="inlineStr"/>
      <c r="G7287" t="inlineStr"/>
      <c r="H7287" t="inlineStr"/>
    </row>
    <row r="7288">
      <c r="A7288" t="inlineStr">
        <is>
          <t>5cb94f94-a776-4c86-a6d0-c8a7248f389b.jpg</t>
        </is>
      </c>
      <c r="B7288">
        <f>HYPERLINK("Объекты недвижимости, не соответствующие градостроительным нормам_00-022_Август/5cb94f94-a776-4c86-a6d0-c8a7248f389b.jpg","open")</f>
        <v/>
      </c>
      <c r="C7288" t="inlineStr">
        <is>
          <t>1231bbc5-e64c-4dc7-9acc-77710f47607a</t>
        </is>
      </c>
      <c r="D7288" t="n">
        <v>55.55327</v>
      </c>
      <c r="E7288" t="n">
        <v>37.55916</v>
      </c>
      <c r="F7288" t="inlineStr"/>
      <c r="G7288" t="inlineStr"/>
      <c r="H7288" t="inlineStr"/>
    </row>
    <row r="7289">
      <c r="A7289" t="inlineStr">
        <is>
          <t>bf505fea-024f-42bb-b434-f1d2c8fb9fc6.jpg</t>
        </is>
      </c>
      <c r="B7289">
        <f>HYPERLINK("Объекты недвижимости, не соответствующие градостроительным нормам_00-022_Август/bf505fea-024f-42bb-b434-f1d2c8fb9fc6.jpg","open")</f>
        <v/>
      </c>
      <c r="C7289" t="inlineStr">
        <is>
          <t>8cde1fd0-eca1-4510-86ab-3c743b65fdfc</t>
        </is>
      </c>
      <c r="D7289" t="n">
        <v>55.80769</v>
      </c>
      <c r="E7289" t="n">
        <v>37.54108</v>
      </c>
      <c r="F7289" t="inlineStr"/>
      <c r="G7289" t="inlineStr"/>
      <c r="H7289" t="inlineStr"/>
    </row>
    <row r="7290">
      <c r="A7290" t="inlineStr">
        <is>
          <t>07ff01b1-97b7-4a28-95c7-a2ad480fb055.jpg</t>
        </is>
      </c>
      <c r="B7290">
        <f>HYPERLINK("Объекты недвижимости, не соответствующие градостроительным нормам_00-022_Август/07ff01b1-97b7-4a28-95c7-a2ad480fb055.jpg","open")</f>
        <v/>
      </c>
      <c r="C7290" t="inlineStr">
        <is>
          <t>685d9054-b74f-49ab-857b-109fd2cec80d</t>
        </is>
      </c>
      <c r="D7290" t="n">
        <v>55.55372</v>
      </c>
      <c r="E7290" t="n">
        <v>37.56203</v>
      </c>
      <c r="F7290" t="inlineStr"/>
      <c r="G7290" t="inlineStr"/>
      <c r="H7290" t="inlineStr"/>
    </row>
    <row r="7291">
      <c r="A7291" t="inlineStr">
        <is>
          <t>bbc2cd71-45f1-4834-be9c-77d94e43dc78.jpg</t>
        </is>
      </c>
      <c r="B7291">
        <f>HYPERLINK("Объекты недвижимости, не соответствующие градостроительным нормам_00-022_Август/bbc2cd71-45f1-4834-be9c-77d94e43dc78.jpg","open")</f>
        <v/>
      </c>
      <c r="C7291" t="inlineStr">
        <is>
          <t>1231bbc5-e64c-4dc7-9acc-77710f47607a</t>
        </is>
      </c>
      <c r="D7291" t="n">
        <v>55.55372</v>
      </c>
      <c r="E7291" t="n">
        <v>37.56237</v>
      </c>
      <c r="F7291" t="inlineStr"/>
      <c r="G7291" t="inlineStr"/>
      <c r="H7291" t="inlineStr"/>
    </row>
    <row r="7292">
      <c r="A7292" t="inlineStr">
        <is>
          <t>d3a31189-7e15-4bf3-9989-7cf0eae5afe1.jpg</t>
        </is>
      </c>
      <c r="B7292">
        <f>HYPERLINK("Объекты недвижимости, не соответствующие градостроительным нормам_00-022_Август/d3a31189-7e15-4bf3-9989-7cf0eae5afe1.jpg","open")</f>
        <v/>
      </c>
      <c r="C7292" t="inlineStr">
        <is>
          <t>685d9054-b74f-49ab-857b-109fd2cec80d</t>
        </is>
      </c>
      <c r="D7292" t="n">
        <v>55.55407</v>
      </c>
      <c r="E7292" t="n">
        <v>37.56531</v>
      </c>
      <c r="F7292" t="inlineStr"/>
      <c r="G7292" t="inlineStr"/>
      <c r="H7292" t="inlineStr"/>
    </row>
    <row r="7293">
      <c r="A7293" t="inlineStr">
        <is>
          <t>d0fa62aa-c635-4d3c-ab15-3365c0adf632.jpg</t>
        </is>
      </c>
      <c r="B7293">
        <f>HYPERLINK("Объекты недвижимости, не соответствующие градостроительным нормам_00-022_Август/d0fa62aa-c635-4d3c-ab15-3365c0adf632.jpg","open")</f>
        <v/>
      </c>
      <c r="C7293" t="inlineStr">
        <is>
          <t>8b2675e2-7f40-47a9-a462-7c9feecd299c</t>
        </is>
      </c>
      <c r="D7293" t="n">
        <v>55.70624</v>
      </c>
      <c r="E7293" t="n">
        <v>37.48671</v>
      </c>
      <c r="F7293" t="inlineStr"/>
      <c r="G7293" t="inlineStr"/>
      <c r="H7293" t="inlineStr"/>
    </row>
    <row r="7294">
      <c r="A7294" t="inlineStr">
        <is>
          <t>c1997b72-5c6e-4500-b9cd-a4363fe1ce10.jpg</t>
        </is>
      </c>
      <c r="B7294">
        <f>HYPERLINK("Объекты недвижимости, не соответствующие градостроительным нормам_00-022_Август/c1997b72-5c6e-4500-b9cd-a4363fe1ce10.jpg","open")</f>
        <v/>
      </c>
      <c r="C7294" t="inlineStr">
        <is>
          <t>685d9054-b74f-49ab-857b-109fd2cec80d</t>
        </is>
      </c>
      <c r="D7294" t="n">
        <v>55.54974</v>
      </c>
      <c r="E7294" t="n">
        <v>37.58641</v>
      </c>
      <c r="F7294" t="inlineStr"/>
      <c r="G7294" t="inlineStr"/>
      <c r="H7294" t="inlineStr"/>
    </row>
    <row r="7295">
      <c r="A7295" t="inlineStr">
        <is>
          <t>a21ace1e-f115-4069-9a8d-9e395d56ddc0.jpg</t>
        </is>
      </c>
      <c r="B7295">
        <f>HYPERLINK("Объекты недвижимости, не соответствующие градостроительным нормам_00-022_Август/a21ace1e-f115-4069-9a8d-9e395d56ddc0.jpg","open")</f>
        <v/>
      </c>
      <c r="C7295" t="inlineStr">
        <is>
          <t>685d9054-b74f-49ab-857b-109fd2cec80d</t>
        </is>
      </c>
      <c r="D7295" t="n">
        <v>55.54621</v>
      </c>
      <c r="E7295" t="n">
        <v>37.58491</v>
      </c>
      <c r="F7295" t="inlineStr"/>
      <c r="G7295" t="inlineStr"/>
      <c r="H7295" t="inlineStr"/>
    </row>
    <row r="7296">
      <c r="A7296" t="inlineStr">
        <is>
          <t>f2da8c66-e91f-4cf9-9708-1bf2c760156b.jpg</t>
        </is>
      </c>
      <c r="B7296">
        <f>HYPERLINK("Объекты недвижимости, не соответствующие градостроительным нормам_00-022_Август/f2da8c66-e91f-4cf9-9708-1bf2c760156b.jpg","open")</f>
        <v/>
      </c>
      <c r="C7296" t="inlineStr">
        <is>
          <t>f6f80c84-5569-48fd-b627-6f41ce4c61c4</t>
        </is>
      </c>
      <c r="D7296" t="n">
        <v>55.72625</v>
      </c>
      <c r="E7296" t="n">
        <v>37.66607</v>
      </c>
      <c r="F7296" t="inlineStr"/>
      <c r="G7296" t="inlineStr"/>
      <c r="H7296" t="inlineStr"/>
    </row>
    <row r="7297">
      <c r="A7297" t="inlineStr">
        <is>
          <t>8d093c50-bdd8-4833-849e-5f13c5ac497b.jpg</t>
        </is>
      </c>
      <c r="B7297">
        <f>HYPERLINK("Объекты недвижимости, не соответствующие градостроительным нормам_00-022_Август/8d093c50-bdd8-4833-849e-5f13c5ac497b.jpg","open")</f>
        <v/>
      </c>
      <c r="C7297" t="inlineStr">
        <is>
          <t>685d9054-b74f-49ab-857b-109fd2cec80d</t>
        </is>
      </c>
      <c r="D7297" t="n">
        <v>55.54122</v>
      </c>
      <c r="E7297" t="n">
        <v>37.57591</v>
      </c>
      <c r="F7297" t="inlineStr"/>
      <c r="G7297" t="inlineStr"/>
      <c r="H7297" t="inlineStr"/>
    </row>
    <row r="7298">
      <c r="A7298" t="inlineStr">
        <is>
          <t>8a8d2bf1-2701-42c5-8818-73db08e642c5.jpg</t>
        </is>
      </c>
      <c r="B7298">
        <f>HYPERLINK("Объекты недвижимости, не соответствующие градостроительным нормам_00-022_Август/8a8d2bf1-2701-42c5-8818-73db08e642c5.jpg","open")</f>
        <v/>
      </c>
      <c r="C7298" t="inlineStr">
        <is>
          <t>57aae8a4-582b-4309-8045-c8127a9f86ae</t>
        </is>
      </c>
      <c r="D7298" t="n">
        <v>55.80473</v>
      </c>
      <c r="E7298" t="n">
        <v>37.71691</v>
      </c>
      <c r="F7298" t="inlineStr"/>
      <c r="G7298" t="inlineStr"/>
      <c r="H7298" t="inlineStr"/>
    </row>
    <row r="7299">
      <c r="A7299" t="inlineStr">
        <is>
          <t>c6eb06c8-361f-41f2-900f-bb9af8e6f92c.jpg</t>
        </is>
      </c>
      <c r="B7299">
        <f>HYPERLINK("Объекты недвижимости, не соответствующие градостроительным нормам_00-022_Август/c6eb06c8-361f-41f2-900f-bb9af8e6f92c.jpg","open")</f>
        <v/>
      </c>
      <c r="C7299" t="inlineStr">
        <is>
          <t>31a713a9-b910-424b-b847-e0eaa2f70c70</t>
        </is>
      </c>
      <c r="D7299" t="n">
        <v>55.57533</v>
      </c>
      <c r="E7299" t="n">
        <v>37.45253</v>
      </c>
      <c r="F7299" t="inlineStr"/>
      <c r="G7299" t="inlineStr"/>
      <c r="H7299" t="inlineStr"/>
    </row>
    <row r="7300">
      <c r="A7300" t="inlineStr">
        <is>
          <t>d0f6b00f-7a8d-40eb-ac59-83031c040661.jpg</t>
        </is>
      </c>
      <c r="B7300">
        <f>HYPERLINK("Объекты недвижимости, не соответствующие градостроительным нормам_00-022_Август/d0f6b00f-7a8d-40eb-ac59-83031c040661.jpg","open")</f>
        <v/>
      </c>
      <c r="C7300" t="inlineStr">
        <is>
          <t>93848fc8-17e7-4748-9ebc-c7e379e11d2f</t>
        </is>
      </c>
      <c r="D7300" t="n">
        <v>55.68108</v>
      </c>
      <c r="E7300" t="n">
        <v>37.56675</v>
      </c>
      <c r="F7300" t="inlineStr"/>
      <c r="G7300" t="inlineStr"/>
      <c r="H7300" t="inlineStr"/>
    </row>
    <row r="7301">
      <c r="A7301" t="inlineStr">
        <is>
          <t>0f639abd-c775-4c88-a312-85e31053f535.jpg</t>
        </is>
      </c>
      <c r="B7301">
        <f>HYPERLINK("Объекты недвижимости, не соответствующие градостроительным нормам_00-022_Август/0f639abd-c775-4c88-a312-85e31053f535.jpg","open")</f>
        <v/>
      </c>
      <c r="C7301" t="inlineStr">
        <is>
          <t>61936922-4d4b-458e-80ea-6d4c450aa1d5</t>
        </is>
      </c>
      <c r="D7301" t="n">
        <v>55.70751</v>
      </c>
      <c r="E7301" t="n">
        <v>37.48112</v>
      </c>
      <c r="F7301" t="inlineStr"/>
      <c r="G7301" t="inlineStr"/>
      <c r="H7301" t="inlineStr"/>
    </row>
    <row r="7302">
      <c r="A7302" t="inlineStr">
        <is>
          <t>2149e67a-4f02-412e-acc2-42eb26663a45.jpg</t>
        </is>
      </c>
      <c r="B7302">
        <f>HYPERLINK("Объекты недвижимости, не соответствующие градостроительным нормам_00-022_Август/2149e67a-4f02-412e-acc2-42eb26663a45.jpg","open")</f>
        <v/>
      </c>
      <c r="C7302" t="inlineStr">
        <is>
          <t>9fb3d110-951f-48da-9d90-cfd7e1b5800d</t>
        </is>
      </c>
      <c r="D7302" t="n">
        <v>55.70752</v>
      </c>
      <c r="E7302" t="n">
        <v>37.48112</v>
      </c>
      <c r="F7302" t="inlineStr"/>
      <c r="G7302" t="inlineStr"/>
      <c r="H7302" t="inlineStr"/>
    </row>
    <row r="7303">
      <c r="A7303" t="inlineStr">
        <is>
          <t>9c88b322-51e9-4c21-aa44-b043d9b90593.jpg</t>
        </is>
      </c>
      <c r="B7303">
        <f>HYPERLINK("Объекты недвижимости, не соответствующие градостроительным нормам_00-022_Август/9c88b322-51e9-4c21-aa44-b043d9b90593.jpg","open")</f>
        <v/>
      </c>
      <c r="C7303" t="inlineStr">
        <is>
          <t>936502dd-24a4-4256-9fdf-0d8fb72af3ed</t>
        </is>
      </c>
      <c r="D7303" t="n">
        <v>55.60794</v>
      </c>
      <c r="E7303" t="n">
        <v>37.70483</v>
      </c>
      <c r="F7303" t="inlineStr"/>
      <c r="G7303" t="inlineStr"/>
      <c r="H7303" t="inlineStr"/>
    </row>
    <row r="7304">
      <c r="A7304" t="inlineStr">
        <is>
          <t>a8931155-337c-42c3-bcd7-b0be1b836ecd.jpg</t>
        </is>
      </c>
      <c r="B7304">
        <f>HYPERLINK("Объекты недвижимости, не соответствующие градостроительным нормам_00-022_Август/a8931155-337c-42c3-bcd7-b0be1b836ecd.jpg","open")</f>
        <v/>
      </c>
      <c r="C7304" t="inlineStr">
        <is>
          <t>93848fc8-17e7-4748-9ebc-c7e379e11d2f</t>
        </is>
      </c>
      <c r="D7304" t="n">
        <v>55.67791</v>
      </c>
      <c r="E7304" t="n">
        <v>37.57672</v>
      </c>
      <c r="F7304" t="inlineStr"/>
      <c r="G7304" t="inlineStr"/>
      <c r="H7304" t="inlineStr"/>
    </row>
    <row r="7305">
      <c r="A7305" t="inlineStr">
        <is>
          <t>3b2c57ba-5682-4cd6-a418-703f66a03555.jpg</t>
        </is>
      </c>
      <c r="B7305">
        <f>HYPERLINK("Объекты недвижимости, не соответствующие градостроительным нормам_00-022_Август/3b2c57ba-5682-4cd6-a418-703f66a03555.jpg","open")</f>
        <v/>
      </c>
      <c r="C7305" t="inlineStr">
        <is>
          <t>cbf95b01-f708-45a3-9ec0-3603469b538e</t>
        </is>
      </c>
      <c r="D7305" t="n">
        <v>55.77525</v>
      </c>
      <c r="E7305" t="n">
        <v>37.58916</v>
      </c>
      <c r="F7305" t="inlineStr"/>
      <c r="G7305" t="inlineStr"/>
      <c r="H7305" t="inlineStr"/>
    </row>
    <row r="7306">
      <c r="A7306" t="inlineStr">
        <is>
          <t>d794db80-fa10-494b-8e7c-6fd63a0e90a1.jpg</t>
        </is>
      </c>
      <c r="B7306">
        <f>HYPERLINK("Объекты недвижимости, не соответствующие градостроительным нормам_00-022_Август/d794db80-fa10-494b-8e7c-6fd63a0e90a1.jpg","open")</f>
        <v/>
      </c>
      <c r="C7306" t="inlineStr">
        <is>
          <t>31a713a9-b910-424b-b847-e0eaa2f70c70</t>
        </is>
      </c>
      <c r="D7306" t="n">
        <v>55.6074</v>
      </c>
      <c r="E7306" t="n">
        <v>37.34867</v>
      </c>
      <c r="F7306" t="inlineStr"/>
      <c r="G7306" t="inlineStr"/>
      <c r="H7306" t="inlineStr"/>
    </row>
    <row r="7307">
      <c r="A7307" t="inlineStr">
        <is>
          <t>d30856b3-6de9-4619-a34e-a39ed22aa232.jpg</t>
        </is>
      </c>
      <c r="B7307">
        <f>HYPERLINK("Объекты недвижимости, не соответствующие градостроительным нормам_00-022_Август/d30856b3-6de9-4619-a34e-a39ed22aa232.jpg","open")</f>
        <v/>
      </c>
      <c r="C7307" t="inlineStr">
        <is>
          <t>b0429a31-0c70-4b9f-8ea5-73929d82f89e</t>
        </is>
      </c>
      <c r="D7307" t="n">
        <v>55.6188</v>
      </c>
      <c r="E7307" t="n">
        <v>37.59016</v>
      </c>
      <c r="F7307" t="inlineStr"/>
      <c r="G7307" t="inlineStr"/>
      <c r="H7307" t="inlineStr"/>
    </row>
    <row r="7308">
      <c r="A7308" t="inlineStr">
        <is>
          <t>62fdd31f-e367-44bd-b430-7256eb67addd.jpg</t>
        </is>
      </c>
      <c r="B7308">
        <f>HYPERLINK("Объекты недвижимости, не соответствующие градостроительным нормам_00-022_Август/62fdd31f-e367-44bd-b430-7256eb67addd.jpg","open")</f>
        <v/>
      </c>
      <c r="C7308" t="inlineStr">
        <is>
          <t>b0429a31-0c70-4b9f-8ea5-73929d82f89e</t>
        </is>
      </c>
      <c r="D7308" t="n">
        <v>55.61875</v>
      </c>
      <c r="E7308" t="n">
        <v>37.59014</v>
      </c>
      <c r="F7308" t="inlineStr"/>
      <c r="G7308" t="inlineStr"/>
      <c r="H7308" t="inlineStr"/>
    </row>
    <row r="7309">
      <c r="A7309" t="inlineStr">
        <is>
          <t>6d3c3012-603c-43e1-9bc9-e98584e55ca9.jpg</t>
        </is>
      </c>
      <c r="B7309">
        <f>HYPERLINK("Объекты недвижимости, не соответствующие градостроительным нормам_00-022_Август/6d3c3012-603c-43e1-9bc9-e98584e55ca9.jpg","open")</f>
        <v/>
      </c>
      <c r="C7309" t="inlineStr">
        <is>
          <t>cbf95b01-f708-45a3-9ec0-3603469b538e</t>
        </is>
      </c>
      <c r="D7309" t="n">
        <v>55.77525</v>
      </c>
      <c r="E7309" t="n">
        <v>37.58916</v>
      </c>
      <c r="F7309" t="inlineStr"/>
      <c r="G7309" t="inlineStr"/>
      <c r="H7309" t="inlineStr"/>
    </row>
    <row r="7310">
      <c r="A7310" t="inlineStr">
        <is>
          <t>1877963c-dccd-472a-8003-829d53d9965f.jpg</t>
        </is>
      </c>
      <c r="B7310">
        <f>HYPERLINK("Объекты недвижимости, не соответствующие градостроительным нормам_00-022_Август/1877963c-dccd-472a-8003-829d53d9965f.jpg","open")</f>
        <v/>
      </c>
      <c r="C7310" t="inlineStr">
        <is>
          <t>50e4626c-a80e-42ab-b999-b5092c2c063f</t>
        </is>
      </c>
      <c r="D7310" t="n">
        <v>55.71282</v>
      </c>
      <c r="E7310" t="n">
        <v>37.7197</v>
      </c>
      <c r="F7310" t="inlineStr"/>
      <c r="G7310" t="inlineStr"/>
      <c r="H7310" t="inlineStr"/>
    </row>
    <row r="7311">
      <c r="A7311" t="inlineStr">
        <is>
          <t>4e621022-811b-4288-bc94-fada4e98dd0d.jpg</t>
        </is>
      </c>
      <c r="B7311">
        <f>HYPERLINK("Объекты недвижимости, не соответствующие градостроительным нормам_00-022_Август/4e621022-811b-4288-bc94-fada4e98dd0d.jpg","open")</f>
        <v/>
      </c>
      <c r="C7311" t="inlineStr">
        <is>
          <t>31a713a9-b910-424b-b847-e0eaa2f70c70</t>
        </is>
      </c>
      <c r="D7311" t="n">
        <v>55.59715</v>
      </c>
      <c r="E7311" t="n">
        <v>37.34013</v>
      </c>
      <c r="F7311" t="inlineStr"/>
      <c r="G7311" t="inlineStr"/>
      <c r="H7311" t="inlineStr"/>
    </row>
    <row r="7312">
      <c r="A7312" t="inlineStr">
        <is>
          <t>150bcead-24cc-462f-b2df-06f2755ca0f8.jpg</t>
        </is>
      </c>
      <c r="B7312">
        <f>HYPERLINK("Объекты недвижимости, не соответствующие градостроительным нормам_00-022_Август/150bcead-24cc-462f-b2df-06f2755ca0f8.jpg","open")</f>
        <v/>
      </c>
      <c r="C7312" t="inlineStr">
        <is>
          <t>8cde1fd0-eca1-4510-86ab-3c743b65fdfc</t>
        </is>
      </c>
      <c r="D7312" t="n">
        <v>55.80958</v>
      </c>
      <c r="E7312" t="n">
        <v>37.52995</v>
      </c>
      <c r="F7312" t="inlineStr"/>
      <c r="G7312" t="inlineStr"/>
      <c r="H7312" t="inlineStr"/>
    </row>
    <row r="7313">
      <c r="A7313" t="inlineStr">
        <is>
          <t>0ab37e96-56b5-47b1-b2c4-b1718e7e59f2.jpg</t>
        </is>
      </c>
      <c r="B7313">
        <f>HYPERLINK("Объекты недвижимости, не соответствующие градостроительным нормам_00-022_Август/0ab37e96-56b5-47b1-b2c4-b1718e7e59f2.jpg","open")</f>
        <v/>
      </c>
      <c r="C7313" t="inlineStr">
        <is>
          <t>8cde1fd0-eca1-4510-86ab-3c743b65fdfc</t>
        </is>
      </c>
      <c r="D7313" t="n">
        <v>55.80959</v>
      </c>
      <c r="E7313" t="n">
        <v>37.52993</v>
      </c>
      <c r="F7313" t="inlineStr"/>
      <c r="G7313" t="inlineStr"/>
      <c r="H7313" t="inlineStr"/>
    </row>
    <row r="7314">
      <c r="A7314" t="inlineStr">
        <is>
          <t>76d8ab8d-32b2-40bf-9829-6ffa93c25095.jpg</t>
        </is>
      </c>
      <c r="B7314">
        <f>HYPERLINK("Объекты недвижимости, не соответствующие градостроительным нормам_00-022_Август/76d8ab8d-32b2-40bf-9829-6ffa93c25095.jpg","open")</f>
        <v/>
      </c>
      <c r="C7314" t="inlineStr">
        <is>
          <t>8cde1fd0-eca1-4510-86ab-3c743b65fdfc</t>
        </is>
      </c>
      <c r="D7314" t="n">
        <v>55.80915</v>
      </c>
      <c r="E7314" t="n">
        <v>37.52777</v>
      </c>
      <c r="F7314" t="inlineStr"/>
      <c r="G7314" t="inlineStr"/>
      <c r="H7314" t="inlineStr"/>
    </row>
    <row r="7315">
      <c r="A7315" t="inlineStr">
        <is>
          <t>e67a1744-8256-4c60-a8d2-1ffe175ca913.jpg</t>
        </is>
      </c>
      <c r="B7315">
        <f>HYPERLINK("Объекты недвижимости, не соответствующие градостроительным нормам_00-022_Август/e67a1744-8256-4c60-a8d2-1ffe175ca913.jpg","open")</f>
        <v/>
      </c>
      <c r="C7315" t="inlineStr">
        <is>
          <t>8cde1fd0-eca1-4510-86ab-3c743b65fdfc</t>
        </is>
      </c>
      <c r="D7315" t="n">
        <v>55.80926</v>
      </c>
      <c r="E7315" t="n">
        <v>37.52734</v>
      </c>
      <c r="F7315" t="inlineStr"/>
      <c r="G7315" t="inlineStr"/>
      <c r="H7315" t="inlineStr"/>
    </row>
    <row r="7316">
      <c r="A7316" t="inlineStr">
        <is>
          <t>5cd959d5-27a8-44bf-844b-bd771d86ee64.jpg</t>
        </is>
      </c>
      <c r="B7316">
        <f>HYPERLINK("Объекты недвижимости, не соответствующие градостроительным нормам_00-022_Август/5cd959d5-27a8-44bf-844b-bd771d86ee64.jpg","open")</f>
        <v/>
      </c>
      <c r="C7316" t="inlineStr">
        <is>
          <t>8cde1fd0-eca1-4510-86ab-3c743b65fdfc</t>
        </is>
      </c>
      <c r="D7316" t="n">
        <v>55.8096</v>
      </c>
      <c r="E7316" t="n">
        <v>37.5262</v>
      </c>
      <c r="F7316" t="inlineStr"/>
      <c r="G7316" t="inlineStr"/>
      <c r="H7316" t="inlineStr"/>
    </row>
    <row r="7317">
      <c r="A7317" t="inlineStr">
        <is>
          <t>f49256f4-4fee-4f36-a7fc-b2dceb7a04f5.jpg</t>
        </is>
      </c>
      <c r="B7317">
        <f>HYPERLINK("Объекты недвижимости, не соответствующие градостроительным нормам_00-022_Август/f49256f4-4fee-4f36-a7fc-b2dceb7a04f5.jpg","open")</f>
        <v/>
      </c>
      <c r="C7317" t="inlineStr">
        <is>
          <t>ad64e6b9-1ed5-44d7-a101-4945a1f9dec6</t>
        </is>
      </c>
      <c r="D7317" t="n">
        <v>55.64828</v>
      </c>
      <c r="E7317" t="n">
        <v>37.52737</v>
      </c>
      <c r="F7317" t="inlineStr"/>
      <c r="G7317" t="inlineStr"/>
      <c r="H7317" t="inlineStr"/>
    </row>
    <row r="7318">
      <c r="A7318" t="inlineStr">
        <is>
          <t>2602131f-feec-410a-8a01-719c7c8ef579.jpg</t>
        </is>
      </c>
      <c r="B7318">
        <f>HYPERLINK("Объекты недвижимости, не соответствующие градостроительным нормам_00-022_Август/2602131f-feec-410a-8a01-719c7c8ef579.jpg","open")</f>
        <v/>
      </c>
      <c r="C7318" t="inlineStr">
        <is>
          <t>31a713a9-b910-424b-b847-e0eaa2f70c70</t>
        </is>
      </c>
      <c r="D7318" t="n">
        <v>55.59871</v>
      </c>
      <c r="E7318" t="n">
        <v>37.34985</v>
      </c>
      <c r="F7318" t="inlineStr"/>
      <c r="G7318" t="inlineStr"/>
      <c r="H7318" t="inlineStr"/>
    </row>
    <row r="7319">
      <c r="A7319" t="inlineStr">
        <is>
          <t>2a9b3260-3c9a-479e-bf84-5e411ecf9525.jpg</t>
        </is>
      </c>
      <c r="B7319">
        <f>HYPERLINK("Объекты недвижимости, не соответствующие градостроительным нормам_00-022_Август/2a9b3260-3c9a-479e-bf84-5e411ecf9525.jpg","open")</f>
        <v/>
      </c>
      <c r="C7319" t="inlineStr">
        <is>
          <t>1c951e11-4940-43c6-a447-394097e5609a</t>
        </is>
      </c>
      <c r="D7319" t="n">
        <v>55.81069</v>
      </c>
      <c r="E7319" t="n">
        <v>37.52619</v>
      </c>
      <c r="F7319" t="inlineStr"/>
      <c r="G7319" t="inlineStr"/>
      <c r="H7319" t="inlineStr"/>
    </row>
    <row r="7320">
      <c r="A7320" t="inlineStr">
        <is>
          <t>33bae2c9-6376-4852-97f4-ccc05f7c143a.jpg</t>
        </is>
      </c>
      <c r="B7320">
        <f>HYPERLINK("Объекты недвижимости, не соответствующие градостроительным нормам_00-022_Август/33bae2c9-6376-4852-97f4-ccc05f7c143a.jpg","open")</f>
        <v/>
      </c>
      <c r="C7320" t="inlineStr">
        <is>
          <t>8cde1fd0-eca1-4510-86ab-3c743b65fdfc</t>
        </is>
      </c>
      <c r="D7320" t="n">
        <v>55.80965</v>
      </c>
      <c r="E7320" t="n">
        <v>37.526</v>
      </c>
      <c r="F7320" t="inlineStr"/>
      <c r="G7320" t="inlineStr"/>
      <c r="H7320" t="inlineStr"/>
    </row>
    <row r="7321">
      <c r="A7321" t="inlineStr">
        <is>
          <t>c38a6397-a5e3-4d26-b5ad-0c17482f8bd4.jpg</t>
        </is>
      </c>
      <c r="B7321">
        <f>HYPERLINK("Объекты недвижимости, не соответствующие градостроительным нормам_00-022_Август/c38a6397-a5e3-4d26-b5ad-0c17482f8bd4.jpg","open")</f>
        <v/>
      </c>
      <c r="C7321" t="inlineStr">
        <is>
          <t>50e4626c-a80e-42ab-b999-b5092c2c063f</t>
        </is>
      </c>
      <c r="D7321" t="n">
        <v>55.73095</v>
      </c>
      <c r="E7321" t="n">
        <v>37.67339</v>
      </c>
      <c r="F7321" t="inlineStr"/>
      <c r="G7321" t="inlineStr"/>
      <c r="H7321" t="inlineStr"/>
    </row>
    <row r="7322">
      <c r="A7322" t="inlineStr">
        <is>
          <t>032250b8-629a-4dbc-9755-55f7c0350681.jpg</t>
        </is>
      </c>
      <c r="B7322">
        <f>HYPERLINK("Объекты недвижимости, не соответствующие градостроительным нормам_00-022_Август/032250b8-629a-4dbc-9755-55f7c0350681.jpg","open")</f>
        <v/>
      </c>
      <c r="C7322" t="inlineStr">
        <is>
          <t>1c951e11-4940-43c6-a447-394097e5609a</t>
        </is>
      </c>
      <c r="D7322" t="n">
        <v>55.81232</v>
      </c>
      <c r="E7322" t="n">
        <v>37.52647</v>
      </c>
      <c r="F7322" t="inlineStr"/>
      <c r="G7322" t="inlineStr"/>
      <c r="H7322" t="inlineStr"/>
    </row>
    <row r="7323">
      <c r="A7323" t="inlineStr">
        <is>
          <t>ece8ea41-bec9-4469-80e9-4791a76e3df3.jpg</t>
        </is>
      </c>
      <c r="B7323">
        <f>HYPERLINK("Объекты недвижимости, не соответствующие градостроительным нормам_00-022_Август/ece8ea41-bec9-4469-80e9-4791a76e3df3.jpg","open")</f>
        <v/>
      </c>
      <c r="C7323" t="inlineStr">
        <is>
          <t>cbf95b01-f708-45a3-9ec0-3603469b538e</t>
        </is>
      </c>
      <c r="D7323" t="n">
        <v>55.72632</v>
      </c>
      <c r="E7323" t="n">
        <v>37.67765</v>
      </c>
      <c r="F7323" t="inlineStr"/>
      <c r="G7323" t="inlineStr"/>
      <c r="H7323" t="inlineStr"/>
    </row>
    <row r="7324">
      <c r="A7324" t="inlineStr">
        <is>
          <t>ea54fbdd-a71b-463b-8471-56f01f64530f.jpg</t>
        </is>
      </c>
      <c r="B7324">
        <f>HYPERLINK("Объекты недвижимости, не соответствующие градостроительным нормам_00-022_Август/ea54fbdd-a71b-463b-8471-56f01f64530f.jpg","open")</f>
        <v/>
      </c>
      <c r="C7324" t="inlineStr">
        <is>
          <t>50e4626c-a80e-42ab-b999-b5092c2c063f</t>
        </is>
      </c>
      <c r="D7324" t="n">
        <v>55.73095</v>
      </c>
      <c r="E7324" t="n">
        <v>37.67339</v>
      </c>
      <c r="F7324" t="inlineStr"/>
      <c r="G7324" t="inlineStr"/>
      <c r="H7324" t="inlineStr"/>
    </row>
    <row r="7325">
      <c r="A7325" t="inlineStr">
        <is>
          <t>2a172b98-763f-4b4f-9338-89168dfa76c5.jpg</t>
        </is>
      </c>
      <c r="B7325">
        <f>HYPERLINK("Объекты недвижимости, не соответствующие градостроительным нормам_00-022_Август/2a172b98-763f-4b4f-9338-89168dfa76c5.jpg","open")</f>
        <v/>
      </c>
      <c r="C7325" t="inlineStr">
        <is>
          <t>cbf95b01-f708-45a3-9ec0-3603469b538e</t>
        </is>
      </c>
      <c r="D7325" t="n">
        <v>55.72632</v>
      </c>
      <c r="E7325" t="n">
        <v>37.67765</v>
      </c>
      <c r="F7325" t="inlineStr"/>
      <c r="G7325" t="inlineStr"/>
      <c r="H7325" t="inlineStr"/>
    </row>
    <row r="7326">
      <c r="A7326" t="inlineStr">
        <is>
          <t>6da4e326-e869-4780-ba34-679dddd44858.jpg</t>
        </is>
      </c>
      <c r="B7326">
        <f>HYPERLINK("Объекты недвижимости, не соответствующие градостроительным нормам_00-022_Август/6da4e326-e869-4780-ba34-679dddd44858.jpg","open")</f>
        <v/>
      </c>
      <c r="C7326" t="inlineStr">
        <is>
          <t>685d9054-b74f-49ab-857b-109fd2cec80d</t>
        </is>
      </c>
      <c r="D7326" t="n">
        <v>55.53947</v>
      </c>
      <c r="E7326" t="n">
        <v>37.57498</v>
      </c>
      <c r="F7326" t="inlineStr"/>
      <c r="G7326" t="inlineStr"/>
      <c r="H7326" t="inlineStr"/>
    </row>
    <row r="7327">
      <c r="A7327" t="inlineStr">
        <is>
          <t>0f309f33-b256-45df-a99a-e8a12ad2434a.jpg</t>
        </is>
      </c>
      <c r="B7327">
        <f>HYPERLINK("Объекты недвижимости, не соответствующие градостроительным нормам_00-022_Август/0f309f33-b256-45df-a99a-e8a12ad2434a.jpg","open")</f>
        <v/>
      </c>
      <c r="C7327" t="inlineStr">
        <is>
          <t>cbf95b01-f708-45a3-9ec0-3603469b538e</t>
        </is>
      </c>
      <c r="D7327" t="n">
        <v>55.72632</v>
      </c>
      <c r="E7327" t="n">
        <v>37.67765</v>
      </c>
      <c r="F7327" t="inlineStr"/>
      <c r="G7327" t="inlineStr"/>
      <c r="H7327" t="inlineStr"/>
    </row>
    <row r="7328">
      <c r="A7328" t="inlineStr">
        <is>
          <t>d2992efb-0445-4fab-8ee0-75ad3ac77dba.jpg</t>
        </is>
      </c>
      <c r="B7328">
        <f>HYPERLINK("Объекты недвижимости, не соответствующие градостроительным нормам_00-022_Август/d2992efb-0445-4fab-8ee0-75ad3ac77dba.jpg","open")</f>
        <v/>
      </c>
      <c r="C7328" t="inlineStr">
        <is>
          <t>cbf95b01-f708-45a3-9ec0-3603469b538e</t>
        </is>
      </c>
      <c r="D7328" t="n">
        <v>55.72632</v>
      </c>
      <c r="E7328" t="n">
        <v>37.67765</v>
      </c>
      <c r="F7328" t="inlineStr"/>
      <c r="G7328" t="inlineStr"/>
      <c r="H7328" t="inlineStr"/>
    </row>
    <row r="7329">
      <c r="A7329" t="inlineStr">
        <is>
          <t>140687b9-ca82-4797-81f5-d6d3b51a3771.jpg</t>
        </is>
      </c>
      <c r="B7329">
        <f>HYPERLINK("Объекты недвижимости, не соответствующие градостроительным нормам_00-022_Август/140687b9-ca82-4797-81f5-d6d3b51a3771.jpg","open")</f>
        <v/>
      </c>
      <c r="C7329" t="inlineStr">
        <is>
          <t>31a713a9-b910-424b-b847-e0eaa2f70c70</t>
        </is>
      </c>
      <c r="D7329" t="n">
        <v>55.60484</v>
      </c>
      <c r="E7329" t="n">
        <v>37.35306</v>
      </c>
      <c r="F7329" t="inlineStr"/>
      <c r="G7329" t="inlineStr"/>
      <c r="H7329" t="inlineStr"/>
    </row>
    <row r="7330">
      <c r="A7330" t="inlineStr">
        <is>
          <t>90708693-84e0-48f0-bf87-c81b268694fb.jpg</t>
        </is>
      </c>
      <c r="B7330">
        <f>HYPERLINK("Объекты недвижимости, не соответствующие градостроительным нормам_00-022_Август/90708693-84e0-48f0-bf87-c81b268694fb.jpg","open")</f>
        <v/>
      </c>
      <c r="C7330" t="inlineStr">
        <is>
          <t>e26f5fc2-1353-4f29-85f3-87c56419161c</t>
        </is>
      </c>
      <c r="D7330" t="n">
        <v>55.8983</v>
      </c>
      <c r="E7330" t="n">
        <v>37.59465</v>
      </c>
      <c r="F7330" t="inlineStr"/>
      <c r="G7330" t="inlineStr"/>
      <c r="H7330" t="inlineStr"/>
    </row>
    <row r="7331">
      <c r="A7331" t="inlineStr">
        <is>
          <t>cfef9d8e-2ffc-4f8f-ac01-9f54380d0bc1.jpg</t>
        </is>
      </c>
      <c r="B7331">
        <f>HYPERLINK("Объекты недвижимости, не соответствующие градостроительным нормам_00-022_Август/cfef9d8e-2ffc-4f8f-ac01-9f54380d0bc1.jpg","open")</f>
        <v/>
      </c>
      <c r="C7331" t="inlineStr">
        <is>
          <t>29ad9edb-d533-4272-a986-be24eb004851</t>
        </is>
      </c>
      <c r="D7331" t="n">
        <v>55.78221</v>
      </c>
      <c r="E7331" t="n">
        <v>37.66845</v>
      </c>
      <c r="F7331" t="inlineStr"/>
      <c r="G7331" t="inlineStr"/>
      <c r="H7331" t="inlineStr"/>
    </row>
    <row r="7332">
      <c r="A7332" t="inlineStr">
        <is>
          <t>ffa6820d-5dde-4f03-9624-28970b97709c.jpg</t>
        </is>
      </c>
      <c r="B7332">
        <f>HYPERLINK("Объекты недвижимости, не соответствующие градостроительным нормам_00-022_Август/ffa6820d-5dde-4f03-9624-28970b97709c.jpg","open")</f>
        <v/>
      </c>
      <c r="C7332" t="inlineStr">
        <is>
          <t>57aae8a4-582b-4309-8045-c8127a9f86ae</t>
        </is>
      </c>
      <c r="D7332" t="n">
        <v>55.79488</v>
      </c>
      <c r="E7332" t="n">
        <v>37.71441</v>
      </c>
      <c r="F7332" t="inlineStr"/>
      <c r="G7332" t="inlineStr"/>
      <c r="H7332" t="inlineStr"/>
    </row>
    <row r="7333">
      <c r="A7333" t="inlineStr">
        <is>
          <t>e370f504-ba0d-4a4c-9b5f-339a20b1d540.jpg</t>
        </is>
      </c>
      <c r="B7333">
        <f>HYPERLINK("Объекты недвижимости, не соответствующие градостроительным нормам_00-022_Август/e370f504-ba0d-4a4c-9b5f-339a20b1d540.jpg","open")</f>
        <v/>
      </c>
      <c r="C7333" t="inlineStr">
        <is>
          <t>1c951e11-4940-43c6-a447-394097e5609a</t>
        </is>
      </c>
      <c r="D7333" t="n">
        <v>55.81158</v>
      </c>
      <c r="E7333" t="n">
        <v>37.5307</v>
      </c>
      <c r="F7333" t="inlineStr"/>
      <c r="G7333" t="inlineStr"/>
      <c r="H7333" t="inlineStr"/>
    </row>
    <row r="7334">
      <c r="A7334" t="inlineStr">
        <is>
          <t>e799ef8f-3520-464d-8e24-6931730d098f.jpg</t>
        </is>
      </c>
      <c r="B7334">
        <f>HYPERLINK("Объекты недвижимости, не соответствующие градостроительным нормам_00-022_Август/e799ef8f-3520-464d-8e24-6931730d098f.jpg","open")</f>
        <v/>
      </c>
      <c r="C7334" t="inlineStr">
        <is>
          <t>8cde1fd0-eca1-4510-86ab-3c743b65fdfc</t>
        </is>
      </c>
      <c r="D7334" t="n">
        <v>55.81154</v>
      </c>
      <c r="E7334" t="n">
        <v>37.53069</v>
      </c>
      <c r="F7334" t="inlineStr"/>
      <c r="G7334" t="inlineStr"/>
      <c r="H7334" t="inlineStr"/>
    </row>
    <row r="7335">
      <c r="A7335" t="inlineStr">
        <is>
          <t>c5f14c6b-2b2f-41bc-945a-9ab97f9a5a43.jpg</t>
        </is>
      </c>
      <c r="B7335">
        <f>HYPERLINK("Объекты недвижимости, не соответствующие градостроительным нормам_00-022_Август/c5f14c6b-2b2f-41bc-945a-9ab97f9a5a43.jpg","open")</f>
        <v/>
      </c>
      <c r="C7335" t="inlineStr">
        <is>
          <t>685d9054-b74f-49ab-857b-109fd2cec80d</t>
        </is>
      </c>
      <c r="D7335" t="n">
        <v>55.54083</v>
      </c>
      <c r="E7335" t="n">
        <v>37.57985</v>
      </c>
      <c r="F7335" t="inlineStr"/>
      <c r="G7335" t="inlineStr"/>
      <c r="H7335" t="inlineStr"/>
    </row>
    <row r="7336">
      <c r="A7336" t="inlineStr">
        <is>
          <t>cb169ee1-6f09-4d8b-88f4-35f555d73299.jpg</t>
        </is>
      </c>
      <c r="B7336">
        <f>HYPERLINK("Объекты недвижимости, не соответствующие градостроительным нормам_00-022_Август/cb169ee1-6f09-4d8b-88f4-35f555d73299.jpg","open")</f>
        <v/>
      </c>
      <c r="C7336" t="inlineStr">
        <is>
          <t>1231bbc5-e64c-4dc7-9acc-77710f47607a</t>
        </is>
      </c>
      <c r="D7336" t="n">
        <v>55.54084</v>
      </c>
      <c r="E7336" t="n">
        <v>37.57983</v>
      </c>
      <c r="F7336" t="inlineStr"/>
      <c r="G7336" t="inlineStr"/>
      <c r="H7336" t="inlineStr"/>
    </row>
    <row r="7337">
      <c r="A7337" t="inlineStr">
        <is>
          <t>e5086d96-fe95-4ee6-9242-968f2cf930f7.jpg</t>
        </is>
      </c>
      <c r="B7337">
        <f>HYPERLINK("Объекты недвижимости, не соответствующие градостроительным нормам_00-022_Август/e5086d96-fe95-4ee6-9242-968f2cf930f7.jpg","open")</f>
        <v/>
      </c>
      <c r="C7337" t="inlineStr">
        <is>
          <t>8cde1fd0-eca1-4510-86ab-3c743b65fdfc</t>
        </is>
      </c>
      <c r="D7337" t="n">
        <v>55.81139</v>
      </c>
      <c r="E7337" t="n">
        <v>37.53234</v>
      </c>
      <c r="F7337" t="inlineStr"/>
      <c r="G7337" t="inlineStr"/>
      <c r="H7337" t="inlineStr"/>
    </row>
    <row r="7338">
      <c r="A7338" t="inlineStr">
        <is>
          <t>86214b03-8871-4a46-ac3c-10e48c79e064.jpg</t>
        </is>
      </c>
      <c r="B7338">
        <f>HYPERLINK("Объекты недвижимости, не соответствующие градостроительным нормам_00-022_Август/86214b03-8871-4a46-ac3c-10e48c79e064.jpg","open")</f>
        <v/>
      </c>
      <c r="C7338" t="inlineStr">
        <is>
          <t>036c664f-5408-4fd0-b479-342c00468eeb</t>
        </is>
      </c>
      <c r="D7338" t="n">
        <v>55.7676</v>
      </c>
      <c r="E7338" t="n">
        <v>37.40863</v>
      </c>
      <c r="F7338" t="inlineStr"/>
      <c r="G7338" t="inlineStr"/>
      <c r="H7338" t="inlineStr"/>
    </row>
    <row r="7339">
      <c r="A7339" t="inlineStr">
        <is>
          <t>024c2be5-4c74-4012-8e33-ef0f6a889840.jpg</t>
        </is>
      </c>
      <c r="B7339">
        <f>HYPERLINK("Объекты недвижимости, не соответствующие градостроительным нормам_00-022_Август/024c2be5-4c74-4012-8e33-ef0f6a889840.jpg","open")</f>
        <v/>
      </c>
      <c r="C7339" t="inlineStr">
        <is>
          <t>cbf95b01-f708-45a3-9ec0-3603469b538e</t>
        </is>
      </c>
      <c r="D7339" t="n">
        <v>55.73886</v>
      </c>
      <c r="E7339" t="n">
        <v>37.66465</v>
      </c>
      <c r="F7339" t="inlineStr"/>
      <c r="G7339" t="inlineStr"/>
      <c r="H7339" t="inlineStr"/>
    </row>
    <row r="7340">
      <c r="A7340" t="inlineStr">
        <is>
          <t>695c73ea-e42b-4f6d-ad8f-3ec60f4877d3.jpg</t>
        </is>
      </c>
      <c r="B7340">
        <f>HYPERLINK("Объекты недвижимости, не соответствующие градостроительным нормам_00-022_Август/695c73ea-e42b-4f6d-ad8f-3ec60f4877d3.jpg","open")</f>
        <v/>
      </c>
      <c r="C7340" t="inlineStr">
        <is>
          <t>57aae8a4-582b-4309-8045-c8127a9f86ae</t>
        </is>
      </c>
      <c r="D7340" t="n">
        <v>55.79085</v>
      </c>
      <c r="E7340" t="n">
        <v>37.71308</v>
      </c>
      <c r="F7340" t="inlineStr"/>
      <c r="G7340" t="inlineStr"/>
      <c r="H7340" t="inlineStr"/>
    </row>
    <row r="7341">
      <c r="A7341" t="inlineStr">
        <is>
          <t>2683f89f-1595-4534-aba4-211169a7248e.jpg</t>
        </is>
      </c>
      <c r="B7341">
        <f>HYPERLINK("Объекты недвижимости, не соответствующие градостроительным нормам_00-022_Август/2683f89f-1595-4534-aba4-211169a7248e.jpg","open")</f>
        <v/>
      </c>
      <c r="C7341" t="inlineStr">
        <is>
          <t>8cde1fd0-eca1-4510-86ab-3c743b65fdfc</t>
        </is>
      </c>
      <c r="D7341" t="n">
        <v>55.8122</v>
      </c>
      <c r="E7341" t="n">
        <v>37.53214</v>
      </c>
      <c r="F7341" t="inlineStr"/>
      <c r="G7341" t="inlineStr"/>
      <c r="H7341" t="inlineStr"/>
    </row>
    <row r="7342">
      <c r="A7342" t="inlineStr">
        <is>
          <t>ca386e5b-e821-49df-8dda-b0ab16ae9e3e.jpg</t>
        </is>
      </c>
      <c r="B7342">
        <f>HYPERLINK("Объекты недвижимости, не соответствующие градостроительным нормам_00-022_Август/ca386e5b-e821-49df-8dda-b0ab16ae9e3e.jpg","open")</f>
        <v/>
      </c>
      <c r="C7342" t="inlineStr">
        <is>
          <t>57aae8a4-582b-4309-8045-c8127a9f86ae</t>
        </is>
      </c>
      <c r="D7342" t="n">
        <v>55.79089</v>
      </c>
      <c r="E7342" t="n">
        <v>37.7131</v>
      </c>
      <c r="F7342" t="inlineStr"/>
      <c r="G7342" t="inlineStr"/>
      <c r="H7342" t="inlineStr"/>
    </row>
    <row r="7343">
      <c r="A7343" t="inlineStr">
        <is>
          <t>7b10e5c0-fea4-4d8d-9045-c7879f473f6d.jpg</t>
        </is>
      </c>
      <c r="B7343">
        <f>HYPERLINK("Объекты недвижимости, не соответствующие градостроительным нормам_00-022_Август/7b10e5c0-fea4-4d8d-9045-c7879f473f6d.jpg","open")</f>
        <v/>
      </c>
      <c r="C7343" t="inlineStr">
        <is>
          <t>50e4626c-a80e-42ab-b999-b5092c2c063f</t>
        </is>
      </c>
      <c r="D7343" t="n">
        <v>55.73095</v>
      </c>
      <c r="E7343" t="n">
        <v>37.67339</v>
      </c>
      <c r="F7343" t="inlineStr"/>
      <c r="G7343" t="inlineStr"/>
      <c r="H7343" t="inlineStr"/>
    </row>
    <row r="7344">
      <c r="A7344" t="inlineStr">
        <is>
          <t>463458e2-02de-4f06-b7fc-c692afd5ef9c.jpg</t>
        </is>
      </c>
      <c r="B7344">
        <f>HYPERLINK("Объекты недвижимости, не соответствующие градостроительным нормам_00-022_Август/463458e2-02de-4f06-b7fc-c692afd5ef9c.jpg","open")</f>
        <v/>
      </c>
      <c r="C7344" t="inlineStr">
        <is>
          <t>1c951e11-4940-43c6-a447-394097e5609a</t>
        </is>
      </c>
      <c r="D7344" t="n">
        <v>55.81136</v>
      </c>
      <c r="E7344" t="n">
        <v>37.53767</v>
      </c>
      <c r="F7344" t="inlineStr"/>
      <c r="G7344" t="inlineStr"/>
      <c r="H7344" t="inlineStr"/>
    </row>
    <row r="7345">
      <c r="A7345" t="inlineStr">
        <is>
          <t>01715e68-67ea-4c4f-b1e1-fe64f098b450.jpg</t>
        </is>
      </c>
      <c r="B7345">
        <f>HYPERLINK("Объекты недвижимости, не соответствующие градостроительным нормам_00-022_Август/01715e68-67ea-4c4f-b1e1-fe64f098b450.jpg","open")</f>
        <v/>
      </c>
      <c r="C7345" t="inlineStr">
        <is>
          <t>e26f5fc2-1353-4f29-85f3-87c56419161c</t>
        </is>
      </c>
      <c r="D7345" t="n">
        <v>55.90023</v>
      </c>
      <c r="E7345" t="n">
        <v>37.54682</v>
      </c>
      <c r="F7345" t="inlineStr"/>
      <c r="G7345" t="inlineStr"/>
      <c r="H7345" t="inlineStr"/>
    </row>
    <row r="7346">
      <c r="A7346" t="inlineStr">
        <is>
          <t>acca6785-ce65-448f-b687-4d3ea643a460.jpg</t>
        </is>
      </c>
      <c r="B7346">
        <f>HYPERLINK("Объекты недвижимости, не соответствующие градостроительным нормам_00-022_Август/acca6785-ce65-448f-b687-4d3ea643a460.jpg","open")</f>
        <v/>
      </c>
      <c r="C7346" t="inlineStr">
        <is>
          <t>8cde1fd0-eca1-4510-86ab-3c743b65fdfc</t>
        </is>
      </c>
      <c r="D7346" t="n">
        <v>55.80978</v>
      </c>
      <c r="E7346" t="n">
        <v>37.52541</v>
      </c>
      <c r="F7346" t="inlineStr"/>
      <c r="G7346" t="inlineStr"/>
      <c r="H7346" t="inlineStr"/>
    </row>
    <row r="7347">
      <c r="A7347" t="inlineStr">
        <is>
          <t>0d8cade1-dc1b-4e0c-8fc5-b3ff5d67f2f2.jpg</t>
        </is>
      </c>
      <c r="B7347">
        <f>HYPERLINK("Объекты недвижимости, не соответствующие градостроительным нормам_00-022_Август/0d8cade1-dc1b-4e0c-8fc5-b3ff5d67f2f2.jpg","open")</f>
        <v/>
      </c>
      <c r="C7347" t="inlineStr">
        <is>
          <t>b0b7ea82-53be-40d0-b992-e2fd18611d5c</t>
        </is>
      </c>
      <c r="D7347" t="n">
        <v>55.70251</v>
      </c>
      <c r="E7347" t="n">
        <v>37.81663</v>
      </c>
      <c r="F7347" t="inlineStr"/>
      <c r="G7347" t="inlineStr"/>
      <c r="H7347" t="inlineStr"/>
    </row>
    <row r="7348">
      <c r="A7348" t="inlineStr">
        <is>
          <t>123cba45-f2f9-4411-91f1-4c9ff50e2b58.jpg</t>
        </is>
      </c>
      <c r="B7348">
        <f>HYPERLINK("Объекты недвижимости, не соответствующие градостроительным нормам_00-022_Август/123cba45-f2f9-4411-91f1-4c9ff50e2b58.jpg","open")</f>
        <v/>
      </c>
      <c r="C7348" t="inlineStr">
        <is>
          <t>e26f5fc2-1353-4f29-85f3-87c56419161c</t>
        </is>
      </c>
      <c r="D7348" t="n">
        <v>55.89913</v>
      </c>
      <c r="E7348" t="n">
        <v>37.53078</v>
      </c>
      <c r="F7348" t="inlineStr"/>
      <c r="G7348" t="inlineStr"/>
      <c r="H7348" t="inlineStr"/>
    </row>
    <row r="7349">
      <c r="A7349" t="inlineStr">
        <is>
          <t>b8a85a51-2270-4eea-95e3-69871a922c4f.jpg</t>
        </is>
      </c>
      <c r="B7349">
        <f>HYPERLINK("Объекты недвижимости, не соответствующие градостроительным нормам_00-022_Август/b8a85a51-2270-4eea-95e3-69871a922c4f.jpg","open")</f>
        <v/>
      </c>
      <c r="C7349" t="inlineStr">
        <is>
          <t>fce890a6-27da-4062-a046-08262a160ee6</t>
        </is>
      </c>
      <c r="D7349" t="n">
        <v>55.7533</v>
      </c>
      <c r="E7349" t="n">
        <v>37.67198</v>
      </c>
      <c r="F7349" t="inlineStr"/>
      <c r="G7349" t="inlineStr"/>
      <c r="H7349" t="inlineStr"/>
    </row>
    <row r="7350">
      <c r="A7350" t="inlineStr">
        <is>
          <t>81c73444-0c59-48ac-b903-a8695d3c6dd9.jpg</t>
        </is>
      </c>
      <c r="B7350">
        <f>HYPERLINK("Объекты недвижимости, не соответствующие градостроительным нормам_00-022_Август/81c73444-0c59-48ac-b903-a8695d3c6dd9.jpg","open")</f>
        <v/>
      </c>
      <c r="C7350" t="inlineStr">
        <is>
          <t>cbf95b01-f708-45a3-9ec0-3603469b538e</t>
        </is>
      </c>
      <c r="D7350" t="n">
        <v>55.73886</v>
      </c>
      <c r="E7350" t="n">
        <v>37.66465</v>
      </c>
      <c r="F7350" t="inlineStr"/>
      <c r="G7350" t="inlineStr"/>
      <c r="H7350" t="inlineStr"/>
    </row>
    <row r="7351">
      <c r="A7351" t="inlineStr">
        <is>
          <t>6c90c00d-65f1-4ebe-ac55-45de9dc829c6.jpg</t>
        </is>
      </c>
      <c r="B7351">
        <f>HYPERLINK("Объекты недвижимости, не соответствующие градостроительным нормам_00-022_Август/6c90c00d-65f1-4ebe-ac55-45de9dc829c6.jpg","open")</f>
        <v/>
      </c>
      <c r="C7351" t="inlineStr">
        <is>
          <t>57aae8a4-582b-4309-8045-c8127a9f86ae</t>
        </is>
      </c>
      <c r="D7351" t="n">
        <v>55.78595</v>
      </c>
      <c r="E7351" t="n">
        <v>37.71695</v>
      </c>
      <c r="F7351" t="inlineStr"/>
      <c r="G7351" t="inlineStr"/>
      <c r="H7351" t="inlineStr"/>
    </row>
    <row r="7352">
      <c r="A7352" t="inlineStr">
        <is>
          <t>51006e4e-b269-44be-9cb2-732610ba0e9b.jpg</t>
        </is>
      </c>
      <c r="B7352">
        <f>HYPERLINK("Объекты недвижимости, не соответствующие градостроительным нормам_00-022_Август/51006e4e-b269-44be-9cb2-732610ba0e9b.jpg","open")</f>
        <v/>
      </c>
      <c r="C7352" t="inlineStr">
        <is>
          <t>fce890a6-27da-4062-a046-08262a160ee6</t>
        </is>
      </c>
      <c r="D7352" t="n">
        <v>55.7533</v>
      </c>
      <c r="E7352" t="n">
        <v>37.67198</v>
      </c>
      <c r="F7352" t="inlineStr"/>
      <c r="G7352" t="inlineStr"/>
      <c r="H7352" t="inlineStr"/>
    </row>
    <row r="7353">
      <c r="A7353" t="inlineStr">
        <is>
          <t>0ae5e9d3-52ab-4492-a03a-9fad878a0571.jpg</t>
        </is>
      </c>
      <c r="B7353">
        <f>HYPERLINK("Объекты недвижимости, не соответствующие градостроительным нормам_00-022_Август/0ae5e9d3-52ab-4492-a03a-9fad878a0571.jpg","open")</f>
        <v/>
      </c>
      <c r="C7353" t="inlineStr">
        <is>
          <t>57aae8a4-582b-4309-8045-c8127a9f86ae</t>
        </is>
      </c>
      <c r="D7353" t="n">
        <v>55.78585</v>
      </c>
      <c r="E7353" t="n">
        <v>37.71592</v>
      </c>
      <c r="F7353" t="inlineStr"/>
      <c r="G7353" t="inlineStr"/>
      <c r="H7353" t="inlineStr"/>
    </row>
    <row r="7354">
      <c r="A7354" t="inlineStr">
        <is>
          <t>4ad0cb4b-a7a9-4c81-8301-80002a54daa7.jpg</t>
        </is>
      </c>
      <c r="B7354">
        <f>HYPERLINK("Объекты недвижимости, не соответствующие градостроительным нормам_00-022_Август/4ad0cb4b-a7a9-4c81-8301-80002a54daa7.jpg","open")</f>
        <v/>
      </c>
      <c r="C7354" t="inlineStr">
        <is>
          <t>b6b3590f-f506-4399-8205-e7ac710132e7</t>
        </is>
      </c>
      <c r="D7354" t="n">
        <v>55.80688</v>
      </c>
      <c r="E7354" t="n">
        <v>37.54179</v>
      </c>
      <c r="F7354" t="inlineStr"/>
      <c r="G7354" t="inlineStr"/>
      <c r="H7354" t="inlineStr"/>
    </row>
    <row r="7355">
      <c r="A7355" t="inlineStr">
        <is>
          <t>9033708c-fb44-4596-a9a3-f7d2e246d833.jpg</t>
        </is>
      </c>
      <c r="B7355">
        <f>HYPERLINK("Объекты недвижимости, не соответствующие градостроительным нормам_00-022_Август/9033708c-fb44-4596-a9a3-f7d2e246d833.jpg","open")</f>
        <v/>
      </c>
      <c r="C7355" t="inlineStr">
        <is>
          <t>8cde1fd0-eca1-4510-86ab-3c743b65fdfc</t>
        </is>
      </c>
      <c r="D7355" t="n">
        <v>55.80913</v>
      </c>
      <c r="E7355" t="n">
        <v>37.5279</v>
      </c>
      <c r="F7355" t="inlineStr"/>
      <c r="G7355" t="inlineStr"/>
      <c r="H7355" t="inlineStr"/>
    </row>
    <row r="7356">
      <c r="A7356" t="inlineStr">
        <is>
          <t>c9bcee1d-7f95-40ac-b4d7-55e8c25b1182.jpg</t>
        </is>
      </c>
      <c r="B7356">
        <f>HYPERLINK("Объекты недвижимости, не соответствующие градостроительным нормам_00-022_Август/c9bcee1d-7f95-40ac-b4d7-55e8c25b1182.jpg","open")</f>
        <v/>
      </c>
      <c r="C7356" t="inlineStr">
        <is>
          <t>8cde1fd0-eca1-4510-86ab-3c743b65fdfc</t>
        </is>
      </c>
      <c r="D7356" t="n">
        <v>55.80951</v>
      </c>
      <c r="E7356" t="n">
        <v>37.52639</v>
      </c>
      <c r="F7356" t="inlineStr"/>
      <c r="G7356" t="inlineStr"/>
      <c r="H7356" t="inlineStr"/>
    </row>
    <row r="7357">
      <c r="A7357" t="inlineStr">
        <is>
          <t>affd4427-c4e4-48e9-8d9f-91166c4e26f9.jpg</t>
        </is>
      </c>
      <c r="B7357">
        <f>HYPERLINK("Объекты недвижимости, не соответствующие градостроительным нормам_00-022_Август/affd4427-c4e4-48e9-8d9f-91166c4e26f9.jpg","open")</f>
        <v/>
      </c>
      <c r="C7357" t="inlineStr">
        <is>
          <t>f6f80c84-5569-48fd-b627-6f41ce4c61c4</t>
        </is>
      </c>
      <c r="D7357" t="n">
        <v>55.70588</v>
      </c>
      <c r="E7357" t="n">
        <v>37.68058</v>
      </c>
      <c r="F7357" t="inlineStr"/>
      <c r="G7357" t="inlineStr"/>
      <c r="H7357" t="inlineStr"/>
    </row>
    <row r="7358">
      <c r="A7358" t="inlineStr">
        <is>
          <t>321eda7e-5847-423f-bd5d-fe2b2fd8a29e.jpg</t>
        </is>
      </c>
      <c r="B7358">
        <f>HYPERLINK("Объекты недвижимости, не соответствующие градостроительным нормам_00-022_Август/321eda7e-5847-423f-bd5d-fe2b2fd8a29e.jpg","open")</f>
        <v/>
      </c>
      <c r="C7358" t="inlineStr">
        <is>
          <t>e26f5fc2-1353-4f29-85f3-87c56419161c</t>
        </is>
      </c>
      <c r="D7358" t="n">
        <v>55.89069</v>
      </c>
      <c r="E7358" t="n">
        <v>37.51466</v>
      </c>
      <c r="F7358" t="inlineStr"/>
      <c r="G7358" t="inlineStr"/>
      <c r="H7358" t="inlineStr"/>
    </row>
    <row r="7359">
      <c r="A7359" t="inlineStr">
        <is>
          <t>85266cba-8b85-4a90-8bfb-853f8f9f1dbf.jpg</t>
        </is>
      </c>
      <c r="B7359">
        <f>HYPERLINK("Объекты недвижимости, не соответствующие градостроительным нормам_00-022_Август/85266cba-8b85-4a90-8bfb-853f8f9f1dbf.jpg","open")</f>
        <v/>
      </c>
      <c r="C7359" t="inlineStr">
        <is>
          <t>f6f80c84-5569-48fd-b627-6f41ce4c61c4</t>
        </is>
      </c>
      <c r="D7359" t="n">
        <v>55.70607</v>
      </c>
      <c r="E7359" t="n">
        <v>37.67961</v>
      </c>
      <c r="F7359" t="inlineStr"/>
      <c r="G7359" t="inlineStr"/>
      <c r="H7359" t="inlineStr"/>
    </row>
    <row r="7360">
      <c r="A7360" t="inlineStr">
        <is>
          <t>53d0e21f-7b42-4ea9-8a12-72c25418ad4e.jpg</t>
        </is>
      </c>
      <c r="B7360">
        <f>HYPERLINK("Объекты недвижимости, не соответствующие градостроительным нормам_00-022_Август/53d0e21f-7b42-4ea9-8a12-72c25418ad4e.jpg","open")</f>
        <v/>
      </c>
      <c r="C7360" t="inlineStr">
        <is>
          <t>caa4772d-6278-4484-a046-ee25514bf521</t>
        </is>
      </c>
      <c r="D7360" t="n">
        <v>55.70607</v>
      </c>
      <c r="E7360" t="n">
        <v>37.67961</v>
      </c>
      <c r="F7360" t="inlineStr"/>
      <c r="G7360" t="inlineStr"/>
      <c r="H7360" t="inlineStr"/>
    </row>
    <row r="7361">
      <c r="A7361" t="inlineStr">
        <is>
          <t>17df0a07-26a6-4ba9-bcd8-0dd6ac0e5bdf.jpg</t>
        </is>
      </c>
      <c r="B7361">
        <f>HYPERLINK("Объекты недвижимости, не соответствующие градостроительным нормам_00-022_Август/17df0a07-26a6-4ba9-bcd8-0dd6ac0e5bdf.jpg","open")</f>
        <v/>
      </c>
      <c r="C7361" t="inlineStr">
        <is>
          <t>685d9054-b74f-49ab-857b-109fd2cec80d</t>
        </is>
      </c>
      <c r="D7361" t="n">
        <v>55.538</v>
      </c>
      <c r="E7361" t="n">
        <v>37.57629</v>
      </c>
      <c r="F7361" t="inlineStr"/>
      <c r="G7361" t="inlineStr"/>
      <c r="H7361" t="inlineStr"/>
    </row>
    <row r="7362">
      <c r="A7362" t="inlineStr">
        <is>
          <t>b6576146-77a8-47bc-bd99-7ce0249e45d8.jpg</t>
        </is>
      </c>
      <c r="B7362">
        <f>HYPERLINK("Объекты недвижимости, не соответствующие градостроительным нормам_00-022_Август/b6576146-77a8-47bc-bd99-7ce0249e45d8.jpg","open")</f>
        <v/>
      </c>
      <c r="C7362" t="inlineStr">
        <is>
          <t>b23a39fd-838c-435a-bacd-b4d6bb842c62</t>
        </is>
      </c>
      <c r="D7362" t="n">
        <v>55.71931</v>
      </c>
      <c r="E7362" t="n">
        <v>37.919</v>
      </c>
      <c r="F7362" t="inlineStr"/>
      <c r="G7362" t="inlineStr"/>
      <c r="H7362" t="inlineStr"/>
    </row>
    <row r="7363">
      <c r="A7363" t="inlineStr">
        <is>
          <t>32f0da97-b216-46d9-a426-3554af809d57.jpg</t>
        </is>
      </c>
      <c r="B7363">
        <f>HYPERLINK("Объекты недвижимости, не соответствующие градостроительным нормам_00-022_Август/32f0da97-b216-46d9-a426-3554af809d57.jpg","open")</f>
        <v/>
      </c>
      <c r="C7363" t="inlineStr">
        <is>
          <t>61936922-4d4b-458e-80ea-6d4c450aa1d5</t>
        </is>
      </c>
      <c r="D7363" t="n">
        <v>55.70514</v>
      </c>
      <c r="E7363" t="n">
        <v>37.47575</v>
      </c>
      <c r="F7363" t="inlineStr"/>
      <c r="G7363" t="inlineStr"/>
      <c r="H7363" t="inlineStr"/>
    </row>
    <row r="7364">
      <c r="A7364" t="inlineStr">
        <is>
          <t>6e638915-3701-43d0-8843-8ae8b6f4a227.jpg</t>
        </is>
      </c>
      <c r="B7364">
        <f>HYPERLINK("Объекты недвижимости, не соответствующие градостроительным нормам_00-022_Август/6e638915-3701-43d0-8843-8ae8b6f4a227.jpg","open")</f>
        <v/>
      </c>
      <c r="C7364" t="inlineStr">
        <is>
          <t>cbf95b01-f708-45a3-9ec0-3603469b538e</t>
        </is>
      </c>
      <c r="D7364" t="n">
        <v>55.73886</v>
      </c>
      <c r="E7364" t="n">
        <v>37.66465</v>
      </c>
      <c r="F7364" t="inlineStr"/>
      <c r="G7364" t="inlineStr"/>
      <c r="H7364" t="inlineStr"/>
    </row>
    <row r="7365">
      <c r="A7365" t="inlineStr">
        <is>
          <t>5b831baf-d482-4f8f-90a2-4dbe42c788ab.jpg</t>
        </is>
      </c>
      <c r="B7365">
        <f>HYPERLINK("Объекты недвижимости, не соответствующие градостроительным нормам_00-022_Август/5b831baf-d482-4f8f-90a2-4dbe42c788ab.jpg","open")</f>
        <v/>
      </c>
      <c r="C7365" t="inlineStr">
        <is>
          <t>8cde1fd0-eca1-4510-86ab-3c743b65fdfc</t>
        </is>
      </c>
      <c r="D7365" t="n">
        <v>55.80644</v>
      </c>
      <c r="E7365" t="n">
        <v>37.51953</v>
      </c>
      <c r="F7365" t="inlineStr"/>
      <c r="G7365" t="inlineStr"/>
      <c r="H7365" t="inlineStr"/>
    </row>
    <row r="7366">
      <c r="A7366" t="inlineStr">
        <is>
          <t>4b5bce0b-323d-432f-a089-310f975c4ab9.jpg</t>
        </is>
      </c>
      <c r="B7366">
        <f>HYPERLINK("Объекты недвижимости, не соответствующие градостроительным нормам_00-022_Август/4b5bce0b-323d-432f-a089-310f975c4ab9.jpg","open")</f>
        <v/>
      </c>
      <c r="C7366" t="inlineStr">
        <is>
          <t>a1a9db89-3f74-42ef-8fad-ad69705102cd</t>
        </is>
      </c>
      <c r="D7366" t="n">
        <v>55.73886</v>
      </c>
      <c r="E7366" t="n">
        <v>37.66465</v>
      </c>
      <c r="F7366" t="inlineStr"/>
      <c r="G7366" t="inlineStr"/>
      <c r="H7366" t="inlineStr"/>
    </row>
    <row r="7367">
      <c r="A7367" t="inlineStr">
        <is>
          <t>4f99112d-bce1-422d-a61e-2e63f7017c6f.jpg</t>
        </is>
      </c>
      <c r="B7367">
        <f>HYPERLINK("Объекты недвижимости, не соответствующие градостроительным нормам_00-022_Август/4f99112d-bce1-422d-a61e-2e63f7017c6f.jpg","open")</f>
        <v/>
      </c>
      <c r="C7367" t="inlineStr">
        <is>
          <t>e26f5fc2-1353-4f29-85f3-87c56419161c</t>
        </is>
      </c>
      <c r="D7367" t="n">
        <v>55.88707</v>
      </c>
      <c r="E7367" t="n">
        <v>37.50492</v>
      </c>
      <c r="F7367" t="inlineStr"/>
      <c r="G7367" t="inlineStr"/>
      <c r="H7367" t="inlineStr"/>
    </row>
    <row r="7368">
      <c r="A7368" t="inlineStr">
        <is>
          <t>15275e8c-1a57-4a19-9da9-2e83709a4080.jpg</t>
        </is>
      </c>
      <c r="B7368">
        <f>HYPERLINK("Объекты недвижимости, не соответствующие градостроительным нормам_00-022_Август/15275e8c-1a57-4a19-9da9-2e83709a4080.jpg","open")</f>
        <v/>
      </c>
      <c r="C7368" t="inlineStr">
        <is>
          <t>cbf95b01-f708-45a3-9ec0-3603469b538e</t>
        </is>
      </c>
      <c r="D7368" t="n">
        <v>55.73886</v>
      </c>
      <c r="E7368" t="n">
        <v>37.66465</v>
      </c>
      <c r="F7368" t="inlineStr"/>
      <c r="G7368" t="inlineStr"/>
      <c r="H7368" t="inlineStr"/>
    </row>
    <row r="7369">
      <c r="A7369" t="inlineStr">
        <is>
          <t>e45814ef-a215-422f-9037-e74c188ad7f7.jpg</t>
        </is>
      </c>
      <c r="B7369">
        <f>HYPERLINK("Объекты недвижимости, не соответствующие градостроительным нормам_00-022_Август/e45814ef-a215-422f-9037-e74c188ad7f7.jpg","open")</f>
        <v/>
      </c>
      <c r="C7369" t="inlineStr">
        <is>
          <t>1231bbc5-e64c-4dc7-9acc-77710f47607a</t>
        </is>
      </c>
      <c r="D7369" t="n">
        <v>55.54007</v>
      </c>
      <c r="E7369" t="n">
        <v>37.5717</v>
      </c>
      <c r="F7369" t="inlineStr"/>
      <c r="G7369" t="inlineStr"/>
      <c r="H7369" t="inlineStr"/>
    </row>
    <row r="7370">
      <c r="A7370" t="inlineStr">
        <is>
          <t>af6014e7-621a-4a99-b4ca-156c0aa53717.jpg</t>
        </is>
      </c>
      <c r="B7370">
        <f>HYPERLINK("Объекты недвижимости, не соответствующие градостроительным нормам_00-022_Август/af6014e7-621a-4a99-b4ca-156c0aa53717.jpg","open")</f>
        <v/>
      </c>
      <c r="C7370" t="inlineStr">
        <is>
          <t>8cde1fd0-eca1-4510-86ab-3c743b65fdfc</t>
        </is>
      </c>
      <c r="D7370" t="n">
        <v>55.80804</v>
      </c>
      <c r="E7370" t="n">
        <v>37.51308</v>
      </c>
      <c r="F7370" t="inlineStr"/>
      <c r="G7370" t="inlineStr"/>
      <c r="H7370" t="inlineStr"/>
    </row>
    <row r="7371">
      <c r="A7371" t="inlineStr">
        <is>
          <t>4cebd65a-6430-4024-9a5f-846562ef7fd6.jpg</t>
        </is>
      </c>
      <c r="B7371">
        <f>HYPERLINK("Объекты недвижимости, не соответствующие градостроительным нормам_00-022_Август/4cebd65a-6430-4024-9a5f-846562ef7fd6.jpg","open")</f>
        <v/>
      </c>
      <c r="C7371" t="inlineStr">
        <is>
          <t>8cde1fd0-eca1-4510-86ab-3c743b65fdfc</t>
        </is>
      </c>
      <c r="D7371" t="n">
        <v>55.80825</v>
      </c>
      <c r="E7371" t="n">
        <v>37.5132</v>
      </c>
      <c r="F7371" t="inlineStr"/>
      <c r="G7371" t="inlineStr"/>
      <c r="H7371" t="inlineStr"/>
    </row>
    <row r="7372">
      <c r="A7372" t="inlineStr">
        <is>
          <t>d8089c1f-e482-4a88-946b-ca1b1c3eaaa7.jpg</t>
        </is>
      </c>
      <c r="B7372">
        <f>HYPERLINK("Объекты недвижимости, не соответствующие градостроительным нормам_00-022_Август/d8089c1f-e482-4a88-946b-ca1b1c3eaaa7.jpg","open")</f>
        <v/>
      </c>
      <c r="C7372" t="inlineStr">
        <is>
          <t>8cde1fd0-eca1-4510-86ab-3c743b65fdfc</t>
        </is>
      </c>
      <c r="D7372" t="n">
        <v>55.80835</v>
      </c>
      <c r="E7372" t="n">
        <v>37.51328</v>
      </c>
      <c r="F7372" t="inlineStr"/>
      <c r="G7372" t="inlineStr"/>
      <c r="H7372" t="inlineStr"/>
    </row>
    <row r="7373">
      <c r="A7373" t="inlineStr">
        <is>
          <t>1a17ac86-ca23-4186-a741-e98c4db5fc36.jpg</t>
        </is>
      </c>
      <c r="B7373">
        <f>HYPERLINK("Объекты недвижимости, не соответствующие градостроительным нормам_00-022_Август/1a17ac86-ca23-4186-a741-e98c4db5fc36.jpg","open")</f>
        <v/>
      </c>
      <c r="C7373" t="inlineStr">
        <is>
          <t>1c951e11-4940-43c6-a447-394097e5609a</t>
        </is>
      </c>
      <c r="D7373" t="n">
        <v>55.80827</v>
      </c>
      <c r="E7373" t="n">
        <v>37.51322</v>
      </c>
      <c r="F7373" t="inlineStr"/>
      <c r="G7373" t="inlineStr"/>
      <c r="H7373" t="inlineStr"/>
    </row>
    <row r="7374">
      <c r="A7374" t="inlineStr">
        <is>
          <t>40023fba-cbae-4fc7-9f82-6ab80ed2f1de.jpg</t>
        </is>
      </c>
      <c r="B7374">
        <f>HYPERLINK("Объекты недвижимости, не соответствующие градостроительным нормам_00-022_Август/40023fba-cbae-4fc7-9f82-6ab80ed2f1de.jpg","open")</f>
        <v/>
      </c>
      <c r="C7374" t="inlineStr">
        <is>
          <t>8cde1fd0-eca1-4510-86ab-3c743b65fdfc</t>
        </is>
      </c>
      <c r="D7374" t="n">
        <v>55.80857</v>
      </c>
      <c r="E7374" t="n">
        <v>37.51346</v>
      </c>
      <c r="F7374" t="inlineStr"/>
      <c r="G7374" t="inlineStr"/>
      <c r="H7374" t="inlineStr"/>
    </row>
    <row r="7375">
      <c r="A7375" t="inlineStr">
        <is>
          <t>ebb8eb27-2300-4375-aa49-91a52dab5e8c.jpg</t>
        </is>
      </c>
      <c r="B7375">
        <f>HYPERLINK("Объекты недвижимости, не соответствующие градостроительным нормам_00-022_Август/ebb8eb27-2300-4375-aa49-91a52dab5e8c.jpg","open")</f>
        <v/>
      </c>
      <c r="C7375" t="inlineStr">
        <is>
          <t>61936922-4d4b-458e-80ea-6d4c450aa1d5</t>
        </is>
      </c>
      <c r="D7375" t="n">
        <v>55.7048</v>
      </c>
      <c r="E7375" t="n">
        <v>37.47488</v>
      </c>
      <c r="F7375" t="inlineStr"/>
      <c r="G7375" t="inlineStr"/>
      <c r="H7375" t="inlineStr"/>
    </row>
    <row r="7376">
      <c r="A7376" t="inlineStr">
        <is>
          <t>f37391b9-0829-4c76-b7ee-aaff3b10ff9a.jpg</t>
        </is>
      </c>
      <c r="B7376">
        <f>HYPERLINK("Объекты недвижимости, не соответствующие градостроительным нормам_00-022_Август/f37391b9-0829-4c76-b7ee-aaff3b10ff9a.jpg","open")</f>
        <v/>
      </c>
      <c r="C7376" t="inlineStr">
        <is>
          <t>61936922-4d4b-458e-80ea-6d4c450aa1d5</t>
        </is>
      </c>
      <c r="D7376" t="n">
        <v>55.70483</v>
      </c>
      <c r="E7376" t="n">
        <v>37.47482</v>
      </c>
      <c r="F7376" t="inlineStr"/>
      <c r="G7376" t="inlineStr"/>
      <c r="H7376" t="inlineStr"/>
    </row>
    <row r="7377">
      <c r="A7377" t="inlineStr">
        <is>
          <t>6dd68726-001d-444c-8c45-fafe7c4281f8.jpg</t>
        </is>
      </c>
      <c r="B7377">
        <f>HYPERLINK("Объекты недвижимости, не соответствующие градостроительным нормам_00-022_Август/6dd68726-001d-444c-8c45-fafe7c4281f8.jpg","open")</f>
        <v/>
      </c>
      <c r="C7377" t="inlineStr">
        <is>
          <t>9fb3d110-951f-48da-9d90-cfd7e1b5800d</t>
        </is>
      </c>
      <c r="D7377" t="n">
        <v>55.7048</v>
      </c>
      <c r="E7377" t="n">
        <v>37.4749</v>
      </c>
      <c r="F7377" t="inlineStr"/>
      <c r="G7377" t="inlineStr"/>
      <c r="H7377" t="inlineStr"/>
    </row>
    <row r="7378">
      <c r="A7378" t="inlineStr">
        <is>
          <t>0c4aa71c-d275-44bd-bc29-c081819e3e0e.jpg</t>
        </is>
      </c>
      <c r="B7378">
        <f>HYPERLINK("Объекты недвижимости, не соответствующие градостроительным нормам_00-022_Август/0c4aa71c-d275-44bd-bc29-c081819e3e0e.jpg","open")</f>
        <v/>
      </c>
      <c r="C7378" t="inlineStr">
        <is>
          <t>61936922-4d4b-458e-80ea-6d4c450aa1d5</t>
        </is>
      </c>
      <c r="D7378" t="n">
        <v>55.70486</v>
      </c>
      <c r="E7378" t="n">
        <v>37.47477</v>
      </c>
      <c r="F7378" t="inlineStr"/>
      <c r="G7378" t="inlineStr"/>
      <c r="H7378" t="inlineStr"/>
    </row>
    <row r="7379">
      <c r="A7379" t="inlineStr">
        <is>
          <t>53a56e65-eb54-4843-8f7b-f414b1445bc6.jpg</t>
        </is>
      </c>
      <c r="B7379">
        <f>HYPERLINK("Объекты недвижимости, не соответствующие градостроительным нормам_00-022_Август/53a56e65-eb54-4843-8f7b-f414b1445bc6.jpg","open")</f>
        <v/>
      </c>
      <c r="C7379" t="inlineStr">
        <is>
          <t>ed2bf0f1-3a66-4913-896e-4420a9796c0b</t>
        </is>
      </c>
      <c r="D7379" t="n">
        <v>55.32737</v>
      </c>
      <c r="E7379" t="n">
        <v>37.07709</v>
      </c>
      <c r="F7379" t="inlineStr"/>
      <c r="G7379" t="inlineStr"/>
      <c r="H7379" t="inlineStr"/>
    </row>
    <row r="7380">
      <c r="A7380" t="inlineStr">
        <is>
          <t>e6c0b7a1-f9af-4557-93da-02c972448ae9.jpg</t>
        </is>
      </c>
      <c r="B7380">
        <f>HYPERLINK("Объекты недвижимости, не соответствующие градостроительным нормам_00-022_Август/e6c0b7a1-f9af-4557-93da-02c972448ae9.jpg","open")</f>
        <v/>
      </c>
      <c r="C7380" t="inlineStr">
        <is>
          <t>9fb3d110-951f-48da-9d90-cfd7e1b5800d</t>
        </is>
      </c>
      <c r="D7380" t="n">
        <v>55.70506</v>
      </c>
      <c r="E7380" t="n">
        <v>37.47491</v>
      </c>
      <c r="F7380" t="inlineStr"/>
      <c r="G7380" t="inlineStr"/>
      <c r="H7380" t="inlineStr"/>
    </row>
    <row r="7381">
      <c r="A7381" t="inlineStr">
        <is>
          <t>d879bb67-9d52-49ad-9880-ca74d14f2402.jpg</t>
        </is>
      </c>
      <c r="B7381">
        <f>HYPERLINK("Объекты недвижимости, не соответствующие градостроительным нормам_00-022_Август/d879bb67-9d52-49ad-9880-ca74d14f2402.jpg","open")</f>
        <v/>
      </c>
      <c r="C7381" t="inlineStr">
        <is>
          <t>cbf95b01-f708-45a3-9ec0-3603469b538e</t>
        </is>
      </c>
      <c r="D7381" t="n">
        <v>55.73886</v>
      </c>
      <c r="E7381" t="n">
        <v>37.66465</v>
      </c>
      <c r="F7381" t="inlineStr"/>
      <c r="G7381" t="inlineStr"/>
      <c r="H7381" t="inlineStr"/>
    </row>
    <row r="7382">
      <c r="A7382" t="inlineStr">
        <is>
          <t>3ace5a33-03b8-4145-aa0e-89aa58fd3cdd.jpg</t>
        </is>
      </c>
      <c r="B7382">
        <f>HYPERLINK("Объекты недвижимости, не соответствующие градостроительным нормам_00-022_Август/3ace5a33-03b8-4145-aa0e-89aa58fd3cdd.jpg","open")</f>
        <v/>
      </c>
      <c r="C7382" t="inlineStr">
        <is>
          <t>cbf95b01-f708-45a3-9ec0-3603469b538e</t>
        </is>
      </c>
      <c r="D7382" t="n">
        <v>55.73886</v>
      </c>
      <c r="E7382" t="n">
        <v>37.66465</v>
      </c>
      <c r="F7382" t="inlineStr"/>
      <c r="G7382" t="inlineStr"/>
      <c r="H7382" t="inlineStr"/>
    </row>
    <row r="7383">
      <c r="A7383" t="inlineStr">
        <is>
          <t>f6488738-b667-4b82-85a3-043769e7eb25.jpg</t>
        </is>
      </c>
      <c r="B7383">
        <f>HYPERLINK("Объекты недвижимости, не соответствующие градостроительным нормам_00-022_Август/f6488738-b667-4b82-85a3-043769e7eb25.jpg","open")</f>
        <v/>
      </c>
      <c r="C7383" t="inlineStr">
        <is>
          <t>57aae8a4-582b-4309-8045-c8127a9f86ae</t>
        </is>
      </c>
      <c r="D7383" t="n">
        <v>55.79425</v>
      </c>
      <c r="E7383" t="n">
        <v>37.72157</v>
      </c>
      <c r="F7383" t="inlineStr"/>
      <c r="G7383" t="inlineStr"/>
      <c r="H7383" t="inlineStr"/>
    </row>
    <row r="7384">
      <c r="A7384" t="inlineStr">
        <is>
          <t>dd18f840-3ab6-4c02-b519-029c600e05b2.jpg</t>
        </is>
      </c>
      <c r="B7384">
        <f>HYPERLINK("Объекты недвижимости, не соответствующие градостроительным нормам_00-022_Август/dd18f840-3ab6-4c02-b519-029c600e05b2.jpg","open")</f>
        <v/>
      </c>
      <c r="C7384" t="inlineStr">
        <is>
          <t>acedacc2-0d8b-4fc1-9622-25621a89d071</t>
        </is>
      </c>
      <c r="D7384" t="n">
        <v>55.79427</v>
      </c>
      <c r="E7384" t="n">
        <v>37.72165</v>
      </c>
      <c r="F7384" t="inlineStr"/>
      <c r="G7384" t="inlineStr"/>
      <c r="H7384" t="inlineStr"/>
    </row>
    <row r="7385">
      <c r="A7385" t="inlineStr">
        <is>
          <t>f5ac8b0e-cf4a-43d5-8ea7-5b3ac82546dc.jpg</t>
        </is>
      </c>
      <c r="B7385">
        <f>HYPERLINK("Объекты недвижимости, не соответствующие градостроительным нормам_00-022_Август/f5ac8b0e-cf4a-43d5-8ea7-5b3ac82546dc.jpg","open")</f>
        <v/>
      </c>
      <c r="C7385" t="inlineStr">
        <is>
          <t>cbf95b01-f708-45a3-9ec0-3603469b538e</t>
        </is>
      </c>
      <c r="D7385" t="n">
        <v>56.08242</v>
      </c>
      <c r="E7385" t="n">
        <v>36.66129</v>
      </c>
      <c r="F7385" t="inlineStr"/>
      <c r="G7385" t="inlineStr"/>
      <c r="H7385" t="inlineStr"/>
    </row>
    <row r="7386">
      <c r="A7386" t="inlineStr">
        <is>
          <t>cdc217c3-909c-45d0-8614-afa1a618962a.jpg</t>
        </is>
      </c>
      <c r="B7386">
        <f>HYPERLINK("Объекты недвижимости, не соответствующие градостроительным нормам_00-022_Август/cdc217c3-909c-45d0-8614-afa1a618962a.jpg","open")</f>
        <v/>
      </c>
      <c r="C7386" t="inlineStr">
        <is>
          <t>29ad9edb-d533-4272-a986-be24eb004851</t>
        </is>
      </c>
      <c r="D7386" t="n">
        <v>55.71926</v>
      </c>
      <c r="E7386" t="n">
        <v>37.49542</v>
      </c>
      <c r="F7386" t="inlineStr"/>
      <c r="G7386" t="inlineStr"/>
      <c r="H7386" t="inlineStr"/>
    </row>
    <row r="7387">
      <c r="A7387" t="inlineStr">
        <is>
          <t>4a169ede-b42c-4aaf-b9a6-8ca1fb5203c6.jpg</t>
        </is>
      </c>
      <c r="B7387">
        <f>HYPERLINK("Объекты недвижимости, не соответствующие градостроительным нормам_00-022_Август/4a169ede-b42c-4aaf-b9a6-8ca1fb5203c6.jpg","open")</f>
        <v/>
      </c>
      <c r="C7387" t="inlineStr">
        <is>
          <t>fce890a6-27da-4062-a046-08262a160ee6</t>
        </is>
      </c>
      <c r="D7387" t="n">
        <v>55.7533</v>
      </c>
      <c r="E7387" t="n">
        <v>37.67198</v>
      </c>
      <c r="F7387" t="inlineStr"/>
      <c r="G7387" t="inlineStr"/>
      <c r="H7387" t="inlineStr"/>
    </row>
    <row r="7388">
      <c r="A7388" t="inlineStr">
        <is>
          <t>163a7374-6198-4e82-8ef6-dd2226a7edbc.jpg</t>
        </is>
      </c>
      <c r="B7388">
        <f>HYPERLINK("Объекты недвижимости, не соответствующие градостроительным нормам_00-022_Август/163a7374-6198-4e82-8ef6-dd2226a7edbc.jpg","open")</f>
        <v/>
      </c>
      <c r="C7388" t="inlineStr">
        <is>
          <t>b0429a31-0c70-4b9f-8ea5-73929d82f89e</t>
        </is>
      </c>
      <c r="D7388" t="n">
        <v>55.61502</v>
      </c>
      <c r="E7388" t="n">
        <v>37.59457</v>
      </c>
      <c r="F7388" t="inlineStr"/>
      <c r="G7388" t="inlineStr"/>
      <c r="H7388" t="inlineStr"/>
    </row>
    <row r="7389">
      <c r="A7389" t="inlineStr">
        <is>
          <t>068e6e53-b259-4b36-9a70-ae15306ef76b.jpg</t>
        </is>
      </c>
      <c r="B7389">
        <f>HYPERLINK("Объекты недвижимости, не соответствующие градостроительным нормам_00-022_Август/068e6e53-b259-4b36-9a70-ae15306ef76b.jpg","open")</f>
        <v/>
      </c>
      <c r="C7389" t="inlineStr">
        <is>
          <t>b0429a31-0c70-4b9f-8ea5-73929d82f89e</t>
        </is>
      </c>
      <c r="D7389" t="n">
        <v>55.6151</v>
      </c>
      <c r="E7389" t="n">
        <v>37.59457</v>
      </c>
      <c r="F7389" t="inlineStr"/>
      <c r="G7389" t="inlineStr"/>
      <c r="H7389" t="inlineStr"/>
    </row>
    <row r="7390">
      <c r="A7390" t="inlineStr">
        <is>
          <t>20ebb144-54e9-4864-a72f-c5449565f849.jpg</t>
        </is>
      </c>
      <c r="B7390">
        <f>HYPERLINK("Объекты недвижимости, не соответствующие градостроительным нормам_00-022_Август/20ebb144-54e9-4864-a72f-c5449565f849.jpg","open")</f>
        <v/>
      </c>
      <c r="C7390" t="inlineStr">
        <is>
          <t>685d9054-b74f-49ab-857b-109fd2cec80d</t>
        </is>
      </c>
      <c r="D7390" t="n">
        <v>55.53476</v>
      </c>
      <c r="E7390" t="n">
        <v>37.58289</v>
      </c>
      <c r="F7390" t="inlineStr"/>
      <c r="G7390" t="inlineStr"/>
      <c r="H7390" t="inlineStr"/>
    </row>
    <row r="7391">
      <c r="A7391" t="inlineStr">
        <is>
          <t>88c072a3-77c0-4e8b-ade4-92f47e7aba96.jpg</t>
        </is>
      </c>
      <c r="B7391">
        <f>HYPERLINK("Объекты недвижимости, не соответствующие градостроительным нормам_00-022_Август/88c072a3-77c0-4e8b-ade4-92f47e7aba96.jpg","open")</f>
        <v/>
      </c>
      <c r="C7391" t="inlineStr">
        <is>
          <t>61936922-4d4b-458e-80ea-6d4c450aa1d5</t>
        </is>
      </c>
      <c r="D7391" t="n">
        <v>55.70483</v>
      </c>
      <c r="E7391" t="n">
        <v>37.47317</v>
      </c>
      <c r="F7391" t="inlineStr"/>
      <c r="G7391" t="inlineStr"/>
      <c r="H7391" t="inlineStr"/>
    </row>
    <row r="7392">
      <c r="A7392" t="inlineStr">
        <is>
          <t>d9c8c102-4f83-412e-af11-f25bd587885a.jpg</t>
        </is>
      </c>
      <c r="B7392">
        <f>HYPERLINK("Объекты недвижимости, не соответствующие градостроительным нормам_00-022_Август/d9c8c102-4f83-412e-af11-f25bd587885a.jpg","open")</f>
        <v/>
      </c>
      <c r="C7392" t="inlineStr">
        <is>
          <t>cbf95b01-f708-45a3-9ec0-3603469b538e</t>
        </is>
      </c>
      <c r="D7392" t="n">
        <v>55.70134</v>
      </c>
      <c r="E7392" t="n">
        <v>37.50507</v>
      </c>
      <c r="F7392" t="inlineStr"/>
      <c r="G7392" t="inlineStr"/>
      <c r="H7392" t="inlineStr"/>
    </row>
    <row r="7393">
      <c r="A7393" t="inlineStr">
        <is>
          <t>0c69118b-bcad-4aa0-bf79-dd2e7816e623.jpg</t>
        </is>
      </c>
      <c r="B7393">
        <f>HYPERLINK("Объекты недвижимости, не соответствующие градостроительным нормам_00-022_Август/0c69118b-bcad-4aa0-bf79-dd2e7816e623.jpg","open")</f>
        <v/>
      </c>
      <c r="C7393" t="inlineStr">
        <is>
          <t>036c664f-5408-4fd0-b479-342c00468eeb</t>
        </is>
      </c>
      <c r="D7393" t="n">
        <v>55.76585</v>
      </c>
      <c r="E7393" t="n">
        <v>37.41322</v>
      </c>
      <c r="F7393" t="inlineStr"/>
      <c r="G7393" t="inlineStr"/>
      <c r="H7393" t="inlineStr"/>
    </row>
    <row r="7394">
      <c r="A7394" t="inlineStr">
        <is>
          <t>95f0090c-9ffa-4e24-bc22-5d1acf65d08f.jpg</t>
        </is>
      </c>
      <c r="B7394">
        <f>HYPERLINK("Объекты недвижимости, не соответствующие градостроительным нормам_00-022_Август/95f0090c-9ffa-4e24-bc22-5d1acf65d08f.jpg","open")</f>
        <v/>
      </c>
      <c r="C7394" t="inlineStr">
        <is>
          <t>12e795ad-2aa7-49de-b2da-2c6aa35a4559</t>
        </is>
      </c>
      <c r="D7394" t="n">
        <v>55.64602</v>
      </c>
      <c r="E7394" t="n">
        <v>37.52111</v>
      </c>
      <c r="F7394" t="inlineStr"/>
      <c r="G7394" t="inlineStr"/>
      <c r="H7394" t="inlineStr"/>
    </row>
    <row r="7395">
      <c r="A7395" t="inlineStr">
        <is>
          <t>23762cba-ee8d-400f-a25f-8a8c1255bedb.jpg</t>
        </is>
      </c>
      <c r="B7395">
        <f>HYPERLINK("Объекты недвижимости, не соответствующие градостроительным нормам_00-022_Август/23762cba-ee8d-400f-a25f-8a8c1255bedb.jpg","open")</f>
        <v/>
      </c>
      <c r="C7395" t="inlineStr">
        <is>
          <t>12e795ad-2aa7-49de-b2da-2c6aa35a4559</t>
        </is>
      </c>
      <c r="D7395" t="n">
        <v>55.64601</v>
      </c>
      <c r="E7395" t="n">
        <v>37.52112</v>
      </c>
      <c r="F7395" t="inlineStr"/>
      <c r="G7395" t="inlineStr"/>
      <c r="H7395" t="inlineStr"/>
    </row>
    <row r="7396">
      <c r="A7396" t="inlineStr">
        <is>
          <t>fcb1ba9d-b6a3-4d2e-b817-6a3a496f9658.jpg</t>
        </is>
      </c>
      <c r="B7396">
        <f>HYPERLINK("Объекты недвижимости, не соответствующие градостроительным нормам_00-022_Август/fcb1ba9d-b6a3-4d2e-b817-6a3a496f9658.jpg","open")</f>
        <v/>
      </c>
      <c r="C7396" t="inlineStr">
        <is>
          <t>12e795ad-2aa7-49de-b2da-2c6aa35a4559</t>
        </is>
      </c>
      <c r="D7396" t="n">
        <v>55.64603</v>
      </c>
      <c r="E7396" t="n">
        <v>37.52114</v>
      </c>
      <c r="F7396" t="inlineStr"/>
      <c r="G7396" t="inlineStr"/>
      <c r="H7396" t="inlineStr"/>
    </row>
    <row r="7397">
      <c r="A7397" t="inlineStr">
        <is>
          <t>64671c03-9101-4908-8839-c1c63fc8388f.jpg</t>
        </is>
      </c>
      <c r="B7397">
        <f>HYPERLINK("Объекты недвижимости, не соответствующие градостроительным нормам_00-022_Август/64671c03-9101-4908-8839-c1c63fc8388f.jpg","open")</f>
        <v/>
      </c>
      <c r="C7397" t="inlineStr">
        <is>
          <t>1a55986c-2c3f-40c0-b3d1-014dce77832e</t>
        </is>
      </c>
      <c r="D7397" t="n">
        <v>55.32798</v>
      </c>
      <c r="E7397" t="n">
        <v>37.07086</v>
      </c>
      <c r="F7397" t="inlineStr"/>
      <c r="G7397" t="inlineStr"/>
      <c r="H7397" t="inlineStr"/>
    </row>
    <row r="7398">
      <c r="A7398" t="inlineStr">
        <is>
          <t>0544c96b-85dc-43eb-93a2-cb7493729a52.jpg</t>
        </is>
      </c>
      <c r="B7398">
        <f>HYPERLINK("Объекты недвижимости, не соответствующие градостроительным нормам_00-022_Август/0544c96b-85dc-43eb-93a2-cb7493729a52.jpg","open")</f>
        <v/>
      </c>
      <c r="C7398" t="inlineStr">
        <is>
          <t>a1a9db89-3f74-42ef-8fad-ad69705102cd</t>
        </is>
      </c>
      <c r="D7398" t="n">
        <v>55.69064</v>
      </c>
      <c r="E7398" t="n">
        <v>37.48586</v>
      </c>
      <c r="F7398" t="inlineStr"/>
      <c r="G7398" t="inlineStr"/>
      <c r="H7398" t="inlineStr"/>
    </row>
    <row r="7399">
      <c r="A7399" t="inlineStr">
        <is>
          <t>8c20dc15-96b2-47db-9330-1ba715eb8d8a.jpg</t>
        </is>
      </c>
      <c r="B7399">
        <f>HYPERLINK("Объекты недвижимости, не соответствующие градостроительным нормам_00-022_Август/8c20dc15-96b2-47db-9330-1ba715eb8d8a.jpg","open")</f>
        <v/>
      </c>
      <c r="C7399" t="inlineStr">
        <is>
          <t>cbf95b01-f708-45a3-9ec0-3603469b538e</t>
        </is>
      </c>
      <c r="D7399" t="n">
        <v>55.68504</v>
      </c>
      <c r="E7399" t="n">
        <v>37.47556</v>
      </c>
      <c r="F7399" t="inlineStr"/>
      <c r="G7399" t="inlineStr"/>
      <c r="H7399" t="inlineStr"/>
    </row>
    <row r="7400">
      <c r="A7400" t="inlineStr">
        <is>
          <t>47ccf466-344a-42b3-b93d-b9a0ba0480ac.jpg</t>
        </is>
      </c>
      <c r="B7400">
        <f>HYPERLINK("Объекты недвижимости, не соответствующие градостроительным нормам_00-022_Август/47ccf466-344a-42b3-b93d-b9a0ba0480ac.jpg","open")</f>
        <v/>
      </c>
      <c r="C7400" t="inlineStr">
        <is>
          <t>1a55986c-2c3f-40c0-b3d1-014dce77832e</t>
        </is>
      </c>
      <c r="D7400" t="n">
        <v>55.32113</v>
      </c>
      <c r="E7400" t="n">
        <v>37.07529</v>
      </c>
      <c r="F7400" t="inlineStr"/>
      <c r="G7400" t="inlineStr"/>
      <c r="H7400" t="inlineStr"/>
    </row>
    <row r="7401">
      <c r="A7401" t="inlineStr">
        <is>
          <t>4b1a0404-3ac9-4749-b350-bf01a25f5ac3.jpg</t>
        </is>
      </c>
      <c r="B7401">
        <f>HYPERLINK("Объекты недвижимости, не соответствующие градостроительным нормам_00-022_Август/4b1a0404-3ac9-4749-b350-bf01a25f5ac3.jpg","open")</f>
        <v/>
      </c>
      <c r="C7401" t="inlineStr">
        <is>
          <t>8cde1fd0-eca1-4510-86ab-3c743b65fdfc</t>
        </is>
      </c>
      <c r="D7401" t="n">
        <v>55.79831</v>
      </c>
      <c r="E7401" t="n">
        <v>37.53588</v>
      </c>
      <c r="F7401" t="inlineStr"/>
      <c r="G7401" t="inlineStr"/>
      <c r="H7401" t="inlineStr"/>
    </row>
    <row r="7402">
      <c r="A7402" t="inlineStr">
        <is>
          <t>1ea73b76-e290-49ae-9475-008ef64fe82d.jpg</t>
        </is>
      </c>
      <c r="B7402">
        <f>HYPERLINK("Объекты недвижимости, не соответствующие градостроительным нормам_00-022_Август/1ea73b76-e290-49ae-9475-008ef64fe82d.jpg","open")</f>
        <v/>
      </c>
      <c r="C7402" t="inlineStr">
        <is>
          <t>685d9054-b74f-49ab-857b-109fd2cec80d</t>
        </is>
      </c>
      <c r="D7402" t="n">
        <v>55.54945</v>
      </c>
      <c r="E7402" t="n">
        <v>37.5868</v>
      </c>
      <c r="F7402" t="inlineStr"/>
      <c r="G7402" t="inlineStr"/>
      <c r="H7402" t="inlineStr"/>
    </row>
    <row r="7403">
      <c r="A7403" t="inlineStr">
        <is>
          <t>2f8bd127-5c69-4c56-be3b-1a0b0c843853.jpg</t>
        </is>
      </c>
      <c r="B7403">
        <f>HYPERLINK("Объекты недвижимости, не соответствующие градостроительным нормам_00-022_Август/2f8bd127-5c69-4c56-be3b-1a0b0c843853.jpg","open")</f>
        <v/>
      </c>
      <c r="C7403" t="inlineStr">
        <is>
          <t>dd48f742-b338-42e2-bbaf-b3a9701b437c</t>
        </is>
      </c>
      <c r="D7403" t="n">
        <v>55.84479</v>
      </c>
      <c r="E7403" t="n">
        <v>37.67002</v>
      </c>
      <c r="F7403" t="inlineStr"/>
      <c r="G7403" t="inlineStr"/>
      <c r="H7403" t="inlineStr"/>
    </row>
    <row r="7404">
      <c r="A7404" t="inlineStr">
        <is>
          <t>389595ee-18ac-4b4f-8a70-b11bd64828a6.jpg</t>
        </is>
      </c>
      <c r="B7404">
        <f>HYPERLINK("Объекты недвижимости, не соответствующие градостроительным нормам_00-022_Август/389595ee-18ac-4b4f-8a70-b11bd64828a6.jpg","open")</f>
        <v/>
      </c>
      <c r="C7404" t="inlineStr">
        <is>
          <t>ed2bf0f1-3a66-4913-896e-4420a9796c0b</t>
        </is>
      </c>
      <c r="D7404" t="n">
        <v>55.31929</v>
      </c>
      <c r="E7404" t="n">
        <v>37.0681</v>
      </c>
      <c r="F7404" t="inlineStr"/>
      <c r="G7404" t="inlineStr"/>
      <c r="H7404" t="inlineStr"/>
    </row>
    <row r="7405">
      <c r="A7405" t="inlineStr">
        <is>
          <t>bb9017f6-7b1a-4c56-9d8a-1e57ddca775f.jpg</t>
        </is>
      </c>
      <c r="B7405">
        <f>HYPERLINK("Объекты недвижимости, не соответствующие градостроительным нормам_00-022_Август/bb9017f6-7b1a-4c56-9d8a-1e57ddca775f.jpg","open")</f>
        <v/>
      </c>
      <c r="C7405" t="inlineStr">
        <is>
          <t>685d9054-b74f-49ab-857b-109fd2cec80d</t>
        </is>
      </c>
      <c r="D7405" t="n">
        <v>55.57452</v>
      </c>
      <c r="E7405" t="n">
        <v>37.61415</v>
      </c>
      <c r="F7405" t="inlineStr"/>
      <c r="G7405" t="inlineStr"/>
      <c r="H7405" t="inlineStr"/>
    </row>
    <row r="7406">
      <c r="A7406" t="inlineStr">
        <is>
          <t>717c024e-1e95-43cf-9f6a-8f2839c9143c.jpg</t>
        </is>
      </c>
      <c r="B7406">
        <f>HYPERLINK("Объекты недвижимости, не соответствующие градостроительным нормам_00-022_Август/717c024e-1e95-43cf-9f6a-8f2839c9143c.jpg","open")</f>
        <v/>
      </c>
      <c r="C7406" t="inlineStr">
        <is>
          <t>57aae8a4-582b-4309-8045-c8127a9f86ae</t>
        </is>
      </c>
      <c r="D7406" t="n">
        <v>55.79799</v>
      </c>
      <c r="E7406" t="n">
        <v>37.73118</v>
      </c>
      <c r="F7406" t="inlineStr"/>
      <c r="G7406" t="inlineStr"/>
      <c r="H7406" t="inlineStr"/>
    </row>
    <row r="7407">
      <c r="A7407" t="inlineStr">
        <is>
          <t>68843ca5-a62f-4557-9ee8-47c42a424d03.jpg</t>
        </is>
      </c>
      <c r="B7407">
        <f>HYPERLINK("Объекты недвижимости, не соответствующие градостроительным нормам_00-022_Август/68843ca5-a62f-4557-9ee8-47c42a424d03.jpg","open")</f>
        <v/>
      </c>
      <c r="C7407" t="inlineStr">
        <is>
          <t>fb40ed24-21ef-458a-a239-038ab19932cc</t>
        </is>
      </c>
      <c r="D7407" t="n">
        <v>55.80122</v>
      </c>
      <c r="E7407" t="n">
        <v>37.74512</v>
      </c>
      <c r="F7407" t="inlineStr"/>
      <c r="G7407" t="inlineStr"/>
      <c r="H7407" t="inlineStr"/>
    </row>
    <row r="7408">
      <c r="A7408" t="inlineStr">
        <is>
          <t>352e1dc7-de14-4ad1-aa6c-5cce3ba00a31.jpg</t>
        </is>
      </c>
      <c r="B7408">
        <f>HYPERLINK("Объекты недвижимости, не соответствующие градостроительным нормам_00-022_Август/352e1dc7-de14-4ad1-aa6c-5cce3ba00a31.jpg","open")</f>
        <v/>
      </c>
      <c r="C7408" t="inlineStr">
        <is>
          <t>1a55986c-2c3f-40c0-b3d1-014dce77832e</t>
        </is>
      </c>
      <c r="D7408" t="n">
        <v>55.32337</v>
      </c>
      <c r="E7408" t="n">
        <v>37.07346</v>
      </c>
      <c r="F7408" t="inlineStr"/>
      <c r="G7408" t="inlineStr"/>
      <c r="H7408" t="inlineStr"/>
    </row>
    <row r="7409">
      <c r="A7409" t="inlineStr">
        <is>
          <t>9787106d-08b9-4e77-b9bd-6c767919d64f.jpg</t>
        </is>
      </c>
      <c r="B7409">
        <f>HYPERLINK("Объекты недвижимости, не соответствующие градостроительным нормам_00-022_Август/9787106d-08b9-4e77-b9bd-6c767919d64f.jpg","open")</f>
        <v/>
      </c>
      <c r="C7409" t="inlineStr">
        <is>
          <t>f6f80c84-5569-48fd-b627-6f41ce4c61c4</t>
        </is>
      </c>
      <c r="D7409" t="n">
        <v>55.75202</v>
      </c>
      <c r="E7409" t="n">
        <v>37.69673</v>
      </c>
      <c r="F7409" t="inlineStr"/>
      <c r="G7409" t="inlineStr"/>
      <c r="H7409" t="inlineStr"/>
    </row>
    <row r="7410">
      <c r="A7410" t="inlineStr">
        <is>
          <t>ed7b7adb-528f-4e49-b931-269a6bc69a7f.jpg</t>
        </is>
      </c>
      <c r="B7410">
        <f>HYPERLINK("Объекты недвижимости, не соответствующие градостроительным нормам_00-022_Август/ed7b7adb-528f-4e49-b931-269a6bc69a7f.jpg","open")</f>
        <v/>
      </c>
      <c r="C7410" t="inlineStr">
        <is>
          <t>cbf95b01-f708-45a3-9ec0-3603469b538e</t>
        </is>
      </c>
      <c r="D7410" t="n">
        <v>55.66518</v>
      </c>
      <c r="E7410" t="n">
        <v>37.43632</v>
      </c>
      <c r="F7410" t="inlineStr"/>
      <c r="G7410" t="inlineStr"/>
      <c r="H7410" t="inlineStr"/>
    </row>
    <row r="7411">
      <c r="A7411" t="inlineStr">
        <is>
          <t>4b2df9be-93b5-4bc7-a31c-c71801e89347.jpg</t>
        </is>
      </c>
      <c r="B7411">
        <f>HYPERLINK("Объекты недвижимости, не соответствующие градостроительным нормам_00-022_Август/4b2df9be-93b5-4bc7-a31c-c71801e89347.jpg","open")</f>
        <v/>
      </c>
      <c r="C7411" t="inlineStr">
        <is>
          <t>cb4060b2-34d3-44a4-9f60-115fb1e9278e</t>
        </is>
      </c>
      <c r="D7411" t="n">
        <v>55.70258</v>
      </c>
      <c r="E7411" t="n">
        <v>37.61491</v>
      </c>
      <c r="F7411" t="inlineStr"/>
      <c r="G7411" t="inlineStr"/>
      <c r="H7411" t="inlineStr"/>
    </row>
    <row r="7412">
      <c r="A7412" t="inlineStr">
        <is>
          <t>1c4d24a7-ba7f-4c82-bf88-0a1e7f69d0ff.jpg</t>
        </is>
      </c>
      <c r="B7412">
        <f>HYPERLINK("Объекты недвижимости, не соответствующие градостроительным нормам_00-022_Август/1c4d24a7-ba7f-4c82-bf88-0a1e7f69d0ff.jpg","open")</f>
        <v/>
      </c>
      <c r="C7412" t="inlineStr">
        <is>
          <t>99f3abba-c55b-49f0-9de5-9f88e9597cc0</t>
        </is>
      </c>
      <c r="D7412" t="n">
        <v>55.62315</v>
      </c>
      <c r="E7412" t="n">
        <v>37.59668</v>
      </c>
      <c r="F7412" t="inlineStr"/>
      <c r="G7412" t="inlineStr"/>
      <c r="H7412" t="inlineStr"/>
    </row>
    <row r="7413">
      <c r="A7413" t="inlineStr">
        <is>
          <t>fe6b8248-269b-470a-90c0-6ed4807b65ea.jpg</t>
        </is>
      </c>
      <c r="B7413">
        <f>HYPERLINK("Объекты недвижимости, не соответствующие градостроительным нормам_00-022_Август/fe6b8248-269b-470a-90c0-6ed4807b65ea.jpg","open")</f>
        <v/>
      </c>
      <c r="C7413" t="inlineStr">
        <is>
          <t>685d9054-b74f-49ab-857b-109fd2cec80d</t>
        </is>
      </c>
      <c r="D7413" t="n">
        <v>55.63835</v>
      </c>
      <c r="E7413" t="n">
        <v>37.65556</v>
      </c>
      <c r="F7413" t="inlineStr"/>
      <c r="G7413" t="inlineStr"/>
      <c r="H7413" t="inlineStr"/>
    </row>
    <row r="7414">
      <c r="A7414" t="inlineStr">
        <is>
          <t>65daa6ee-d31d-45f8-b0d2-d765bb0eb0ea.jpg</t>
        </is>
      </c>
      <c r="B7414">
        <f>HYPERLINK("Объекты недвижимости, не соответствующие градостроительным нормам_00-022_Август/65daa6ee-d31d-45f8-b0d2-d765bb0eb0ea.jpg","open")</f>
        <v/>
      </c>
      <c r="C7414" t="inlineStr">
        <is>
          <t>685d9054-b74f-49ab-857b-109fd2cec80d</t>
        </is>
      </c>
      <c r="D7414" t="n">
        <v>55.63771</v>
      </c>
      <c r="E7414" t="n">
        <v>37.66391</v>
      </c>
      <c r="F7414" t="inlineStr"/>
      <c r="G7414" t="inlineStr"/>
      <c r="H7414" t="inlineStr"/>
    </row>
    <row r="7415">
      <c r="A7415" t="inlineStr">
        <is>
          <t>e37af64c-71c3-4e63-9de8-b08c0af1d369.jpg</t>
        </is>
      </c>
      <c r="B7415">
        <f>HYPERLINK("Объекты недвижимости, не соответствующие градостроительным нормам_00-022_Август/e37af64c-71c3-4e63-9de8-b08c0af1d369.jpg","open")</f>
        <v/>
      </c>
      <c r="C7415" t="inlineStr">
        <is>
          <t>685d9054-b74f-49ab-857b-109fd2cec80d</t>
        </is>
      </c>
      <c r="D7415" t="n">
        <v>55.6373</v>
      </c>
      <c r="E7415" t="n">
        <v>37.66975</v>
      </c>
      <c r="F7415" t="inlineStr"/>
      <c r="G7415" t="inlineStr"/>
      <c r="H7415" t="inlineStr"/>
    </row>
    <row r="7416">
      <c r="A7416" t="inlineStr">
        <is>
          <t>0db4ce38-7a91-4a82-85e3-ce8fb37f046e.jpg</t>
        </is>
      </c>
      <c r="B7416">
        <f>HYPERLINK("Объекты недвижимости, не соответствующие градостроительным нормам_00-022_Август/0db4ce38-7a91-4a82-85e3-ce8fb37f046e.jpg","open")</f>
        <v/>
      </c>
      <c r="C7416" t="inlineStr">
        <is>
          <t>685d9054-b74f-49ab-857b-109fd2cec80d</t>
        </is>
      </c>
      <c r="D7416" t="n">
        <v>55.63686</v>
      </c>
      <c r="E7416" t="n">
        <v>37.67587</v>
      </c>
      <c r="F7416" t="inlineStr"/>
      <c r="G7416" t="inlineStr"/>
      <c r="H7416" t="inlineStr"/>
    </row>
    <row r="7417">
      <c r="A7417" t="inlineStr">
        <is>
          <t>d8e5343b-01b6-4f81-aa81-93ec8d95f76f.jpg</t>
        </is>
      </c>
      <c r="B7417">
        <f>HYPERLINK("Объекты недвижимости, не соответствующие градостроительным нормам_00-022_Август/d8e5343b-01b6-4f81-aa81-93ec8d95f76f.jpg","open")</f>
        <v/>
      </c>
      <c r="C7417" t="inlineStr">
        <is>
          <t>1231bbc5-e64c-4dc7-9acc-77710f47607a</t>
        </is>
      </c>
      <c r="D7417" t="n">
        <v>55.63819</v>
      </c>
      <c r="E7417" t="n">
        <v>37.68675</v>
      </c>
      <c r="F7417" t="inlineStr"/>
      <c r="G7417" t="inlineStr"/>
      <c r="H7417" t="inlineStr"/>
    </row>
    <row r="7418">
      <c r="A7418" t="inlineStr">
        <is>
          <t>12629447-6fd4-48d6-ad1c-d08bb7e3c5ff.jpg</t>
        </is>
      </c>
      <c r="B7418">
        <f>HYPERLINK("Объекты недвижимости, не соответствующие градостроительным нормам_00-022_Август/12629447-6fd4-48d6-ad1c-d08bb7e3c5ff.jpg","open")</f>
        <v/>
      </c>
      <c r="C7418" t="inlineStr">
        <is>
          <t>8cde1fd0-eca1-4510-86ab-3c743b65fdfc</t>
        </is>
      </c>
      <c r="D7418" t="n">
        <v>55.79306</v>
      </c>
      <c r="E7418" t="n">
        <v>37.61269</v>
      </c>
      <c r="F7418" t="inlineStr"/>
      <c r="G7418" t="inlineStr"/>
      <c r="H7418" t="inlineStr"/>
    </row>
    <row r="7419">
      <c r="A7419" t="inlineStr">
        <is>
          <t>c2a12cad-c2b5-44b8-8ab4-1fb07f4dfb71.jpg</t>
        </is>
      </c>
      <c r="B7419">
        <f>HYPERLINK("Объекты недвижимости, не соответствующие градостроительным нормам_00-022_Август/c2a12cad-c2b5-44b8-8ab4-1fb07f4dfb71.jpg","open")</f>
        <v/>
      </c>
      <c r="C7419" t="inlineStr">
        <is>
          <t>685d9054-b74f-49ab-857b-109fd2cec80d</t>
        </is>
      </c>
      <c r="D7419" t="n">
        <v>55.64473</v>
      </c>
      <c r="E7419" t="n">
        <v>37.69272</v>
      </c>
      <c r="F7419" t="inlineStr"/>
      <c r="G7419" t="inlineStr"/>
      <c r="H7419" t="inlineStr"/>
    </row>
    <row r="7420">
      <c r="A7420" t="inlineStr">
        <is>
          <t>c70ac239-dd36-47a5-a287-bd0294036e36.jpg</t>
        </is>
      </c>
      <c r="B7420">
        <f>HYPERLINK("Объекты недвижимости, не соответствующие градостроительным нормам_00-022_Август/c70ac239-dd36-47a5-a287-bd0294036e36.jpg","open")</f>
        <v/>
      </c>
      <c r="C7420" t="inlineStr">
        <is>
          <t>99f3abba-c55b-49f0-9de5-9f88e9597cc0</t>
        </is>
      </c>
      <c r="D7420" t="n">
        <v>55.62215</v>
      </c>
      <c r="E7420" t="n">
        <v>37.59994</v>
      </c>
      <c r="F7420" t="inlineStr"/>
      <c r="G7420" t="inlineStr"/>
      <c r="H7420" t="inlineStr"/>
    </row>
    <row r="7421">
      <c r="A7421" t="inlineStr">
        <is>
          <t>6524f454-c50e-4e47-b56f-6acc6c6ee4f1.jpg</t>
        </is>
      </c>
      <c r="B7421">
        <f>HYPERLINK("Объекты недвижимости, не соответствующие градостроительным нормам_00-022_Август/6524f454-c50e-4e47-b56f-6acc6c6ee4f1.jpg","open")</f>
        <v/>
      </c>
      <c r="C7421" t="inlineStr">
        <is>
          <t>b0429a31-0c70-4b9f-8ea5-73929d82f89e</t>
        </is>
      </c>
      <c r="D7421" t="n">
        <v>55.62214</v>
      </c>
      <c r="E7421" t="n">
        <v>37.60001</v>
      </c>
      <c r="F7421" t="inlineStr"/>
      <c r="G7421" t="inlineStr"/>
      <c r="H7421" t="inlineStr"/>
    </row>
    <row r="7422">
      <c r="A7422" t="inlineStr">
        <is>
          <t>8753e79c-24fe-4816-8e4a-f1aa2f8a635c.jpg</t>
        </is>
      </c>
      <c r="B7422">
        <f>HYPERLINK("Объекты недвижимости, не соответствующие градостроительным нормам_00-022_Август/8753e79c-24fe-4816-8e4a-f1aa2f8a635c.jpg","open")</f>
        <v/>
      </c>
      <c r="C7422" t="inlineStr">
        <is>
          <t>e26f5fc2-1353-4f29-85f3-87c56419161c</t>
        </is>
      </c>
      <c r="D7422" t="n">
        <v>55.70308</v>
      </c>
      <c r="E7422" t="n">
        <v>37.45782</v>
      </c>
      <c r="F7422" t="inlineStr"/>
      <c r="G7422" t="inlineStr"/>
      <c r="H7422" t="inlineStr"/>
    </row>
    <row r="7423">
      <c r="A7423" t="inlineStr">
        <is>
          <t>b2f4e912-42e3-43e3-909f-f011d598e628.jpg</t>
        </is>
      </c>
      <c r="B7423">
        <f>HYPERLINK("Объекты недвижимости, не соответствующие градостроительным нормам_00-022_Август/b2f4e912-42e3-43e3-909f-f011d598e628.jpg","open")</f>
        <v/>
      </c>
      <c r="C7423" t="inlineStr">
        <is>
          <t>b0429a31-0c70-4b9f-8ea5-73929d82f89e</t>
        </is>
      </c>
      <c r="D7423" t="n">
        <v>55.62227</v>
      </c>
      <c r="E7423" t="n">
        <v>37.60017</v>
      </c>
      <c r="F7423" t="inlineStr"/>
      <c r="G7423" t="inlineStr"/>
      <c r="H7423" t="inlineStr"/>
    </row>
    <row r="7424">
      <c r="A7424" t="inlineStr">
        <is>
          <t>afda13cf-fdcb-43a8-9731-6bdf6ef385aa.jpg</t>
        </is>
      </c>
      <c r="B7424">
        <f>HYPERLINK("Объекты недвижимости, не соответствующие градостроительным нормам_00-022_Август/afda13cf-fdcb-43a8-9731-6bdf6ef385aa.jpg","open")</f>
        <v/>
      </c>
      <c r="C7424" t="inlineStr">
        <is>
          <t>99f3abba-c55b-49f0-9de5-9f88e9597cc0</t>
        </is>
      </c>
      <c r="D7424" t="n">
        <v>55.62237</v>
      </c>
      <c r="E7424" t="n">
        <v>37.60138</v>
      </c>
      <c r="F7424" t="inlineStr"/>
      <c r="G7424" t="inlineStr"/>
      <c r="H7424" t="inlineStr"/>
    </row>
    <row r="7425">
      <c r="A7425" t="inlineStr">
        <is>
          <t>4458c110-0193-4866-9194-96241d85f398.jpg</t>
        </is>
      </c>
      <c r="B7425">
        <f>HYPERLINK("Объекты недвижимости, не соответствующие градостроительным нормам_00-022_Август/4458c110-0193-4866-9194-96241d85f398.jpg","open")</f>
        <v/>
      </c>
      <c r="C7425" t="inlineStr">
        <is>
          <t>685d9054-b74f-49ab-857b-109fd2cec80d</t>
        </is>
      </c>
      <c r="D7425" t="n">
        <v>55.72354</v>
      </c>
      <c r="E7425" t="n">
        <v>37.72807</v>
      </c>
      <c r="F7425" t="inlineStr"/>
      <c r="G7425" t="inlineStr"/>
      <c r="H7425" t="inlineStr"/>
    </row>
    <row r="7426">
      <c r="A7426" t="inlineStr">
        <is>
          <t>b737444c-2637-45d7-a438-85450a7e88ea.jpg</t>
        </is>
      </c>
      <c r="B7426">
        <f>HYPERLINK("Объекты недвижимости, не соответствующие градостроительным нормам_00-022_Август/b737444c-2637-45d7-a438-85450a7e88ea.jpg","open")</f>
        <v/>
      </c>
      <c r="C7426" t="inlineStr">
        <is>
          <t>685d9054-b74f-49ab-857b-109fd2cec80d</t>
        </is>
      </c>
      <c r="D7426" t="n">
        <v>55.72628</v>
      </c>
      <c r="E7426" t="n">
        <v>37.72557</v>
      </c>
      <c r="F7426" t="inlineStr"/>
      <c r="G7426" t="inlineStr"/>
      <c r="H7426" t="inlineStr"/>
    </row>
    <row r="7427">
      <c r="A7427" t="inlineStr">
        <is>
          <t>ba2ff47c-6e1b-471b-91fc-93abe9f27dcd.jpg</t>
        </is>
      </c>
      <c r="B7427">
        <f>HYPERLINK("Объекты недвижимости, не соответствующие градостроительным нормам_00-022_Август/ba2ff47c-6e1b-471b-91fc-93abe9f27dcd.jpg","open")</f>
        <v/>
      </c>
      <c r="C7427" t="inlineStr">
        <is>
          <t>685d9054-b74f-49ab-857b-109fd2cec80d</t>
        </is>
      </c>
      <c r="D7427" t="n">
        <v>55.73585</v>
      </c>
      <c r="E7427" t="n">
        <v>37.72854</v>
      </c>
      <c r="F7427" t="inlineStr"/>
      <c r="G7427" t="inlineStr"/>
      <c r="H7427" t="inlineStr"/>
    </row>
    <row r="7428">
      <c r="A7428" t="inlineStr">
        <is>
          <t>c490983c-53b8-4cb6-9e9d-5032f927d7e3.jpg</t>
        </is>
      </c>
      <c r="B7428">
        <f>HYPERLINK("Объекты недвижимости, не соответствующие градостроительным нормам_00-022_Август/c490983c-53b8-4cb6-9e9d-5032f927d7e3.jpg","open")</f>
        <v/>
      </c>
      <c r="C7428" t="inlineStr">
        <is>
          <t>99f3abba-c55b-49f0-9de5-9f88e9597cc0</t>
        </is>
      </c>
      <c r="D7428" t="n">
        <v>55.6186</v>
      </c>
      <c r="E7428" t="n">
        <v>37.60164</v>
      </c>
      <c r="F7428" t="inlineStr"/>
      <c r="G7428" t="inlineStr"/>
      <c r="H7428" t="inlineStr"/>
    </row>
    <row r="7429">
      <c r="A7429" t="inlineStr">
        <is>
          <t>c3a67dd2-9c01-4cfa-8c69-9e79b100b4b3.jpg</t>
        </is>
      </c>
      <c r="B7429">
        <f>HYPERLINK("Объекты недвижимости, не соответствующие градостроительным нормам_00-022_Август/c3a67dd2-9c01-4cfa-8c69-9e79b100b4b3.jpg","open")</f>
        <v/>
      </c>
      <c r="C7429" t="inlineStr">
        <is>
          <t>99f3abba-c55b-49f0-9de5-9f88e9597cc0</t>
        </is>
      </c>
      <c r="D7429" t="n">
        <v>55.62157</v>
      </c>
      <c r="E7429" t="n">
        <v>37.60352</v>
      </c>
      <c r="F7429" t="inlineStr"/>
      <c r="G7429" t="inlineStr"/>
      <c r="H7429" t="inlineStr"/>
    </row>
    <row r="7430">
      <c r="A7430" t="inlineStr">
        <is>
          <t>c93818c8-9def-421a-8fdb-6bef22144b32.jpg</t>
        </is>
      </c>
      <c r="B7430">
        <f>HYPERLINK("Объекты недвижимости, не соответствующие градостроительным нормам_00-022_Август/c93818c8-9def-421a-8fdb-6bef22144b32.jpg","open")</f>
        <v/>
      </c>
      <c r="C7430" t="inlineStr">
        <is>
          <t>99f3abba-c55b-49f0-9de5-9f88e9597cc0</t>
        </is>
      </c>
      <c r="D7430" t="n">
        <v>55.62158</v>
      </c>
      <c r="E7430" t="n">
        <v>37.60355</v>
      </c>
      <c r="F7430" t="inlineStr"/>
      <c r="G7430" t="inlineStr"/>
      <c r="H7430" t="inlineStr"/>
    </row>
    <row r="7431">
      <c r="A7431" t="inlineStr">
        <is>
          <t>9a58d7cd-a9b3-42cf-9a89-bbf11eada6a0.jpg</t>
        </is>
      </c>
      <c r="B7431">
        <f>HYPERLINK("Объекты недвижимости, не соответствующие градостроительным нормам_00-022_Август/9a58d7cd-a9b3-42cf-9a89-bbf11eada6a0.jpg","open")</f>
        <v/>
      </c>
      <c r="C7431" t="inlineStr">
        <is>
          <t>1a55986c-2c3f-40c0-b3d1-014dce77832e</t>
        </is>
      </c>
      <c r="D7431" t="n">
        <v>55.31673</v>
      </c>
      <c r="E7431" t="n">
        <v>37.01714</v>
      </c>
      <c r="F7431" t="inlineStr"/>
      <c r="G7431" t="inlineStr"/>
      <c r="H7431" t="inlineStr"/>
    </row>
    <row r="7432">
      <c r="A7432" t="inlineStr">
        <is>
          <t>12f62012-eacb-4cbf-8c05-ed4f8b88ab0f.jpg</t>
        </is>
      </c>
      <c r="B7432">
        <f>HYPERLINK("Объекты недвижимости, не соответствующие градостроительным нормам_00-022_Август/12f62012-eacb-4cbf-8c05-ed4f8b88ab0f.jpg","open")</f>
        <v/>
      </c>
      <c r="C7432" t="inlineStr">
        <is>
          <t>fb9a37cc-57a6-447c-98bb-0b299f09c809</t>
        </is>
      </c>
      <c r="D7432" t="n">
        <v>55.70576</v>
      </c>
      <c r="E7432" t="n">
        <v>37.89423</v>
      </c>
      <c r="F7432" t="inlineStr"/>
      <c r="G7432" t="inlineStr"/>
      <c r="H7432" t="inlineStr"/>
    </row>
    <row r="7433">
      <c r="A7433" t="inlineStr">
        <is>
          <t>e9f8ed21-13a7-46f9-b35c-5d610510d8ce.jpg</t>
        </is>
      </c>
      <c r="B7433">
        <f>HYPERLINK("Объекты недвижимости, не соответствующие градостроительным нормам_00-022_Август/e9f8ed21-13a7-46f9-b35c-5d610510d8ce.jpg","open")</f>
        <v/>
      </c>
      <c r="C7433" t="inlineStr">
        <is>
          <t>b0429a31-0c70-4b9f-8ea5-73929d82f89e</t>
        </is>
      </c>
      <c r="D7433" t="n">
        <v>55.60439</v>
      </c>
      <c r="E7433" t="n">
        <v>37.59614</v>
      </c>
      <c r="F7433" t="inlineStr"/>
      <c r="G7433" t="inlineStr"/>
      <c r="H7433" t="inlineStr"/>
    </row>
    <row r="7434">
      <c r="A7434" t="inlineStr">
        <is>
          <t>57e82505-4b7d-484b-ad57-760c110c2b4a.jpg</t>
        </is>
      </c>
      <c r="B7434">
        <f>HYPERLINK("Объекты недвижимости, не соответствующие градостроительным нормам_00-022_Август/57e82505-4b7d-484b-ad57-760c110c2b4a.jpg","open")</f>
        <v/>
      </c>
      <c r="C7434" t="inlineStr">
        <is>
          <t>57aae8a4-582b-4309-8045-c8127a9f86ae</t>
        </is>
      </c>
      <c r="D7434" t="n">
        <v>55.79492</v>
      </c>
      <c r="E7434" t="n">
        <v>37.73526</v>
      </c>
      <c r="F7434" t="inlineStr"/>
      <c r="G7434" t="inlineStr"/>
      <c r="H7434" t="inlineStr"/>
    </row>
    <row r="7435">
      <c r="A7435" t="inlineStr">
        <is>
          <t>b5f2053b-91d2-45ae-8022-6a0ad9507f31.jpg</t>
        </is>
      </c>
      <c r="B7435">
        <f>HYPERLINK("Объекты недвижимости, не соответствующие градостроительным нормам_00-022_Август/b5f2053b-91d2-45ae-8022-6a0ad9507f31.jpg","open")</f>
        <v/>
      </c>
      <c r="C7435" t="inlineStr">
        <is>
          <t>acedacc2-0d8b-4fc1-9622-25621a89d071</t>
        </is>
      </c>
      <c r="D7435" t="n">
        <v>55.79491</v>
      </c>
      <c r="E7435" t="n">
        <v>37.73531</v>
      </c>
      <c r="F7435" t="inlineStr"/>
      <c r="G7435" t="inlineStr"/>
      <c r="H7435" t="inlineStr"/>
    </row>
    <row r="7436">
      <c r="A7436" t="inlineStr">
        <is>
          <t>17f5b4ee-db22-47a1-9800-da19b3be7c35.jpg</t>
        </is>
      </c>
      <c r="B7436">
        <f>HYPERLINK("Объекты недвижимости, не соответствующие градостроительным нормам_00-022_Август/17f5b4ee-db22-47a1-9800-da19b3be7c35.jpg","open")</f>
        <v/>
      </c>
      <c r="C7436" t="inlineStr">
        <is>
          <t>ffd931da-542f-43e9-979f-5552b17fe3dc</t>
        </is>
      </c>
      <c r="D7436" t="n">
        <v>55.75518</v>
      </c>
      <c r="E7436" t="n">
        <v>37.80295</v>
      </c>
      <c r="F7436" t="inlineStr"/>
      <c r="G7436" t="inlineStr"/>
      <c r="H7436" t="inlineStr"/>
    </row>
    <row r="7437">
      <c r="A7437" t="inlineStr">
        <is>
          <t>e26b3f3d-e2cf-4e5b-9a9f-504c831bc2cb.jpg</t>
        </is>
      </c>
      <c r="B7437">
        <f>HYPERLINK("Объекты недвижимости, не соответствующие градостроительным нормам_00-022_Август/e26b3f3d-e2cf-4e5b-9a9f-504c831bc2cb.jpg","open")</f>
        <v/>
      </c>
      <c r="C7437" t="inlineStr">
        <is>
          <t>789f6c51-64ee-4078-b7bd-443af8b8b68a</t>
        </is>
      </c>
      <c r="D7437" t="n">
        <v>55.89339</v>
      </c>
      <c r="E7437" t="n">
        <v>37.57732</v>
      </c>
      <c r="F7437" t="inlineStr"/>
      <c r="G7437" t="inlineStr"/>
      <c r="H7437" t="inlineStr"/>
    </row>
    <row r="7438">
      <c r="A7438" t="inlineStr">
        <is>
          <t>40ce93ec-7114-42e0-8aad-4392472fe8bd.jpg</t>
        </is>
      </c>
      <c r="B7438">
        <f>HYPERLINK("Объекты недвижимости, не соответствующие градостроительным нормам_00-022_Август/40ce93ec-7114-42e0-8aad-4392472fe8bd.jpg","open")</f>
        <v/>
      </c>
      <c r="C7438" t="inlineStr">
        <is>
          <t>685d9054-b74f-49ab-857b-109fd2cec80d</t>
        </is>
      </c>
      <c r="D7438" t="n">
        <v>55.74657</v>
      </c>
      <c r="E7438" t="n">
        <v>37.70226</v>
      </c>
      <c r="F7438" t="inlineStr"/>
      <c r="G7438" t="inlineStr"/>
      <c r="H7438" t="inlineStr"/>
    </row>
    <row r="7439">
      <c r="A7439" t="inlineStr">
        <is>
          <t>bebe3418-58de-45d2-9b3d-7b6fc71f2e6c.jpg</t>
        </is>
      </c>
      <c r="B7439">
        <f>HYPERLINK("Объекты недвижимости, не соответствующие градостроительным нормам_00-022_Август/bebe3418-58de-45d2-9b3d-7b6fc71f2e6c.jpg","open")</f>
        <v/>
      </c>
      <c r="C7439" t="inlineStr">
        <is>
          <t>b0429a31-0c70-4b9f-8ea5-73929d82f89e</t>
        </is>
      </c>
      <c r="D7439" t="n">
        <v>55.60344</v>
      </c>
      <c r="E7439" t="n">
        <v>37.59125</v>
      </c>
      <c r="F7439" t="inlineStr"/>
      <c r="G7439" t="inlineStr"/>
      <c r="H7439" t="inlineStr"/>
    </row>
    <row r="7440">
      <c r="A7440" t="inlineStr">
        <is>
          <t>d8272215-63c1-44f6-8fa8-c8e92cab0cba.jpg</t>
        </is>
      </c>
      <c r="B7440">
        <f>HYPERLINK("Объекты недвижимости, не соответствующие градостроительным нормам_00-022_Август/d8272215-63c1-44f6-8fa8-c8e92cab0cba.jpg","open")</f>
        <v/>
      </c>
      <c r="C7440" t="inlineStr">
        <is>
          <t>fb9a37cc-57a6-447c-98bb-0b299f09c809</t>
        </is>
      </c>
      <c r="D7440" t="n">
        <v>55.78233</v>
      </c>
      <c r="E7440" t="n">
        <v>37.70535</v>
      </c>
      <c r="F7440" t="inlineStr"/>
      <c r="G7440" t="inlineStr"/>
      <c r="H7440" t="inlineStr"/>
    </row>
    <row r="7441">
      <c r="A7441" t="inlineStr">
        <is>
          <t>73941b1f-fbcd-4fe8-9ebc-b60a81c232ea.jpg</t>
        </is>
      </c>
      <c r="B7441">
        <f>HYPERLINK("Объекты недвижимости, не соответствующие градостроительным нормам_00-022_Август/73941b1f-fbcd-4fe8-9ebc-b60a81c232ea.jpg","open")</f>
        <v/>
      </c>
      <c r="C7441" t="inlineStr">
        <is>
          <t>fb9a37cc-57a6-447c-98bb-0b299f09c809</t>
        </is>
      </c>
      <c r="D7441" t="n">
        <v>55.78255</v>
      </c>
      <c r="E7441" t="n">
        <v>37.70381</v>
      </c>
      <c r="F7441" t="inlineStr"/>
      <c r="G7441" t="inlineStr"/>
      <c r="H7441" t="inlineStr"/>
    </row>
    <row r="7442">
      <c r="A7442" t="inlineStr">
        <is>
          <t>5e914ba2-f7ee-4ab2-b868-2b8fe97351e7.jpg</t>
        </is>
      </c>
      <c r="B7442">
        <f>HYPERLINK("Объекты недвижимости, не соответствующие градостроительным нормам_00-022_Август/5e914ba2-f7ee-4ab2-b868-2b8fe97351e7.jpg","open")</f>
        <v/>
      </c>
      <c r="C7442" t="inlineStr">
        <is>
          <t>fb9a37cc-57a6-447c-98bb-0b299f09c809</t>
        </is>
      </c>
      <c r="D7442" t="n">
        <v>55.76423</v>
      </c>
      <c r="E7442" t="n">
        <v>37.70003</v>
      </c>
      <c r="F7442" t="inlineStr"/>
      <c r="G7442" t="inlineStr"/>
      <c r="H7442" t="inlineStr"/>
    </row>
    <row r="7443">
      <c r="A7443" t="inlineStr">
        <is>
          <t>9f3ee7b9-b6a7-4ecd-a9a6-4dbfce1f983f.jpg</t>
        </is>
      </c>
      <c r="B7443">
        <f>HYPERLINK("Объекты недвижимости, не соответствующие градостроительным нормам_00-022_Август/9f3ee7b9-b6a7-4ecd-a9a6-4dbfce1f983f.jpg","open")</f>
        <v/>
      </c>
      <c r="C7443" t="inlineStr">
        <is>
          <t>61936922-4d4b-458e-80ea-6d4c450aa1d5</t>
        </is>
      </c>
      <c r="D7443" t="n">
        <v>55.70724</v>
      </c>
      <c r="E7443" t="n">
        <v>37.46065</v>
      </c>
      <c r="F7443" t="inlineStr"/>
      <c r="G7443" t="inlineStr"/>
      <c r="H7443" t="inlineStr"/>
    </row>
    <row r="7444">
      <c r="A7444" t="inlineStr">
        <is>
          <t>946e283e-7eef-49fd-98da-c7ac246b3a9e.jpg</t>
        </is>
      </c>
      <c r="B7444">
        <f>HYPERLINK("Объекты недвижимости, не соответствующие градостроительным нормам_00-022_Август/946e283e-7eef-49fd-98da-c7ac246b3a9e.jpg","open")</f>
        <v/>
      </c>
      <c r="C7444" t="inlineStr">
        <is>
          <t>9fb3d110-951f-48da-9d90-cfd7e1b5800d</t>
        </is>
      </c>
      <c r="D7444" t="n">
        <v>55.70724</v>
      </c>
      <c r="E7444" t="n">
        <v>37.4606</v>
      </c>
      <c r="F7444" t="inlineStr"/>
      <c r="G7444" t="inlineStr"/>
      <c r="H7444" t="inlineStr"/>
    </row>
    <row r="7445">
      <c r="A7445" t="inlineStr">
        <is>
          <t>5aa22ead-c677-4ad0-8d2d-99a2358467b4.jpg</t>
        </is>
      </c>
      <c r="B7445">
        <f>HYPERLINK("Объекты недвижимости, не соответствующие градостроительным нормам_00-022_Август/5aa22ead-c677-4ad0-8d2d-99a2358467b4.jpg","open")</f>
        <v/>
      </c>
      <c r="C7445" t="inlineStr">
        <is>
          <t>030e8755-17c1-44eb-9530-707d0d3121cb</t>
        </is>
      </c>
      <c r="D7445" t="n">
        <v>55.61287</v>
      </c>
      <c r="E7445" t="n">
        <v>37.71688</v>
      </c>
      <c r="F7445" t="inlineStr"/>
      <c r="G7445" t="inlineStr"/>
      <c r="H7445" t="inlineStr"/>
    </row>
    <row r="7446">
      <c r="A7446" t="inlineStr">
        <is>
          <t>9f8e775f-6cc5-4cf1-bdd2-8a43f02b7de5.jpg</t>
        </is>
      </c>
      <c r="B7446">
        <f>HYPERLINK("Объекты недвижимости, не соответствующие градостроительным нормам_00-022_Август/9f8e775f-6cc5-4cf1-bdd2-8a43f02b7de5.jpg","open")</f>
        <v/>
      </c>
      <c r="C7446" t="inlineStr">
        <is>
          <t>1a55986c-2c3f-40c0-b3d1-014dce77832e</t>
        </is>
      </c>
      <c r="D7446" t="n">
        <v>55.41203</v>
      </c>
      <c r="E7446" t="n">
        <v>37.25676</v>
      </c>
      <c r="F7446" t="inlineStr"/>
      <c r="G7446" t="inlineStr"/>
      <c r="H7446" t="inlineStr"/>
    </row>
    <row r="7447">
      <c r="A7447" t="inlineStr">
        <is>
          <t>e7f4357c-adba-4400-9e99-6b0afa33bc21.jpg</t>
        </is>
      </c>
      <c r="B7447">
        <f>HYPERLINK("Объекты недвижимости, не соответствующие градостроительным нормам_00-022_Август/e7f4357c-adba-4400-9e99-6b0afa33bc21.jpg","open")</f>
        <v/>
      </c>
      <c r="C7447" t="inlineStr">
        <is>
          <t>936502dd-24a4-4256-9fdf-0d8fb72af3ed</t>
        </is>
      </c>
      <c r="D7447" t="n">
        <v>55.66469</v>
      </c>
      <c r="E7447" t="n">
        <v>37.72056</v>
      </c>
      <c r="F7447" t="inlineStr"/>
      <c r="G7447" t="inlineStr"/>
      <c r="H7447" t="inlineStr"/>
    </row>
    <row r="7448">
      <c r="A7448" t="inlineStr">
        <is>
          <t>8ca25cfb-d91f-4e66-839f-31fddae94ded.jpg</t>
        </is>
      </c>
      <c r="B7448">
        <f>HYPERLINK("Объекты недвижимости, не соответствующие градостроительным нормам_00-022_Август/8ca25cfb-d91f-4e66-839f-31fddae94ded.jpg","open")</f>
        <v/>
      </c>
      <c r="C7448" t="inlineStr">
        <is>
          <t>936502dd-24a4-4256-9fdf-0d8fb72af3ed</t>
        </is>
      </c>
      <c r="D7448" t="n">
        <v>55.69744</v>
      </c>
      <c r="E7448" t="n">
        <v>37.72993</v>
      </c>
      <c r="F7448" t="inlineStr"/>
      <c r="G7448" t="inlineStr"/>
      <c r="H7448" t="inlineStr"/>
    </row>
    <row r="7449">
      <c r="A7449" t="inlineStr">
        <is>
          <t>d4e5ca73-a1cf-46d7-bcc5-644c1be2d177.jpg</t>
        </is>
      </c>
      <c r="B7449">
        <f>HYPERLINK("Объекты недвижимости, не соответствующие градостроительным нормам_00-022_Август/d4e5ca73-a1cf-46d7-bcc5-644c1be2d177.jpg","open")</f>
        <v/>
      </c>
      <c r="C7449" t="inlineStr">
        <is>
          <t>ed2bf0f1-3a66-4913-896e-4420a9796c0b</t>
        </is>
      </c>
      <c r="D7449" t="n">
        <v>55.46072</v>
      </c>
      <c r="E7449" t="n">
        <v>37.2975</v>
      </c>
      <c r="F7449" t="inlineStr"/>
      <c r="G7449" t="inlineStr"/>
      <c r="H7449" t="inlineStr"/>
    </row>
    <row r="7450">
      <c r="A7450" t="inlineStr">
        <is>
          <t>2cfbc369-c491-4479-854b-fd1fcb3b957d.jpg</t>
        </is>
      </c>
      <c r="B7450">
        <f>HYPERLINK("Объекты недвижимости, не соответствующие градостроительным нормам_00-022_Август/2cfbc369-c491-4479-854b-fd1fcb3b957d.jpg","open")</f>
        <v/>
      </c>
      <c r="C7450" t="inlineStr">
        <is>
          <t>f20fbc2b-b369-4734-bb66-92af02fbb0d1</t>
        </is>
      </c>
      <c r="D7450" t="n">
        <v>55.7438</v>
      </c>
      <c r="E7450" t="n">
        <v>37.40174</v>
      </c>
      <c r="F7450" t="inlineStr"/>
      <c r="G7450" t="inlineStr"/>
      <c r="H7450" t="inlineStr"/>
    </row>
    <row r="7451">
      <c r="A7451" t="inlineStr">
        <is>
          <t>476eb113-431a-48c8-8277-7e0dcd70ee32.jpg</t>
        </is>
      </c>
      <c r="B7451">
        <f>HYPERLINK("Объекты недвижимости, не соответствующие градостроительным нормам_00-022_Август/476eb113-431a-48c8-8277-7e0dcd70ee32.jpg","open")</f>
        <v/>
      </c>
      <c r="C7451" t="inlineStr">
        <is>
          <t>61936922-4d4b-458e-80ea-6d4c450aa1d5</t>
        </is>
      </c>
      <c r="D7451" t="n">
        <v>55.74823</v>
      </c>
      <c r="E7451" t="n">
        <v>37.55708</v>
      </c>
      <c r="F7451" t="inlineStr"/>
      <c r="G7451" t="inlineStr"/>
      <c r="H7451" t="inlineStr"/>
    </row>
    <row r="7452">
      <c r="A7452" t="inlineStr">
        <is>
          <t>a7441309-e22a-4f1d-8648-62b88cbe06f1.jpg</t>
        </is>
      </c>
      <c r="B7452">
        <f>HYPERLINK("Объекты недвижимости, не соответствующие градостроительным нормам_00-022_Август/a7441309-e22a-4f1d-8648-62b88cbe06f1.jpg","open")</f>
        <v/>
      </c>
      <c r="C7452" t="inlineStr">
        <is>
          <t>1a55986c-2c3f-40c0-b3d1-014dce77832e</t>
        </is>
      </c>
      <c r="D7452" t="n">
        <v>55.64379</v>
      </c>
      <c r="E7452" t="n">
        <v>37.55824</v>
      </c>
      <c r="F7452" t="inlineStr"/>
      <c r="G7452" t="inlineStr"/>
      <c r="H7452" t="inlineStr"/>
    </row>
    <row r="7453">
      <c r="A7453" t="inlineStr">
        <is>
          <t>960c2534-ecfe-4c87-b56e-63b347f2e1b8.jpg</t>
        </is>
      </c>
      <c r="B7453">
        <f>HYPERLINK("Объекты недвижимости, не соответствующие градостроительным нормам_00-022_Август/960c2534-ecfe-4c87-b56e-63b347f2e1b8.jpg","open")</f>
        <v/>
      </c>
      <c r="C7453" t="inlineStr">
        <is>
          <t>ed2bf0f1-3a66-4913-896e-4420a9796c0b</t>
        </is>
      </c>
      <c r="D7453" t="n">
        <v>55.6468</v>
      </c>
      <c r="E7453" t="n">
        <v>37.56194</v>
      </c>
      <c r="F7453" t="inlineStr"/>
      <c r="G7453" t="inlineStr"/>
      <c r="H7453" t="inlineStr"/>
    </row>
    <row r="7454">
      <c r="A7454" t="inlineStr">
        <is>
          <t>27fb8f19-65b7-459d-9a48-4df4771c4dc0.jpg</t>
        </is>
      </c>
      <c r="B7454">
        <f>HYPERLINK("Объекты недвижимости, не соответствующие градостроительным нормам_00-022_Август/27fb8f19-65b7-459d-9a48-4df4771c4dc0.jpg","open")</f>
        <v/>
      </c>
      <c r="C7454" t="inlineStr">
        <is>
          <t>dd48f742-b338-42e2-bbaf-b3a9701b437c</t>
        </is>
      </c>
      <c r="D7454" t="n">
        <v>55.77639</v>
      </c>
      <c r="E7454" t="n">
        <v>37.63438</v>
      </c>
      <c r="F7454" t="inlineStr"/>
      <c r="G7454" t="inlineStr"/>
      <c r="H7454" t="inlineStr"/>
    </row>
    <row r="7455">
      <c r="A7455" t="inlineStr">
        <is>
          <t>5972bdf5-4295-41dd-a749-f43fce84ff4f.jpg</t>
        </is>
      </c>
      <c r="B7455">
        <f>HYPERLINK("Объекты недвижимости, не соответствующие градостроительным нормам_00-022_Август/5972bdf5-4295-41dd-a749-f43fce84ff4f.jpg","open")</f>
        <v/>
      </c>
      <c r="C7455" t="inlineStr">
        <is>
          <t>a28f597e-d1cd-4d3b-b572-c86d033412e9</t>
        </is>
      </c>
      <c r="D7455" t="n">
        <v>55.74466</v>
      </c>
      <c r="E7455" t="n">
        <v>37.69767</v>
      </c>
      <c r="F7455" t="inlineStr"/>
      <c r="G7455" t="inlineStr"/>
      <c r="H7455" t="inlineStr"/>
    </row>
    <row r="7456">
      <c r="A7456" t="inlineStr">
        <is>
          <t>5561481f-5042-4294-a5ad-7a8470bea9cb.jpg</t>
        </is>
      </c>
      <c r="B7456">
        <f>HYPERLINK("Объекты недвижимости, не соответствующие градостроительным нормам_00-022_Август/5561481f-5042-4294-a5ad-7a8470bea9cb.jpg","open")</f>
        <v/>
      </c>
      <c r="C7456" t="inlineStr">
        <is>
          <t>1a55986c-2c3f-40c0-b3d1-014dce77832e</t>
        </is>
      </c>
      <c r="D7456" t="n">
        <v>55.71366</v>
      </c>
      <c r="E7456" t="n">
        <v>37.67968</v>
      </c>
      <c r="F7456" t="inlineStr"/>
      <c r="G7456" t="inlineStr"/>
      <c r="H7456" t="inlineStr"/>
    </row>
    <row r="7457">
      <c r="A7457" t="inlineStr">
        <is>
          <t>e5947846-86a8-43c3-850b-dbfc5fb16972.jpg</t>
        </is>
      </c>
      <c r="B7457">
        <f>HYPERLINK("Объекты недвижимости, не соответствующие градостроительным нормам_00-022_Август/e5947846-86a8-43c3-850b-dbfc5fb16972.jpg","open")</f>
        <v/>
      </c>
      <c r="C7457" t="inlineStr">
        <is>
          <t>ed2bf0f1-3a66-4913-896e-4420a9796c0b</t>
        </is>
      </c>
      <c r="D7457" t="n">
        <v>55.74215</v>
      </c>
      <c r="E7457" t="n">
        <v>37.69816</v>
      </c>
      <c r="F7457" t="inlineStr"/>
      <c r="G7457" t="inlineStr"/>
      <c r="H7457" t="inlineStr"/>
    </row>
    <row r="7458">
      <c r="A7458" t="inlineStr">
        <is>
          <t>c645fbf5-957a-4f27-8b99-ea34aaed7726.jpg</t>
        </is>
      </c>
      <c r="B7458">
        <f>HYPERLINK("Объекты недвижимости, не соответствующие градостроительным нормам_00-022_Август/c645fbf5-957a-4f27-8b99-ea34aaed7726.jpg","open")</f>
        <v/>
      </c>
      <c r="C7458" t="inlineStr">
        <is>
          <t>9c930d0e-e445-452d-a046-325646b21ab7</t>
        </is>
      </c>
      <c r="D7458" t="n">
        <v>55.85314</v>
      </c>
      <c r="E7458" t="n">
        <v>37.66756</v>
      </c>
      <c r="F7458" t="inlineStr"/>
      <c r="G7458" t="inlineStr"/>
      <c r="H7458" t="inlineStr"/>
    </row>
    <row r="7459">
      <c r="A7459" t="inlineStr">
        <is>
          <t>0c4b3bc4-37d9-4ce4-abe2-8ba717a95466.jpg</t>
        </is>
      </c>
      <c r="B7459">
        <f>HYPERLINK("Объекты недвижимости, не соответствующие градостроительным нормам_00-022_Август/0c4b3bc4-37d9-4ce4-abe2-8ba717a95466.jpg","open")</f>
        <v/>
      </c>
      <c r="C7459" t="inlineStr">
        <is>
          <t>9c930d0e-e445-452d-a046-325646b21ab7</t>
        </is>
      </c>
      <c r="D7459" t="n">
        <v>55.77412</v>
      </c>
      <c r="E7459" t="n">
        <v>37.63231</v>
      </c>
      <c r="F7459" t="inlineStr"/>
      <c r="G7459" t="inlineStr"/>
      <c r="H7459" t="inlineStr"/>
    </row>
    <row r="7460">
      <c r="A7460" t="inlineStr">
        <is>
          <t>9049610a-2b13-4918-b3a1-a0b74aa64445.jpg</t>
        </is>
      </c>
      <c r="B7460">
        <f>HYPERLINK("Объекты недвижимости, не соответствующие градостроительным нормам_00-022_Август/9049610a-2b13-4918-b3a1-a0b74aa64445.jpg","open")</f>
        <v/>
      </c>
      <c r="C7460" t="inlineStr">
        <is>
          <t>9c930d0e-e445-452d-a046-325646b21ab7</t>
        </is>
      </c>
      <c r="D7460" t="n">
        <v>55.73128</v>
      </c>
      <c r="E7460" t="n">
        <v>37.54596</v>
      </c>
      <c r="F7460" t="inlineStr"/>
      <c r="G7460" t="inlineStr"/>
      <c r="H7460" t="inlineStr"/>
    </row>
    <row r="7461">
      <c r="A7461" t="inlineStr">
        <is>
          <t>bceda9fb-2e90-46b1-91ad-2231be489c53.jpg</t>
        </is>
      </c>
      <c r="B7461">
        <f>HYPERLINK("Объекты недвижимости, не соответствующие градостроительным нормам_00-022_Август/bceda9fb-2e90-46b1-91ad-2231be489c53.jpg","open")</f>
        <v/>
      </c>
      <c r="C7461" t="inlineStr">
        <is>
          <t>5e5b9944-4f9e-4223-bf96-0bc0c8a93dfa</t>
        </is>
      </c>
      <c r="D7461" t="n">
        <v>55.71006</v>
      </c>
      <c r="E7461" t="n">
        <v>37.6649</v>
      </c>
      <c r="F7461" t="inlineStr"/>
      <c r="G7461" t="inlineStr"/>
      <c r="H7461" t="inlineStr"/>
    </row>
    <row r="7462">
      <c r="A7462" t="inlineStr">
        <is>
          <t>4edaee2e-6e06-4d1b-9ea7-18a570e67a27.jpg</t>
        </is>
      </c>
      <c r="B7462">
        <f>HYPERLINK("Объекты недвижимости, не соответствующие градостроительным нормам_00-022_Август/4edaee2e-6e06-4d1b-9ea7-18a570e67a27.jpg","open")</f>
        <v/>
      </c>
      <c r="C7462" t="inlineStr">
        <is>
          <t>18a5c468-d9e6-4814-8477-1caf4a2e1fe9</t>
        </is>
      </c>
      <c r="D7462" t="n">
        <v>55.97507</v>
      </c>
      <c r="E7462" t="n">
        <v>37.43096</v>
      </c>
      <c r="F7462" t="inlineStr"/>
      <c r="G7462" t="inlineStr"/>
      <c r="H7462" t="inlineStr"/>
    </row>
    <row r="7463">
      <c r="A7463" t="inlineStr">
        <is>
          <t>7881b246-857c-4201-92c2-36c741e221c2.jpg</t>
        </is>
      </c>
      <c r="B7463">
        <f>HYPERLINK("Объекты недвижимости, не соответствующие градостроительным нормам_00-022_Август/7881b246-857c-4201-92c2-36c741e221c2.jpg","open")</f>
        <v/>
      </c>
      <c r="C7463" t="inlineStr">
        <is>
          <t>cbf95b01-f708-45a3-9ec0-3603469b538e</t>
        </is>
      </c>
      <c r="D7463" t="n">
        <v>55.74413</v>
      </c>
      <c r="E7463" t="n">
        <v>37.54655</v>
      </c>
      <c r="F7463" t="inlineStr"/>
      <c r="G7463" t="inlineStr"/>
      <c r="H7463" t="inlineStr"/>
    </row>
    <row r="7464">
      <c r="A7464" t="inlineStr">
        <is>
          <t>c4baf46a-bb4c-462f-b0e5-720d3ed0cb08.jpg</t>
        </is>
      </c>
      <c r="B7464">
        <f>HYPERLINK("Объекты недвижимости, не соответствующие градостроительным нормам_00-022_Август/c4baf46a-bb4c-462f-b0e5-720d3ed0cb08.jpg","open")</f>
        <v/>
      </c>
      <c r="C7464" t="inlineStr">
        <is>
          <t>cbf95b01-f708-45a3-9ec0-3603469b538e</t>
        </is>
      </c>
      <c r="D7464" t="n">
        <v>55.74744</v>
      </c>
      <c r="E7464" t="n">
        <v>37.5568</v>
      </c>
      <c r="F7464" t="inlineStr"/>
      <c r="G7464" t="inlineStr"/>
      <c r="H7464" t="inlineStr"/>
    </row>
    <row r="7465">
      <c r="A7465" t="inlineStr">
        <is>
          <t>839befd5-1e49-48fc-a883-dca4016b9d40.jpg</t>
        </is>
      </c>
      <c r="B7465">
        <f>HYPERLINK("Объекты недвижимости, не соответствующие градостроительным нормам_00-022_Август/839befd5-1e49-48fc-a883-dca4016b9d40.jpg","open")</f>
        <v/>
      </c>
      <c r="C7465" t="inlineStr">
        <is>
          <t>cbf95b01-f708-45a3-9ec0-3603469b538e</t>
        </is>
      </c>
      <c r="D7465" t="n">
        <v>55.75322</v>
      </c>
      <c r="E7465" t="n">
        <v>37.58195</v>
      </c>
      <c r="F7465" t="inlineStr"/>
      <c r="G7465" t="inlineStr"/>
      <c r="H7465" t="inlineStr"/>
    </row>
    <row r="7466">
      <c r="A7466" t="inlineStr">
        <is>
          <t>326f71f7-e940-4872-8dac-ae283d3d989c.jpg</t>
        </is>
      </c>
      <c r="B7466">
        <f>HYPERLINK("Объекты недвижимости, не соответствующие градостроительным нормам_00-022_Август/326f71f7-e940-4872-8dac-ae283d3d989c.jpg","open")</f>
        <v/>
      </c>
      <c r="C7466" t="inlineStr">
        <is>
          <t>cbf95b01-f708-45a3-9ec0-3603469b538e</t>
        </is>
      </c>
      <c r="D7466" t="n">
        <v>55.75322</v>
      </c>
      <c r="E7466" t="n">
        <v>37.58195</v>
      </c>
      <c r="F7466" t="inlineStr"/>
      <c r="G7466" t="inlineStr"/>
      <c r="H7466" t="inlineStr"/>
    </row>
    <row r="7467">
      <c r="A7467" t="inlineStr">
        <is>
          <t>6a1d8dec-de76-4f97-b4cd-fbd4bbb92310.jpg</t>
        </is>
      </c>
      <c r="B7467">
        <f>HYPERLINK("Объекты недвижимости, не соответствующие градостроительным нормам_00-022_Август/6a1d8dec-de76-4f97-b4cd-fbd4bbb92310.jpg","open")</f>
        <v/>
      </c>
      <c r="C7467" t="inlineStr">
        <is>
          <t>cbf95b01-f708-45a3-9ec0-3603469b538e</t>
        </is>
      </c>
      <c r="D7467" t="n">
        <v>55.75322</v>
      </c>
      <c r="E7467" t="n">
        <v>37.58195</v>
      </c>
      <c r="F7467" t="inlineStr"/>
      <c r="G7467" t="inlineStr"/>
      <c r="H7467" t="inlineStr"/>
    </row>
    <row r="7468">
      <c r="A7468" t="inlineStr">
        <is>
          <t>9da95a6f-be24-4bcc-a8c2-e230e09e3763.jpg</t>
        </is>
      </c>
      <c r="B7468">
        <f>HYPERLINK("Объекты недвижимости, не соответствующие градостроительным нормам_00-022_Август/9da95a6f-be24-4bcc-a8c2-e230e09e3763.jpg","open")</f>
        <v/>
      </c>
      <c r="C7468" t="inlineStr">
        <is>
          <t>cbf95b01-f708-45a3-9ec0-3603469b538e</t>
        </is>
      </c>
      <c r="D7468" t="n">
        <v>55.75322</v>
      </c>
      <c r="E7468" t="n">
        <v>37.58195</v>
      </c>
      <c r="F7468" t="inlineStr"/>
      <c r="G7468" t="inlineStr"/>
      <c r="H7468" t="inlineStr"/>
    </row>
    <row r="7469">
      <c r="A7469" t="inlineStr">
        <is>
          <t>c85af7ad-594a-455d-bd82-356ee40cd941.jpg</t>
        </is>
      </c>
      <c r="B7469">
        <f>HYPERLINK("Объекты недвижимости, не соответствующие градостроительным нормам_00-022_Август/c85af7ad-594a-455d-bd82-356ee40cd941.jpg","open")</f>
        <v/>
      </c>
      <c r="C7469" t="inlineStr">
        <is>
          <t>cbf95b01-f708-45a3-9ec0-3603469b538e</t>
        </is>
      </c>
      <c r="D7469" t="n">
        <v>55.75322</v>
      </c>
      <c r="E7469" t="n">
        <v>37.58195</v>
      </c>
      <c r="F7469" t="inlineStr"/>
      <c r="G7469" t="inlineStr"/>
      <c r="H7469" t="inlineStr"/>
    </row>
    <row r="7470">
      <c r="A7470" t="inlineStr">
        <is>
          <t>2a0b89c1-8c5f-40a6-a33b-87cf648aa8bf.jpg</t>
        </is>
      </c>
      <c r="B7470">
        <f>HYPERLINK("Объекты недвижимости, не соответствующие градостроительным нормам_00-022_Август/2a0b89c1-8c5f-40a6-a33b-87cf648aa8bf.jpg","open")</f>
        <v/>
      </c>
      <c r="C7470" t="inlineStr">
        <is>
          <t>cbf95b01-f708-45a3-9ec0-3603469b538e</t>
        </is>
      </c>
      <c r="D7470" t="n">
        <v>55.75322</v>
      </c>
      <c r="E7470" t="n">
        <v>37.58195</v>
      </c>
      <c r="F7470" t="inlineStr"/>
      <c r="G7470" t="inlineStr"/>
      <c r="H7470" t="inlineStr"/>
    </row>
    <row r="7471">
      <c r="A7471" t="inlineStr">
        <is>
          <t>fd5ffed5-1cdb-4562-8f8a-238638842a1b.jpg</t>
        </is>
      </c>
      <c r="B7471">
        <f>HYPERLINK("Объекты недвижимости, не соответствующие градостроительным нормам_00-022_Август/fd5ffed5-1cdb-4562-8f8a-238638842a1b.jpg","open")</f>
        <v/>
      </c>
      <c r="C7471" t="inlineStr">
        <is>
          <t>cbf95b01-f708-45a3-9ec0-3603469b538e</t>
        </is>
      </c>
      <c r="D7471" t="n">
        <v>55.75322</v>
      </c>
      <c r="E7471" t="n">
        <v>37.58195</v>
      </c>
      <c r="F7471" t="inlineStr"/>
      <c r="G7471" t="inlineStr"/>
      <c r="H7471" t="inlineStr"/>
    </row>
    <row r="7472">
      <c r="A7472" t="inlineStr">
        <is>
          <t>a2c37a96-a860-45f5-9785-f49ecf270a00.jpg</t>
        </is>
      </c>
      <c r="B7472">
        <f>HYPERLINK("Объекты недвижимости, не соответствующие градостроительным нормам_00-022_Август/a2c37a96-a860-45f5-9785-f49ecf270a00.jpg","open")</f>
        <v/>
      </c>
      <c r="C7472" t="inlineStr">
        <is>
          <t>cbf95b01-f708-45a3-9ec0-3603469b538e</t>
        </is>
      </c>
      <c r="D7472" t="n">
        <v>55.75322</v>
      </c>
      <c r="E7472" t="n">
        <v>37.58195</v>
      </c>
      <c r="F7472" t="inlineStr"/>
      <c r="G7472" t="inlineStr"/>
      <c r="H7472" t="inlineStr"/>
    </row>
    <row r="7473">
      <c r="A7473" t="inlineStr">
        <is>
          <t>3cf32726-ed5d-443c-a988-703329fb455f.jpg</t>
        </is>
      </c>
      <c r="B7473">
        <f>HYPERLINK("Объекты недвижимости, не соответствующие градостроительным нормам_00-022_Август/3cf32726-ed5d-443c-a988-703329fb455f.jpg","open")</f>
        <v/>
      </c>
      <c r="C7473" t="inlineStr">
        <is>
          <t>cbf95b01-f708-45a3-9ec0-3603469b538e</t>
        </is>
      </c>
      <c r="D7473" t="n">
        <v>55.75322</v>
      </c>
      <c r="E7473" t="n">
        <v>37.58195</v>
      </c>
      <c r="F7473" t="inlineStr"/>
      <c r="G7473" t="inlineStr"/>
      <c r="H7473" t="inlineStr"/>
    </row>
    <row r="7474">
      <c r="A7474" t="inlineStr">
        <is>
          <t>f9e21569-72f5-4158-963a-9685cb3f69b8.jpg</t>
        </is>
      </c>
      <c r="B7474">
        <f>HYPERLINK("Объекты недвижимости, не соответствующие градостроительным нормам_00-022_Август/f9e21569-72f5-4158-963a-9685cb3f69b8.jpg","open")</f>
        <v/>
      </c>
      <c r="C7474" t="inlineStr">
        <is>
          <t>cbf95b01-f708-45a3-9ec0-3603469b538e</t>
        </is>
      </c>
      <c r="D7474" t="n">
        <v>55.73664</v>
      </c>
      <c r="E7474" t="n">
        <v>37.69571</v>
      </c>
      <c r="F7474" t="inlineStr"/>
      <c r="G7474" t="inlineStr"/>
      <c r="H7474" t="inlineStr"/>
    </row>
    <row r="7475">
      <c r="A7475" t="inlineStr">
        <is>
          <t>6e5bd2ea-a34a-4302-b7bc-d8e7bcf0506c.jpg</t>
        </is>
      </c>
      <c r="B7475">
        <f>HYPERLINK("Объекты недвижимости, не соответствующие градостроительным нормам_00-022_Август/6e5bd2ea-a34a-4302-b7bc-d8e7bcf0506c.jpg","open")</f>
        <v/>
      </c>
      <c r="C7475" t="inlineStr">
        <is>
          <t>cbf95b01-f708-45a3-9ec0-3603469b538e</t>
        </is>
      </c>
      <c r="D7475" t="n">
        <v>55.73571</v>
      </c>
      <c r="E7475" t="n">
        <v>37.69714</v>
      </c>
      <c r="F7475" t="inlineStr"/>
      <c r="G7475" t="inlineStr"/>
      <c r="H7475" t="inlineStr"/>
    </row>
    <row r="7476">
      <c r="A7476" t="inlineStr">
        <is>
          <t>7835b573-05df-41d3-87e3-c39ca1f210be.jpg</t>
        </is>
      </c>
      <c r="B7476">
        <f>HYPERLINK("Объекты недвижимости, не соответствующие градостроительным нормам_00-022_Август/7835b573-05df-41d3-87e3-c39ca1f210be.jpg","open")</f>
        <v/>
      </c>
      <c r="C7476" t="inlineStr">
        <is>
          <t>052a5a2b-f222-4b50-b2cc-21612f1f234a</t>
        </is>
      </c>
      <c r="D7476" t="n">
        <v>55.98166</v>
      </c>
      <c r="E7476" t="n">
        <v>37.4221</v>
      </c>
      <c r="F7476" t="inlineStr"/>
      <c r="G7476" t="inlineStr"/>
      <c r="H7476" t="inlineStr"/>
    </row>
    <row r="7477">
      <c r="A7477" t="inlineStr">
        <is>
          <t>c019ed3a-9a8f-4f16-b725-eb07ba016801.jpg</t>
        </is>
      </c>
      <c r="B7477">
        <f>HYPERLINK("Объекты недвижимости, не соответствующие градостроительным нормам_00-022_Август/c019ed3a-9a8f-4f16-b725-eb07ba016801.jpg","open")</f>
        <v/>
      </c>
      <c r="C7477" t="inlineStr">
        <is>
          <t>fb40ed24-21ef-458a-a239-038ab19932cc</t>
        </is>
      </c>
      <c r="D7477" t="n">
        <v>55.81707</v>
      </c>
      <c r="E7477" t="n">
        <v>37.77813</v>
      </c>
      <c r="F7477" t="inlineStr"/>
      <c r="G7477" t="inlineStr"/>
      <c r="H7477" t="inlineStr"/>
    </row>
    <row r="7478">
      <c r="A7478" t="inlineStr">
        <is>
          <t>70ce4ce5-f7d6-444e-978e-3b7a6a401cf2.jpg</t>
        </is>
      </c>
      <c r="B7478">
        <f>HYPERLINK("Объекты недвижимости, не соответствующие градостроительным нормам_00-022_Август/70ce4ce5-f7d6-444e-978e-3b7a6a401cf2.jpg","open")</f>
        <v/>
      </c>
      <c r="C7478" t="inlineStr">
        <is>
          <t>cbf95b01-f708-45a3-9ec0-3603469b538e</t>
        </is>
      </c>
      <c r="D7478" t="n">
        <v>55.72887</v>
      </c>
      <c r="E7478" t="n">
        <v>37.68028</v>
      </c>
      <c r="F7478" t="inlineStr"/>
      <c r="G7478" t="inlineStr"/>
      <c r="H7478" t="inlineStr"/>
    </row>
    <row r="7479">
      <c r="A7479" t="inlineStr">
        <is>
          <t>4e76d16b-159b-4d06-80a2-4e5b26842da4.jpg</t>
        </is>
      </c>
      <c r="B7479">
        <f>HYPERLINK("Объекты недвижимости, не соответствующие градостроительным нормам_00-022_Август/4e76d16b-159b-4d06-80a2-4e5b26842da4.jpg","open")</f>
        <v/>
      </c>
      <c r="C7479" t="inlineStr">
        <is>
          <t>cbf95b01-f708-45a3-9ec0-3603469b538e</t>
        </is>
      </c>
      <c r="D7479" t="n">
        <v>55.7287</v>
      </c>
      <c r="E7479" t="n">
        <v>37.67776</v>
      </c>
      <c r="F7479" t="inlineStr"/>
      <c r="G7479" t="inlineStr"/>
      <c r="H7479" t="inlineStr"/>
    </row>
    <row r="7480">
      <c r="A7480" t="inlineStr">
        <is>
          <t>3a4de7e5-3cf5-4d4e-a036-5e6ab08a372c.jpg</t>
        </is>
      </c>
      <c r="B7480">
        <f>HYPERLINK("Объекты недвижимости, не соответствующие градостроительным нормам_00-022_Август/3a4de7e5-3cf5-4d4e-a036-5e6ab08a372c.jpg","open")</f>
        <v/>
      </c>
      <c r="C7480" t="inlineStr">
        <is>
          <t>b6b3590f-f506-4399-8205-e7ac710132e7</t>
        </is>
      </c>
      <c r="D7480" t="n">
        <v>55.79877</v>
      </c>
      <c r="E7480" t="n">
        <v>37.53494</v>
      </c>
      <c r="F7480" t="inlineStr"/>
      <c r="G7480" t="inlineStr"/>
      <c r="H7480" t="inlineStr"/>
    </row>
    <row r="7481">
      <c r="A7481" t="inlineStr">
        <is>
          <t>c02f6b4d-4c44-4c64-ba3e-13efa96c6e7a.jpg</t>
        </is>
      </c>
      <c r="B7481">
        <f>HYPERLINK("Объекты недвижимости, не соответствующие градостроительным нормам_00-022_Август/c02f6b4d-4c44-4c64-ba3e-13efa96c6e7a.jpg","open")</f>
        <v/>
      </c>
      <c r="C7481" t="inlineStr">
        <is>
          <t>50e4626c-a80e-42ab-b999-b5092c2c063f</t>
        </is>
      </c>
      <c r="D7481" t="n">
        <v>55.73698</v>
      </c>
      <c r="E7481" t="n">
        <v>37.67633</v>
      </c>
      <c r="F7481" t="inlineStr"/>
      <c r="G7481" t="inlineStr"/>
      <c r="H7481" t="inlineStr"/>
    </row>
    <row r="7482">
      <c r="A7482" t="inlineStr">
        <is>
          <t>334b8084-6202-49fd-8f48-f64d9a76ef3e.jpg</t>
        </is>
      </c>
      <c r="B7482">
        <f>HYPERLINK("Объекты недвижимости, не соответствующие градостроительным нормам_00-022_Август/334b8084-6202-49fd-8f48-f64d9a76ef3e.jpg","open")</f>
        <v/>
      </c>
      <c r="C7482" t="inlineStr">
        <is>
          <t>cbf95b01-f708-45a3-9ec0-3603469b538e</t>
        </is>
      </c>
      <c r="D7482" t="n">
        <v>55.73115</v>
      </c>
      <c r="E7482" t="n">
        <v>37.67299</v>
      </c>
      <c r="F7482" t="inlineStr"/>
      <c r="G7482" t="inlineStr"/>
      <c r="H7482" t="inlineStr"/>
    </row>
    <row r="7483">
      <c r="A7483" t="inlineStr">
        <is>
          <t>22b11664-9091-428d-8b73-15431d13ff30.jpg</t>
        </is>
      </c>
      <c r="B7483">
        <f>HYPERLINK("Объекты недвижимости, не соответствующие градостроительным нормам_00-022_Август/22b11664-9091-428d-8b73-15431d13ff30.jpg","open")</f>
        <v/>
      </c>
      <c r="C7483" t="inlineStr">
        <is>
          <t>b6b3590f-f506-4399-8205-e7ac710132e7</t>
        </is>
      </c>
      <c r="D7483" t="n">
        <v>55.79443</v>
      </c>
      <c r="E7483" t="n">
        <v>37.54086</v>
      </c>
      <c r="F7483" t="inlineStr"/>
      <c r="G7483" t="inlineStr"/>
      <c r="H7483" t="inlineStr"/>
    </row>
    <row r="7484">
      <c r="A7484" t="inlineStr">
        <is>
          <t>48310393-da53-442d-a109-12467da142c3.jpg</t>
        </is>
      </c>
      <c r="B7484">
        <f>HYPERLINK("Объекты недвижимости, не соответствующие градостроительным нормам_00-022_Август/48310393-da53-442d-a109-12467da142c3.jpg","open")</f>
        <v/>
      </c>
      <c r="C7484" t="inlineStr">
        <is>
          <t>cbf95b01-f708-45a3-9ec0-3603469b538e</t>
        </is>
      </c>
      <c r="D7484" t="n">
        <v>55.73166</v>
      </c>
      <c r="E7484" t="n">
        <v>37.67215</v>
      </c>
      <c r="F7484" t="inlineStr"/>
      <c r="G7484" t="inlineStr"/>
      <c r="H7484" t="inlineStr"/>
    </row>
    <row r="7485">
      <c r="A7485" t="inlineStr">
        <is>
          <t>ef324bce-2667-4467-b1df-474cc2d3701e.jpg</t>
        </is>
      </c>
      <c r="B7485">
        <f>HYPERLINK("Объекты недвижимости, не соответствующие градостроительным нормам_00-022_Август/ef324bce-2667-4467-b1df-474cc2d3701e.jpg","open")</f>
        <v/>
      </c>
      <c r="C7485" t="inlineStr">
        <is>
          <t>cbf95b01-f708-45a3-9ec0-3603469b538e</t>
        </is>
      </c>
      <c r="D7485" t="n">
        <v>55.73211</v>
      </c>
      <c r="E7485" t="n">
        <v>37.67145</v>
      </c>
      <c r="F7485" t="inlineStr"/>
      <c r="G7485" t="inlineStr"/>
      <c r="H7485" t="inlineStr"/>
    </row>
    <row r="7486">
      <c r="A7486" t="inlineStr">
        <is>
          <t>f995fc52-e33d-404d-8193-c49919242171.jpg</t>
        </is>
      </c>
      <c r="B7486">
        <f>HYPERLINK("Объекты недвижимости, не соответствующие градостроительным нормам_00-022_Август/f995fc52-e33d-404d-8193-c49919242171.jpg","open")</f>
        <v/>
      </c>
      <c r="C7486" t="inlineStr">
        <is>
          <t>31a713a9-b910-424b-b847-e0eaa2f70c70</t>
        </is>
      </c>
      <c r="D7486" t="n">
        <v>55.77726</v>
      </c>
      <c r="E7486" t="n">
        <v>37.66983</v>
      </c>
      <c r="F7486" t="inlineStr"/>
      <c r="G7486" t="inlineStr"/>
      <c r="H7486" t="inlineStr"/>
    </row>
    <row r="7487">
      <c r="A7487" t="inlineStr">
        <is>
          <t>3d2b7a95-0e36-4abd-92dc-db2e819eeb84.jpg</t>
        </is>
      </c>
      <c r="B7487">
        <f>HYPERLINK("Объекты недвижимости, не соответствующие градостроительным нормам_00-022_Август/3d2b7a95-0e36-4abd-92dc-db2e819eeb84.jpg","open")</f>
        <v/>
      </c>
      <c r="C7487" t="inlineStr">
        <is>
          <t>750bf7e4-0f0f-4f1a-96af-607dc8c1f1c9</t>
        </is>
      </c>
      <c r="D7487" t="n">
        <v>55.77726</v>
      </c>
      <c r="E7487" t="n">
        <v>37.66983</v>
      </c>
      <c r="F7487" t="inlineStr"/>
      <c r="G7487" t="inlineStr"/>
      <c r="H7487" t="inlineStr"/>
    </row>
    <row r="7488">
      <c r="A7488" t="inlineStr">
        <is>
          <t>3f70cfad-6853-4261-8542-5f71b6a3062e.jpg</t>
        </is>
      </c>
      <c r="B7488">
        <f>HYPERLINK("Объекты недвижимости, не соответствующие градостроительным нормам_00-022_Август/3f70cfad-6853-4261-8542-5f71b6a3062e.jpg","open")</f>
        <v/>
      </c>
      <c r="C7488" t="inlineStr">
        <is>
          <t>cbf95b01-f708-45a3-9ec0-3603469b538e</t>
        </is>
      </c>
      <c r="D7488" t="n">
        <v>55.73454</v>
      </c>
      <c r="E7488" t="n">
        <v>37.66742</v>
      </c>
      <c r="F7488" t="inlineStr"/>
      <c r="G7488" t="inlineStr"/>
      <c r="H7488" t="inlineStr"/>
    </row>
    <row r="7489">
      <c r="A7489" t="inlineStr">
        <is>
          <t>57658ccd-11ce-4c8e-99f3-0f706b260f62.jpg</t>
        </is>
      </c>
      <c r="B7489">
        <f>HYPERLINK("Объекты недвижимости, не соответствующие градостроительным нормам_00-022_Август/57658ccd-11ce-4c8e-99f3-0f706b260f62.jpg","open")</f>
        <v/>
      </c>
      <c r="C7489" t="inlineStr">
        <is>
          <t>5e5b9944-4f9e-4223-bf96-0bc0c8a93dfa</t>
        </is>
      </c>
      <c r="D7489" t="n">
        <v>55.7099</v>
      </c>
      <c r="E7489" t="n">
        <v>37.66494</v>
      </c>
      <c r="F7489" t="inlineStr"/>
      <c r="G7489" t="inlineStr"/>
      <c r="H7489" t="inlineStr"/>
    </row>
    <row r="7490">
      <c r="A7490" t="inlineStr">
        <is>
          <t>ee0e82d1-71d9-4662-9be7-4ad48b0fd93a.jpg</t>
        </is>
      </c>
      <c r="B7490">
        <f>HYPERLINK("Объекты недвижимости, не соответствующие градостроительным нормам_00-022_Август/ee0e82d1-71d9-4662-9be7-4ad48b0fd93a.jpg","open")</f>
        <v/>
      </c>
      <c r="C7490" t="inlineStr">
        <is>
          <t>cbf95b01-f708-45a3-9ec0-3603469b538e</t>
        </is>
      </c>
      <c r="D7490" t="n">
        <v>55.73526</v>
      </c>
      <c r="E7490" t="n">
        <v>37.66615</v>
      </c>
      <c r="F7490" t="inlineStr"/>
      <c r="G7490" t="inlineStr"/>
      <c r="H7490" t="inlineStr"/>
    </row>
    <row r="7491">
      <c r="A7491" t="inlineStr">
        <is>
          <t>b1bffcae-285c-42fe-8a1b-52c993e1ad76.jpg</t>
        </is>
      </c>
      <c r="B7491">
        <f>HYPERLINK("Объекты недвижимости, не соответствующие градостроительным нормам_00-022_Август/b1bffcae-285c-42fe-8a1b-52c993e1ad76.jpg","open")</f>
        <v/>
      </c>
      <c r="C7491" t="inlineStr">
        <is>
          <t>cbf95b01-f708-45a3-9ec0-3603469b538e</t>
        </is>
      </c>
      <c r="D7491" t="n">
        <v>55.73611</v>
      </c>
      <c r="E7491" t="n">
        <v>37.66461</v>
      </c>
      <c r="F7491" t="inlineStr"/>
      <c r="G7491" t="inlineStr"/>
      <c r="H7491" t="inlineStr"/>
    </row>
    <row r="7492">
      <c r="A7492" t="inlineStr">
        <is>
          <t>44601106-fc6c-4a56-9052-8f4048256e76.jpg</t>
        </is>
      </c>
      <c r="B7492">
        <f>HYPERLINK("Объекты недвижимости, не соответствующие градостроительным нормам_00-022_Август/44601106-fc6c-4a56-9052-8f4048256e76.jpg","open")</f>
        <v/>
      </c>
      <c r="C7492" t="inlineStr">
        <is>
          <t>cbf95b01-f708-45a3-9ec0-3603469b538e</t>
        </is>
      </c>
      <c r="D7492" t="n">
        <v>55.73647</v>
      </c>
      <c r="E7492" t="n">
        <v>37.66388</v>
      </c>
      <c r="F7492" t="inlineStr"/>
      <c r="G7492" t="inlineStr"/>
      <c r="H7492" t="inlineStr"/>
    </row>
    <row r="7493">
      <c r="A7493" t="inlineStr">
        <is>
          <t>75d6f8ce-aaf6-4d4a-8d51-2c53b445c181.jpg</t>
        </is>
      </c>
      <c r="B7493">
        <f>HYPERLINK("Объекты недвижимости, не соответствующие градостроительным нормам_00-022_Август/75d6f8ce-aaf6-4d4a-8d51-2c53b445c181.jpg","open")</f>
        <v/>
      </c>
      <c r="C7493" t="inlineStr">
        <is>
          <t>cbf95b01-f708-45a3-9ec0-3603469b538e</t>
        </is>
      </c>
      <c r="D7493" t="n">
        <v>55.73768</v>
      </c>
      <c r="E7493" t="n">
        <v>37.66173</v>
      </c>
      <c r="F7493" t="inlineStr"/>
      <c r="G7493" t="inlineStr"/>
      <c r="H7493" t="inlineStr"/>
    </row>
    <row r="7494">
      <c r="A7494" t="inlineStr">
        <is>
          <t>49878fef-a55e-4cbb-8102-c7a9f4300d91.jpg</t>
        </is>
      </c>
      <c r="B7494">
        <f>HYPERLINK("Объекты недвижимости, не соответствующие градостроительным нормам_00-022_Август/49878fef-a55e-4cbb-8102-c7a9f4300d91.jpg","open")</f>
        <v/>
      </c>
      <c r="C7494" t="inlineStr">
        <is>
          <t>50e4626c-a80e-42ab-b999-b5092c2c063f</t>
        </is>
      </c>
      <c r="D7494" t="n">
        <v>55.73698</v>
      </c>
      <c r="E7494" t="n">
        <v>37.67633</v>
      </c>
      <c r="F7494" t="inlineStr"/>
      <c r="G7494" t="inlineStr"/>
      <c r="H7494" t="inlineStr"/>
    </row>
    <row r="7495">
      <c r="A7495" t="inlineStr">
        <is>
          <t>fd8664c9-3e56-4b77-9199-21ff9e3571c4.jpg</t>
        </is>
      </c>
      <c r="B7495">
        <f>HYPERLINK("Объекты недвижимости, не соответствующие градостроительным нормам_00-022_Август/fd8664c9-3e56-4b77-9199-21ff9e3571c4.jpg","open")</f>
        <v/>
      </c>
      <c r="C7495" t="inlineStr">
        <is>
          <t>cbf95b01-f708-45a3-9ec0-3603469b538e</t>
        </is>
      </c>
      <c r="D7495" t="n">
        <v>55.73975</v>
      </c>
      <c r="E7495" t="n">
        <v>37.6572</v>
      </c>
      <c r="F7495" t="inlineStr"/>
      <c r="G7495" t="inlineStr"/>
      <c r="H7495" t="inlineStr"/>
    </row>
    <row r="7496">
      <c r="A7496" t="inlineStr">
        <is>
          <t>cdf181c4-8baa-4ccc-9224-695c3a7da9c9.jpg</t>
        </is>
      </c>
      <c r="B7496">
        <f>HYPERLINK("Объекты недвижимости, не соответствующие градостроительным нормам_00-022_Август/cdf181c4-8baa-4ccc-9224-695c3a7da9c9.jpg","open")</f>
        <v/>
      </c>
      <c r="C7496" t="inlineStr">
        <is>
          <t>50e4626c-a80e-42ab-b999-b5092c2c063f</t>
        </is>
      </c>
      <c r="D7496" t="n">
        <v>55.73698</v>
      </c>
      <c r="E7496" t="n">
        <v>37.67633</v>
      </c>
      <c r="F7496" t="inlineStr"/>
      <c r="G7496" t="inlineStr"/>
      <c r="H7496" t="inlineStr"/>
    </row>
    <row r="7497">
      <c r="A7497" t="inlineStr">
        <is>
          <t>73f2f8dd-0f02-4877-875a-f9e958b213d1.jpg</t>
        </is>
      </c>
      <c r="B7497">
        <f>HYPERLINK("Объекты недвижимости, не соответствующие градостроительным нормам_00-022_Август/73f2f8dd-0f02-4877-875a-f9e958b213d1.jpg","open")</f>
        <v/>
      </c>
      <c r="C7497" t="inlineStr">
        <is>
          <t>1c951e11-4940-43c6-a447-394097e5609a</t>
        </is>
      </c>
      <c r="D7497" t="n">
        <v>55.71425</v>
      </c>
      <c r="E7497" t="n">
        <v>37.43449</v>
      </c>
      <c r="F7497" t="inlineStr"/>
      <c r="G7497" t="inlineStr"/>
      <c r="H7497" t="inlineStr"/>
    </row>
    <row r="7498">
      <c r="A7498" t="inlineStr">
        <is>
          <t>136d1eac-754c-4161-9658-d4f649aefaa8.jpg</t>
        </is>
      </c>
      <c r="B7498">
        <f>HYPERLINK("Объекты недвижимости, не соответствующие градостроительным нормам_00-022_Август/136d1eac-754c-4161-9658-d4f649aefaa8.jpg","open")</f>
        <v/>
      </c>
      <c r="C7498" t="inlineStr">
        <is>
          <t>1c951e11-4940-43c6-a447-394097e5609a</t>
        </is>
      </c>
      <c r="D7498" t="n">
        <v>55.71425</v>
      </c>
      <c r="E7498" t="n">
        <v>37.43449</v>
      </c>
      <c r="F7498" t="inlineStr"/>
      <c r="G7498" t="inlineStr"/>
      <c r="H7498" t="inlineStr"/>
    </row>
    <row r="7499">
      <c r="A7499" t="inlineStr">
        <is>
          <t>47c3e7e0-9a3d-4833-9f04-7b22cfb62d50.jpg</t>
        </is>
      </c>
      <c r="B7499">
        <f>HYPERLINK("Объекты недвижимости, не соответствующие градостроительным нормам_00-022_Август/47c3e7e0-9a3d-4833-9f04-7b22cfb62d50.jpg","open")</f>
        <v/>
      </c>
      <c r="C7499" t="inlineStr">
        <is>
          <t>685d9054-b74f-49ab-857b-109fd2cec80d</t>
        </is>
      </c>
      <c r="D7499" t="n">
        <v>55.74657</v>
      </c>
      <c r="E7499" t="n">
        <v>37.70226</v>
      </c>
      <c r="F7499" t="inlineStr"/>
      <c r="G7499" t="inlineStr"/>
      <c r="H7499" t="inlineStr"/>
    </row>
    <row r="7500">
      <c r="A7500" t="inlineStr">
        <is>
          <t>decb16e5-2340-4f41-ac73-db800e5e462c.jpg</t>
        </is>
      </c>
      <c r="B7500">
        <f>HYPERLINK("Объекты недвижимости, не соответствующие градостроительным нормам_00-022_Август/decb16e5-2340-4f41-ac73-db800e5e462c.jpg","open")</f>
        <v/>
      </c>
      <c r="C7500" t="inlineStr">
        <is>
          <t>2ba4f567-3981-4fd7-ac4a-45e8b3d68429</t>
        </is>
      </c>
      <c r="D7500" t="n">
        <v>55.73151</v>
      </c>
      <c r="E7500" t="n">
        <v>37.54563</v>
      </c>
      <c r="F7500" t="inlineStr"/>
      <c r="G7500" t="inlineStr"/>
      <c r="H7500" t="inlineStr"/>
    </row>
    <row r="7501">
      <c r="A7501" t="inlineStr">
        <is>
          <t>e84566a5-7f87-4f2d-b728-8466015fce3b.jpg</t>
        </is>
      </c>
      <c r="B7501">
        <f>HYPERLINK("Объекты недвижимости, не соответствующие градостроительным нормам_00-022_Август/e84566a5-7f87-4f2d-b728-8466015fce3b.jpg","open")</f>
        <v/>
      </c>
      <c r="C7501" t="inlineStr">
        <is>
          <t>29ad9edb-d533-4272-a986-be24eb004851</t>
        </is>
      </c>
      <c r="D7501" t="n">
        <v>55.77962</v>
      </c>
      <c r="E7501" t="n">
        <v>37.6717</v>
      </c>
      <c r="F7501" t="inlineStr"/>
      <c r="G7501" t="inlineStr"/>
      <c r="H7501" t="inlineStr"/>
    </row>
    <row r="7502">
      <c r="A7502" t="inlineStr">
        <is>
          <t>74a86916-8344-446d-9c00-504cfdb15e7e.jpg</t>
        </is>
      </c>
      <c r="B7502">
        <f>HYPERLINK("Объекты недвижимости, не соответствующие градостроительным нормам_00-022_Август/74a86916-8344-446d-9c00-504cfdb15e7e.jpg","open")</f>
        <v/>
      </c>
      <c r="C7502" t="inlineStr">
        <is>
          <t>b6b3590f-f506-4399-8205-e7ac710132e7</t>
        </is>
      </c>
      <c r="D7502" t="n">
        <v>55.9815</v>
      </c>
      <c r="E7502" t="n">
        <v>37.40802</v>
      </c>
      <c r="F7502" t="inlineStr"/>
      <c r="G7502" t="inlineStr"/>
      <c r="H7502" t="inlineStr"/>
    </row>
    <row r="7503">
      <c r="A7503" t="inlineStr">
        <is>
          <t>b3ccad07-fd42-488d-a970-015d8d078a4f.jpg</t>
        </is>
      </c>
      <c r="B7503">
        <f>HYPERLINK("Объекты недвижимости, не соответствующие градостроительным нормам_00-022_Август/b3ccad07-fd42-488d-a970-015d8d078a4f.jpg","open")</f>
        <v/>
      </c>
      <c r="C7503" t="inlineStr">
        <is>
          <t>b6b3590f-f506-4399-8205-e7ac710132e7</t>
        </is>
      </c>
      <c r="D7503" t="n">
        <v>55.97099</v>
      </c>
      <c r="E7503" t="n">
        <v>37.40045</v>
      </c>
      <c r="F7503" t="inlineStr"/>
      <c r="G7503" t="inlineStr"/>
      <c r="H7503" t="inlineStr"/>
    </row>
    <row r="7504">
      <c r="A7504" t="inlineStr">
        <is>
          <t>c2aa070f-70e6-4ff5-95f0-2222cff949b8.jpg</t>
        </is>
      </c>
      <c r="B7504">
        <f>HYPERLINK("Объекты недвижимости, не соответствующие градостроительным нормам_00-022_Август/c2aa070f-70e6-4ff5-95f0-2222cff949b8.jpg","open")</f>
        <v/>
      </c>
      <c r="C7504" t="inlineStr">
        <is>
          <t>31a713a9-b910-424b-b847-e0eaa2f70c70</t>
        </is>
      </c>
      <c r="D7504" t="n">
        <v>55.74797</v>
      </c>
      <c r="E7504" t="n">
        <v>37.66033</v>
      </c>
      <c r="F7504" t="inlineStr"/>
      <c r="G7504" t="inlineStr"/>
      <c r="H7504" t="inlineStr"/>
    </row>
    <row r="7505">
      <c r="A7505" t="inlineStr">
        <is>
          <t>ebff02f4-e005-4d2b-8df6-67fb5d07bab2.jpg</t>
        </is>
      </c>
      <c r="B7505">
        <f>HYPERLINK("Объекты недвижимости, не соответствующие градостроительным нормам_00-022_Август/ebff02f4-e005-4d2b-8df6-67fb5d07bab2.jpg","open")</f>
        <v/>
      </c>
      <c r="C7505" t="inlineStr">
        <is>
          <t>12e795ad-2aa7-49de-b2da-2c6aa35a4559</t>
        </is>
      </c>
      <c r="D7505" t="n">
        <v>55.74806</v>
      </c>
      <c r="E7505" t="n">
        <v>37.70098</v>
      </c>
      <c r="F7505" t="inlineStr"/>
      <c r="G7505" t="inlineStr"/>
      <c r="H7505" t="inlineStr"/>
    </row>
    <row r="7506">
      <c r="A7506" t="inlineStr">
        <is>
          <t>29485cd5-a606-48fb-ba32-60debca4885b.jpg</t>
        </is>
      </c>
      <c r="B7506">
        <f>HYPERLINK("Объекты недвижимости, не соответствующие градостроительным нормам_00-022_Август/29485cd5-a606-48fb-ba32-60debca4885b.jpg","open")</f>
        <v/>
      </c>
      <c r="C7506" t="inlineStr">
        <is>
          <t>57aae8a4-582b-4309-8045-c8127a9f86ae</t>
        </is>
      </c>
      <c r="D7506" t="n">
        <v>55.80383</v>
      </c>
      <c r="E7506" t="n">
        <v>37.75925</v>
      </c>
      <c r="F7506" t="inlineStr"/>
      <c r="G7506" t="inlineStr"/>
      <c r="H7506" t="inlineStr"/>
    </row>
    <row r="7507">
      <c r="A7507" t="inlineStr">
        <is>
          <t>ef5464bc-4818-469c-855c-e4ee45b270dc.jpg</t>
        </is>
      </c>
      <c r="B7507">
        <f>HYPERLINK("Объекты недвижимости, не соответствующие градостроительным нормам_00-022_Август/ef5464bc-4818-469c-855c-e4ee45b270dc.jpg","open")</f>
        <v/>
      </c>
      <c r="C7507" t="inlineStr">
        <is>
          <t>31a713a9-b910-424b-b847-e0eaa2f70c70</t>
        </is>
      </c>
      <c r="D7507" t="n">
        <v>55.74797</v>
      </c>
      <c r="E7507" t="n">
        <v>37.66033</v>
      </c>
      <c r="F7507" t="inlineStr"/>
      <c r="G7507" t="inlineStr"/>
      <c r="H7507" t="inlineStr"/>
    </row>
    <row r="7508">
      <c r="A7508" t="inlineStr">
        <is>
          <t>8b67ef1b-9bfb-4ba7-a999-8022a19dae37.jpg</t>
        </is>
      </c>
      <c r="B7508">
        <f>HYPERLINK("Объекты недвижимости, не соответствующие градостроительным нормам_00-022_Август/8b67ef1b-9bfb-4ba7-a999-8022a19dae37.jpg","open")</f>
        <v/>
      </c>
      <c r="C7508" t="inlineStr">
        <is>
          <t>12e795ad-2aa7-49de-b2da-2c6aa35a4559</t>
        </is>
      </c>
      <c r="D7508" t="n">
        <v>55.74806</v>
      </c>
      <c r="E7508" t="n">
        <v>37.70098</v>
      </c>
      <c r="F7508" t="inlineStr"/>
      <c r="G7508" t="inlineStr"/>
      <c r="H7508" t="inlineStr"/>
    </row>
    <row r="7509">
      <c r="A7509" t="inlineStr">
        <is>
          <t>3d93d4cd-392f-4039-99a5-5c9f6885925f.jpg</t>
        </is>
      </c>
      <c r="B7509">
        <f>HYPERLINK("Объекты недвижимости, не соответствующие градостроительным нормам_00-022_Август/3d93d4cd-392f-4039-99a5-5c9f6885925f.jpg","open")</f>
        <v/>
      </c>
      <c r="C7509" t="inlineStr">
        <is>
          <t>12e795ad-2aa7-49de-b2da-2c6aa35a4559</t>
        </is>
      </c>
      <c r="D7509" t="n">
        <v>55.74806</v>
      </c>
      <c r="E7509" t="n">
        <v>37.70098</v>
      </c>
      <c r="F7509" t="inlineStr"/>
      <c r="G7509" t="inlineStr"/>
      <c r="H7509" t="inlineStr"/>
    </row>
    <row r="7510">
      <c r="A7510" t="inlineStr">
        <is>
          <t>d193381b-b9a8-4414-8644-cc7c41ccd56a.jpg</t>
        </is>
      </c>
      <c r="B7510">
        <f>HYPERLINK("Объекты недвижимости, не соответствующие градостроительным нормам_00-022_Август/d193381b-b9a8-4414-8644-cc7c41ccd56a.jpg","open")</f>
        <v/>
      </c>
      <c r="C7510" t="inlineStr">
        <is>
          <t>31a713a9-b910-424b-b847-e0eaa2f70c70</t>
        </is>
      </c>
      <c r="D7510" t="n">
        <v>55.74797</v>
      </c>
      <c r="E7510" t="n">
        <v>37.66033</v>
      </c>
      <c r="F7510" t="inlineStr"/>
      <c r="G7510" t="inlineStr"/>
      <c r="H7510" t="inlineStr"/>
    </row>
    <row r="7511">
      <c r="A7511" t="inlineStr">
        <is>
          <t>f810e9ef-2b3f-4742-b672-798066eeff13.jpg</t>
        </is>
      </c>
      <c r="B7511">
        <f>HYPERLINK("Объекты недвижимости, не соответствующие градостроительным нормам_00-022_Август/f810e9ef-2b3f-4742-b672-798066eeff13.jpg","open")</f>
        <v/>
      </c>
      <c r="C7511" t="inlineStr">
        <is>
          <t>fce890a6-27da-4062-a046-08262a160ee6</t>
        </is>
      </c>
      <c r="D7511" t="n">
        <v>55.78921</v>
      </c>
      <c r="E7511" t="n">
        <v>37.65876</v>
      </c>
      <c r="F7511" t="inlineStr"/>
      <c r="G7511" t="inlineStr"/>
      <c r="H7511" t="inlineStr"/>
    </row>
    <row r="7512">
      <c r="A7512" t="inlineStr">
        <is>
          <t>294b833e-6f40-4880-8312-d7734c357bce.jpg</t>
        </is>
      </c>
      <c r="B7512">
        <f>HYPERLINK("Объекты недвижимости, не соответствующие градостроительным нормам_00-022_Август/294b833e-6f40-4880-8312-d7734c357bce.jpg","open")</f>
        <v/>
      </c>
      <c r="C7512" t="inlineStr">
        <is>
          <t>8cde1fd0-eca1-4510-86ab-3c743b65fdfc</t>
        </is>
      </c>
      <c r="D7512" t="n">
        <v>55.65122</v>
      </c>
      <c r="E7512" t="n">
        <v>37.61937</v>
      </c>
      <c r="F7512" t="inlineStr"/>
      <c r="G7512" t="inlineStr"/>
      <c r="H7512" t="inlineStr"/>
    </row>
    <row r="7513">
      <c r="A7513" t="inlineStr">
        <is>
          <t>1563f9cf-2321-4912-8268-589648334bd5.jpg</t>
        </is>
      </c>
      <c r="B7513">
        <f>HYPERLINK("Объекты недвижимости, не соответствующие градостроительным нормам_00-022_Август/1563f9cf-2321-4912-8268-589648334bd5.jpg","open")</f>
        <v/>
      </c>
      <c r="C7513" t="inlineStr">
        <is>
          <t>8cde1fd0-eca1-4510-86ab-3c743b65fdfc</t>
        </is>
      </c>
      <c r="D7513" t="n">
        <v>55.64168</v>
      </c>
      <c r="E7513" t="n">
        <v>37.61947</v>
      </c>
      <c r="F7513" t="inlineStr"/>
      <c r="G7513" t="inlineStr"/>
      <c r="H7513" t="inlineStr"/>
    </row>
    <row r="7514">
      <c r="A7514" t="inlineStr">
        <is>
          <t>e52cf821-a8ec-443b-91cc-370c6d41efac.jpg</t>
        </is>
      </c>
      <c r="B7514">
        <f>HYPERLINK("Объекты недвижимости, не соответствующие градостроительным нормам_00-022_Август/e52cf821-a8ec-443b-91cc-370c6d41efac.jpg","open")</f>
        <v/>
      </c>
      <c r="C7514" t="inlineStr">
        <is>
          <t>18a5c468-d9e6-4814-8477-1caf4a2e1fe9</t>
        </is>
      </c>
      <c r="D7514" t="n">
        <v>55.97507</v>
      </c>
      <c r="E7514" t="n">
        <v>37.43096</v>
      </c>
      <c r="F7514" t="inlineStr"/>
      <c r="G7514" t="inlineStr"/>
      <c r="H7514" t="inlineStr"/>
    </row>
    <row r="7515">
      <c r="A7515" t="inlineStr">
        <is>
          <t>c2c292e2-1220-47c1-99e5-5f36406b813b.jpg</t>
        </is>
      </c>
      <c r="B7515">
        <f>HYPERLINK("Объекты недвижимости, не соответствующие градостроительным нормам_00-022_Август/c2c292e2-1220-47c1-99e5-5f36406b813b.jpg","open")</f>
        <v/>
      </c>
      <c r="C7515" t="inlineStr">
        <is>
          <t>750bf7e4-0f0f-4f1a-96af-607dc8c1f1c9</t>
        </is>
      </c>
      <c r="D7515" t="n">
        <v>55.77423</v>
      </c>
      <c r="E7515" t="n">
        <v>37.48308</v>
      </c>
      <c r="F7515" t="inlineStr"/>
      <c r="G7515" t="inlineStr"/>
      <c r="H7515" t="inlineStr"/>
    </row>
    <row r="7516">
      <c r="A7516" t="inlineStr">
        <is>
          <t>b2f6cd81-609b-4d88-b133-fd4573b352ef.jpg</t>
        </is>
      </c>
      <c r="B7516">
        <f>HYPERLINK("Объекты недвижимости, не соответствующие градостроительным нормам_00-022_Август/b2f6cd81-609b-4d88-b133-fd4573b352ef.jpg","open")</f>
        <v/>
      </c>
      <c r="C7516" t="inlineStr">
        <is>
          <t>b6b3590f-f506-4399-8205-e7ac710132e7</t>
        </is>
      </c>
      <c r="D7516" t="n">
        <v>55.97102</v>
      </c>
      <c r="E7516" t="n">
        <v>37.43027</v>
      </c>
      <c r="F7516" t="inlineStr"/>
      <c r="G7516" t="inlineStr"/>
      <c r="H7516" t="inlineStr"/>
    </row>
    <row r="7517">
      <c r="A7517" t="inlineStr">
        <is>
          <t>ebe916c7-8d19-4e4c-9b01-9dcd906746c4.jpg</t>
        </is>
      </c>
      <c r="B7517">
        <f>HYPERLINK("Объекты недвижимости, не соответствующие градостроительным нормам_00-022_Август/ebe916c7-8d19-4e4c-9b01-9dcd906746c4.jpg","open")</f>
        <v/>
      </c>
      <c r="C7517" t="inlineStr">
        <is>
          <t>1a55986c-2c3f-40c0-b3d1-014dce77832e</t>
        </is>
      </c>
      <c r="D7517" t="n">
        <v>55.64974</v>
      </c>
      <c r="E7517" t="n">
        <v>37.56321</v>
      </c>
      <c r="F7517" t="inlineStr"/>
      <c r="G7517" t="inlineStr"/>
      <c r="H7517" t="inlineStr"/>
    </row>
    <row r="7518">
      <c r="A7518" t="inlineStr">
        <is>
          <t>1e6e9751-35ca-482b-a433-ba6658064431.jpg</t>
        </is>
      </c>
      <c r="B7518">
        <f>HYPERLINK("Объекты недвижимости, не соответствующие градостроительным нормам_00-022_Август/1e6e9751-35ca-482b-a433-ba6658064431.jpg","open")</f>
        <v/>
      </c>
      <c r="C7518" t="inlineStr">
        <is>
          <t>a1a9db89-3f74-42ef-8fad-ad69705102cd</t>
        </is>
      </c>
      <c r="D7518" t="n">
        <v>55.73975</v>
      </c>
      <c r="E7518" t="n">
        <v>37.6572</v>
      </c>
      <c r="F7518" t="inlineStr"/>
      <c r="G7518" t="inlineStr"/>
      <c r="H7518" t="inlineStr"/>
    </row>
    <row r="7519">
      <c r="A7519" t="inlineStr">
        <is>
          <t>9f5fe009-d7e0-4ec7-bfe6-fb0a35d19de3.jpg</t>
        </is>
      </c>
      <c r="B7519">
        <f>HYPERLINK("Объекты недвижимости, не соответствующие градостроительным нормам_00-022_Август/9f5fe009-d7e0-4ec7-bfe6-fb0a35d19de3.jpg","open")</f>
        <v/>
      </c>
      <c r="C7519" t="inlineStr">
        <is>
          <t>cbf95b01-f708-45a3-9ec0-3603469b538e</t>
        </is>
      </c>
      <c r="D7519" t="n">
        <v>55.73922</v>
      </c>
      <c r="E7519" t="n">
        <v>37.6646</v>
      </c>
      <c r="F7519" t="inlineStr"/>
      <c r="G7519" t="inlineStr"/>
      <c r="H7519" t="inlineStr"/>
    </row>
    <row r="7520">
      <c r="A7520" t="inlineStr">
        <is>
          <t>70be0ba1-11a6-4481-905a-1d7e144b5b86.jpg</t>
        </is>
      </c>
      <c r="B7520">
        <f>HYPERLINK("Объекты недвижимости, не соответствующие градостроительным нормам_00-022_Август/70be0ba1-11a6-4481-905a-1d7e144b5b86.jpg","open")</f>
        <v/>
      </c>
      <c r="C7520" t="inlineStr">
        <is>
          <t>cbf95b01-f708-45a3-9ec0-3603469b538e</t>
        </is>
      </c>
      <c r="D7520" t="n">
        <v>55.73817</v>
      </c>
      <c r="E7520" t="n">
        <v>37.66404</v>
      </c>
      <c r="F7520" t="inlineStr"/>
      <c r="G7520" t="inlineStr"/>
      <c r="H7520" t="inlineStr"/>
    </row>
    <row r="7521">
      <c r="A7521" t="inlineStr">
        <is>
          <t>b63d6496-de86-4cad-a485-7943776b7e84.jpg</t>
        </is>
      </c>
      <c r="B7521">
        <f>HYPERLINK("Объекты недвижимости, не соответствующие градостроительным нормам_00-022_Август/b63d6496-de86-4cad-a485-7943776b7e84.jpg","open")</f>
        <v/>
      </c>
      <c r="C7521" t="inlineStr">
        <is>
          <t>caa4772d-6278-4484-a046-ee25514bf521</t>
        </is>
      </c>
      <c r="D7521" t="n">
        <v>55.70367</v>
      </c>
      <c r="E7521" t="n">
        <v>37.64752</v>
      </c>
      <c r="F7521" t="inlineStr"/>
      <c r="G7521" t="inlineStr"/>
      <c r="H7521" t="inlineStr"/>
    </row>
    <row r="7522">
      <c r="A7522" t="inlineStr">
        <is>
          <t>3382e49b-e179-4a69-9358-8205b9d2955b.jpg</t>
        </is>
      </c>
      <c r="B7522">
        <f>HYPERLINK("Объекты недвижимости, не соответствующие градостроительным нормам_00-022_Август/3382e49b-e179-4a69-9358-8205b9d2955b.jpg","open")</f>
        <v/>
      </c>
      <c r="C7522" t="inlineStr">
        <is>
          <t>cbf95b01-f708-45a3-9ec0-3603469b538e</t>
        </is>
      </c>
      <c r="D7522" t="n">
        <v>55.73755</v>
      </c>
      <c r="E7522" t="n">
        <v>37.66116</v>
      </c>
      <c r="F7522" t="inlineStr"/>
      <c r="G7522" t="inlineStr"/>
      <c r="H7522" t="inlineStr"/>
    </row>
    <row r="7523">
      <c r="A7523" t="inlineStr">
        <is>
          <t>9d464830-2380-40b0-9367-54c88cc2ee8b.jpg</t>
        </is>
      </c>
      <c r="B7523">
        <f>HYPERLINK("Объекты недвижимости, не соответствующие градостроительным нормам_00-022_Август/9d464830-2380-40b0-9367-54c88cc2ee8b.jpg","open")</f>
        <v/>
      </c>
      <c r="C7523" t="inlineStr">
        <is>
          <t>cbf95b01-f708-45a3-9ec0-3603469b538e</t>
        </is>
      </c>
      <c r="D7523" t="n">
        <v>55.73747</v>
      </c>
      <c r="E7523" t="n">
        <v>37.66168</v>
      </c>
      <c r="F7523" t="inlineStr"/>
      <c r="G7523" t="inlineStr"/>
      <c r="H7523" t="inlineStr"/>
    </row>
    <row r="7524">
      <c r="A7524" t="inlineStr">
        <is>
          <t>135133aa-af98-4c3c-a7fc-6aee09cf801f.jpg</t>
        </is>
      </c>
      <c r="B7524">
        <f>HYPERLINK("Объекты недвижимости, не соответствующие градостроительным нормам_00-022_Август/135133aa-af98-4c3c-a7fc-6aee09cf801f.jpg","open")</f>
        <v/>
      </c>
      <c r="C7524" t="inlineStr">
        <is>
          <t>b0b7ea82-53be-40d0-b992-e2fd18611d5c</t>
        </is>
      </c>
      <c r="D7524" t="n">
        <v>55.7438</v>
      </c>
      <c r="E7524" t="n">
        <v>37.40174</v>
      </c>
      <c r="F7524" t="inlineStr"/>
      <c r="G7524" t="inlineStr"/>
      <c r="H7524" t="inlineStr"/>
    </row>
    <row r="7525">
      <c r="A7525" t="inlineStr">
        <is>
          <t>d2883cd6-3d0b-4f55-9bf1-b4fac36e8b1a.jpg</t>
        </is>
      </c>
      <c r="B7525">
        <f>HYPERLINK("Объекты недвижимости, не соответствующие градостроительным нормам_00-022_Август/d2883cd6-3d0b-4f55-9bf1-b4fac36e8b1a.jpg","open")</f>
        <v/>
      </c>
      <c r="C7525" t="inlineStr">
        <is>
          <t>ffd931da-542f-43e9-979f-5552b17fe3dc</t>
        </is>
      </c>
      <c r="D7525" t="n">
        <v>55.75904</v>
      </c>
      <c r="E7525" t="n">
        <v>37.80743</v>
      </c>
      <c r="F7525" t="inlineStr"/>
      <c r="G7525" t="inlineStr"/>
      <c r="H7525" t="inlineStr"/>
    </row>
    <row r="7526">
      <c r="A7526" t="inlineStr">
        <is>
          <t>5e22b0b7-5671-473e-938a-28778b5674ba.jpg</t>
        </is>
      </c>
      <c r="B7526">
        <f>HYPERLINK("Объекты недвижимости, не соответствующие градостроительным нормам_00-022_Август/5e22b0b7-5671-473e-938a-28778b5674ba.jpg","open")</f>
        <v/>
      </c>
      <c r="C7526" t="inlineStr">
        <is>
          <t>f6f80c84-5569-48fd-b627-6f41ce4c61c4</t>
        </is>
      </c>
      <c r="D7526" t="n">
        <v>55.7045</v>
      </c>
      <c r="E7526" t="n">
        <v>37.63804</v>
      </c>
      <c r="F7526" t="inlineStr"/>
      <c r="G7526" t="inlineStr"/>
      <c r="H7526" t="inlineStr"/>
    </row>
    <row r="7527">
      <c r="A7527" t="inlineStr">
        <is>
          <t>45047f5f-208f-43ca-b5b9-b6e363771486.jpg</t>
        </is>
      </c>
      <c r="B7527">
        <f>HYPERLINK("Объекты недвижимости, не соответствующие градостроительным нормам_00-022_Август/45047f5f-208f-43ca-b5b9-b6e363771486.jpg","open")</f>
        <v/>
      </c>
      <c r="C7527" t="inlineStr">
        <is>
          <t>f60286ac-55e7-4099-85bd-cc599a7a0c65</t>
        </is>
      </c>
      <c r="D7527" t="n">
        <v>55.75867</v>
      </c>
      <c r="E7527" t="n">
        <v>37.80444</v>
      </c>
      <c r="F7527" t="inlineStr"/>
      <c r="G7527" t="inlineStr"/>
      <c r="H7527" t="inlineStr"/>
    </row>
    <row r="7528">
      <c r="A7528" t="inlineStr">
        <is>
          <t>a97f04e7-f146-4bcf-9387-1a296b82fd2c.jpg</t>
        </is>
      </c>
      <c r="B7528">
        <f>HYPERLINK("Объекты недвижимости, не соответствующие градостроительным нормам_00-022_Август/a97f04e7-f146-4bcf-9387-1a296b82fd2c.jpg","open")</f>
        <v/>
      </c>
      <c r="C7528" t="inlineStr">
        <is>
          <t>750bf7e4-0f0f-4f1a-96af-607dc8c1f1c9</t>
        </is>
      </c>
      <c r="D7528" t="n">
        <v>55.76913</v>
      </c>
      <c r="E7528" t="n">
        <v>37.47379</v>
      </c>
      <c r="F7528" t="inlineStr"/>
      <c r="G7528" t="inlineStr"/>
      <c r="H7528" t="inlineStr"/>
    </row>
    <row r="7529">
      <c r="A7529" t="inlineStr">
        <is>
          <t>697c6129-bb7e-4921-88d2-cd08f6a870fc.jpg</t>
        </is>
      </c>
      <c r="B7529">
        <f>HYPERLINK("Объекты недвижимости, не соответствующие градостроительным нормам_00-022_Август/697c6129-bb7e-4921-88d2-cd08f6a870fc.jpg","open")</f>
        <v/>
      </c>
      <c r="C7529" t="inlineStr">
        <is>
          <t>31a713a9-b910-424b-b847-e0eaa2f70c70</t>
        </is>
      </c>
      <c r="D7529" t="n">
        <v>55.76902</v>
      </c>
      <c r="E7529" t="n">
        <v>37.4738</v>
      </c>
      <c r="F7529" t="inlineStr"/>
      <c r="G7529" t="inlineStr"/>
      <c r="H7529" t="inlineStr"/>
    </row>
    <row r="7530">
      <c r="A7530" t="inlineStr">
        <is>
          <t>90e8af7b-68dd-4366-9c54-57270326ddf5.jpg</t>
        </is>
      </c>
      <c r="B7530">
        <f>HYPERLINK("Объекты недвижимости, не соответствующие градостроительным нормам_00-022_Август/90e8af7b-68dd-4366-9c54-57270326ddf5.jpg","open")</f>
        <v/>
      </c>
      <c r="C7530" t="inlineStr">
        <is>
          <t>8cde1fd0-eca1-4510-86ab-3c743b65fdfc</t>
        </is>
      </c>
      <c r="D7530" t="n">
        <v>55.61158</v>
      </c>
      <c r="E7530" t="n">
        <v>37.59169</v>
      </c>
      <c r="F7530" t="inlineStr"/>
      <c r="G7530" t="inlineStr"/>
      <c r="H7530" t="inlineStr"/>
    </row>
    <row r="7531">
      <c r="A7531" t="inlineStr">
        <is>
          <t>5e024c83-ce1e-47c8-b9bd-fb0d800a0107.jpg</t>
        </is>
      </c>
      <c r="B7531">
        <f>HYPERLINK("Объекты недвижимости, не соответствующие градостроительным нормам_00-022_Август/5e024c83-ce1e-47c8-b9bd-fb0d800a0107.jpg","open")</f>
        <v/>
      </c>
      <c r="C7531" t="inlineStr">
        <is>
          <t>a1a9db89-3f74-42ef-8fad-ad69705102cd</t>
        </is>
      </c>
      <c r="D7531" t="n">
        <v>55.73225</v>
      </c>
      <c r="E7531" t="n">
        <v>37.67967</v>
      </c>
      <c r="F7531" t="inlineStr"/>
      <c r="G7531" t="inlineStr"/>
      <c r="H7531" t="inlineStr"/>
    </row>
    <row r="7532">
      <c r="A7532" t="inlineStr">
        <is>
          <t>faa32483-8f56-45b4-88bb-3a037fc73a22.jpg</t>
        </is>
      </c>
      <c r="B7532">
        <f>HYPERLINK("Объекты недвижимости, не соответствующие градостроительным нормам_00-022_Август/faa32483-8f56-45b4-88bb-3a037fc73a22.jpg","open")</f>
        <v/>
      </c>
      <c r="C7532" t="inlineStr">
        <is>
          <t>cbf95b01-f708-45a3-9ec0-3603469b538e</t>
        </is>
      </c>
      <c r="D7532" t="n">
        <v>55.73222</v>
      </c>
      <c r="E7532" t="n">
        <v>37.67967</v>
      </c>
      <c r="F7532" t="inlineStr"/>
      <c r="G7532" t="inlineStr"/>
      <c r="H7532" t="inlineStr"/>
    </row>
    <row r="7533">
      <c r="A7533" t="inlineStr">
        <is>
          <t>602a078b-8fda-49be-b1d0-295cc4eaa6c6.jpg</t>
        </is>
      </c>
      <c r="B7533">
        <f>HYPERLINK("Объекты недвижимости, не соответствующие градостроительным нормам_00-022_Август/602a078b-8fda-49be-b1d0-295cc4eaa6c6.jpg","open")</f>
        <v/>
      </c>
      <c r="C7533" t="inlineStr">
        <is>
          <t>8cde1fd0-eca1-4510-86ab-3c743b65fdfc</t>
        </is>
      </c>
      <c r="D7533" t="n">
        <v>55.6132</v>
      </c>
      <c r="E7533" t="n">
        <v>37.57963</v>
      </c>
      <c r="F7533" t="inlineStr"/>
      <c r="G7533" t="inlineStr"/>
      <c r="H7533" t="inlineStr"/>
    </row>
    <row r="7534">
      <c r="A7534" t="inlineStr">
        <is>
          <t>a8535c1f-2a3e-4d9c-9c43-97fafc377e1f.jpg</t>
        </is>
      </c>
      <c r="B7534">
        <f>HYPERLINK("Объекты недвижимости, не соответствующие градостроительным нормам_00-022_Август/a8535c1f-2a3e-4d9c-9c43-97fafc377e1f.jpg","open")</f>
        <v/>
      </c>
      <c r="C7534" t="inlineStr">
        <is>
          <t>57812597-37e6-414c-8b11-8c661dbfeb70</t>
        </is>
      </c>
      <c r="D7534" t="n">
        <v>55.71923</v>
      </c>
      <c r="E7534" t="n">
        <v>37.53533</v>
      </c>
      <c r="F7534" t="inlineStr"/>
      <c r="G7534" t="inlineStr"/>
      <c r="H7534" t="inlineStr"/>
    </row>
    <row r="7535">
      <c r="A7535" t="inlineStr">
        <is>
          <t>0f64e707-8cd8-41b7-b398-4d4f53c971cf.jpg</t>
        </is>
      </c>
      <c r="B7535">
        <f>HYPERLINK("Объекты недвижимости, не соответствующие градостроительным нормам_00-022_Август/0f64e707-8cd8-41b7-b398-4d4f53c971cf.jpg","open")</f>
        <v/>
      </c>
      <c r="C7535" t="inlineStr">
        <is>
          <t>cbf95b01-f708-45a3-9ec0-3603469b538e</t>
        </is>
      </c>
      <c r="D7535" t="n">
        <v>55.74335</v>
      </c>
      <c r="E7535" t="n">
        <v>37.67723</v>
      </c>
      <c r="F7535" t="inlineStr"/>
      <c r="G7535" t="inlineStr"/>
      <c r="H7535" t="inlineStr"/>
    </row>
    <row r="7536">
      <c r="A7536" t="inlineStr">
        <is>
          <t>9f5d4511-fd6b-48ca-8180-e498cdd2c30d.jpg</t>
        </is>
      </c>
      <c r="B7536">
        <f>HYPERLINK("Объекты недвижимости, не соответствующие градостроительным нормам_00-022_Август/9f5d4511-fd6b-48ca-8180-e498cdd2c30d.jpg","open")</f>
        <v/>
      </c>
      <c r="C7536" t="inlineStr">
        <is>
          <t>a1a9db89-3f74-42ef-8fad-ad69705102cd</t>
        </is>
      </c>
      <c r="D7536" t="n">
        <v>55.74505</v>
      </c>
      <c r="E7536" t="n">
        <v>37.67906</v>
      </c>
      <c r="F7536" t="inlineStr"/>
      <c r="G7536" t="inlineStr"/>
      <c r="H7536" t="inlineStr"/>
    </row>
    <row r="7537">
      <c r="A7537" t="inlineStr">
        <is>
          <t>f4ace78e-172a-4796-8028-621fecde3768.jpg</t>
        </is>
      </c>
      <c r="B7537">
        <f>HYPERLINK("Объекты недвижимости, не соответствующие градостроительным нормам_00-022_Август/f4ace78e-172a-4796-8028-621fecde3768.jpg","open")</f>
        <v/>
      </c>
      <c r="C7537" t="inlineStr">
        <is>
          <t>cbf95b01-f708-45a3-9ec0-3603469b538e</t>
        </is>
      </c>
      <c r="D7537" t="n">
        <v>55.74514</v>
      </c>
      <c r="E7537" t="n">
        <v>37.67915</v>
      </c>
      <c r="F7537" t="inlineStr"/>
      <c r="G7537" t="inlineStr"/>
      <c r="H7537" t="inlineStr"/>
    </row>
    <row r="7538">
      <c r="A7538" t="inlineStr">
        <is>
          <t>dfa22143-a2cc-47fe-92a6-ad682616851d.jpg</t>
        </is>
      </c>
      <c r="B7538">
        <f>HYPERLINK("Объекты недвижимости, не соответствующие градостроительным нормам_00-022_Август/dfa22143-a2cc-47fe-92a6-ad682616851d.jpg","open")</f>
        <v/>
      </c>
      <c r="C7538" t="inlineStr">
        <is>
          <t>b6b3590f-f506-4399-8205-e7ac710132e7</t>
        </is>
      </c>
      <c r="D7538" t="n">
        <v>55.97505</v>
      </c>
      <c r="E7538" t="n">
        <v>37.43065</v>
      </c>
      <c r="F7538" t="inlineStr"/>
      <c r="G7538" t="inlineStr"/>
      <c r="H7538" t="inlineStr"/>
    </row>
    <row r="7539">
      <c r="A7539" t="inlineStr">
        <is>
          <t>b2e1f400-ce9b-40ec-9d41-47cd34b42428.jpg</t>
        </is>
      </c>
      <c r="B7539">
        <f>HYPERLINK("Объекты недвижимости, не соответствующие градостроительным нормам_00-022_Август/b2e1f400-ce9b-40ec-9d41-47cd34b42428.jpg","open")</f>
        <v/>
      </c>
      <c r="C7539" t="inlineStr">
        <is>
          <t>ed2bf0f1-3a66-4913-896e-4420a9796c0b</t>
        </is>
      </c>
      <c r="D7539" t="n">
        <v>55.65213</v>
      </c>
      <c r="E7539" t="n">
        <v>37.52945</v>
      </c>
      <c r="F7539" t="inlineStr"/>
      <c r="G7539" t="inlineStr"/>
      <c r="H7539" t="inlineStr"/>
    </row>
    <row r="7540">
      <c r="A7540" t="inlineStr">
        <is>
          <t>7c8e0cb6-2fe8-4ddc-bb98-dffc15d97f6c.jpg</t>
        </is>
      </c>
      <c r="B7540">
        <f>HYPERLINK("Объекты недвижимости, не соответствующие градостроительным нормам_00-022_Август/7c8e0cb6-2fe8-4ddc-bb98-dffc15d97f6c.jpg","open")</f>
        <v/>
      </c>
      <c r="C7540" t="inlineStr">
        <is>
          <t>ed2bf0f1-3a66-4913-896e-4420a9796c0b</t>
        </is>
      </c>
      <c r="D7540" t="n">
        <v>55.65222</v>
      </c>
      <c r="E7540" t="n">
        <v>37.52959</v>
      </c>
      <c r="F7540" t="inlineStr"/>
      <c r="G7540" t="inlineStr"/>
      <c r="H7540" t="inlineStr"/>
    </row>
    <row r="7541">
      <c r="A7541" t="inlineStr">
        <is>
          <t>936e11db-908f-46df-ac01-450197b55f01.jpg</t>
        </is>
      </c>
      <c r="B7541">
        <f>HYPERLINK("Объекты недвижимости, не соответствующие градостроительным нормам_00-022_Август/936e11db-908f-46df-ac01-450197b55f01.jpg","open")</f>
        <v/>
      </c>
      <c r="C7541" t="inlineStr">
        <is>
          <t>0dd30d74-4dbc-46a8-b638-91e1431bb398</t>
        </is>
      </c>
      <c r="D7541" t="n">
        <v>55.88728</v>
      </c>
      <c r="E7541" t="n">
        <v>37.67791</v>
      </c>
      <c r="F7541" t="inlineStr"/>
      <c r="G7541" t="inlineStr"/>
      <c r="H7541" t="inlineStr"/>
    </row>
    <row r="7542">
      <c r="A7542" t="inlineStr">
        <is>
          <t>55a3bd92-7889-494a-882b-82050cb857f4.jpg</t>
        </is>
      </c>
      <c r="B7542">
        <f>HYPERLINK("Объекты недвижимости, не соответствующие градостроительным нормам_00-022_Август/55a3bd92-7889-494a-882b-82050cb857f4.jpg","open")</f>
        <v/>
      </c>
      <c r="C7542" t="inlineStr">
        <is>
          <t>93848fc8-17e7-4748-9ebc-c7e379e11d2f</t>
        </is>
      </c>
      <c r="D7542" t="n">
        <v>55.88728</v>
      </c>
      <c r="E7542" t="n">
        <v>37.67789</v>
      </c>
      <c r="F7542" t="inlineStr"/>
      <c r="G7542" t="inlineStr"/>
      <c r="H7542" t="inlineStr"/>
    </row>
    <row r="7543">
      <c r="A7543" t="inlineStr">
        <is>
          <t>088fbac8-af53-498b-8f38-d31e59a906a3.jpg</t>
        </is>
      </c>
      <c r="B7543">
        <f>HYPERLINK("Объекты недвижимости, не соответствующие градостроительным нормам_00-022_Август/088fbac8-af53-498b-8f38-d31e59a906a3.jpg","open")</f>
        <v/>
      </c>
      <c r="C7543" t="inlineStr">
        <is>
          <t>cbf95b01-f708-45a3-9ec0-3603469b538e</t>
        </is>
      </c>
      <c r="D7543" t="n">
        <v>55.74611</v>
      </c>
      <c r="E7543" t="n">
        <v>37.6832</v>
      </c>
      <c r="F7543" t="inlineStr"/>
      <c r="G7543" t="inlineStr"/>
      <c r="H7543" t="inlineStr"/>
    </row>
    <row r="7544">
      <c r="A7544" t="inlineStr">
        <is>
          <t>23e986c6-0a62-4137-80f1-ea2e2fab5c34.jpg</t>
        </is>
      </c>
      <c r="B7544">
        <f>HYPERLINK("Объекты недвижимости, не соответствующие градостроительным нормам_00-022_Август/23e986c6-0a62-4137-80f1-ea2e2fab5c34.jpg","open")</f>
        <v/>
      </c>
      <c r="C7544" t="inlineStr">
        <is>
          <t>fce890a6-27da-4062-a046-08262a160ee6</t>
        </is>
      </c>
      <c r="D7544" t="n">
        <v>55.97087</v>
      </c>
      <c r="E7544" t="n">
        <v>37.43111</v>
      </c>
      <c r="F7544" t="inlineStr"/>
      <c r="G7544" t="inlineStr"/>
      <c r="H7544" t="inlineStr"/>
    </row>
    <row r="7545">
      <c r="A7545" t="inlineStr">
        <is>
          <t>48787dd0-fbc5-40ae-bb1c-121c0fa22e6b.jpg</t>
        </is>
      </c>
      <c r="B7545">
        <f>HYPERLINK("Объекты недвижимости, не соответствующие градостроительным нормам_00-022_Август/48787dd0-fbc5-40ae-bb1c-121c0fa22e6b.jpg","open")</f>
        <v/>
      </c>
      <c r="C7545" t="inlineStr">
        <is>
          <t>1a55986c-2c3f-40c0-b3d1-014dce77832e</t>
        </is>
      </c>
      <c r="D7545" t="n">
        <v>55.65463</v>
      </c>
      <c r="E7545" t="n">
        <v>37.52759</v>
      </c>
      <c r="F7545" t="inlineStr"/>
      <c r="G7545" t="inlineStr"/>
      <c r="H7545" t="inlineStr"/>
    </row>
    <row r="7546">
      <c r="A7546" t="inlineStr">
        <is>
          <t>7f0a4c83-d32e-4250-aa61-a37fd28a588a.jpg</t>
        </is>
      </c>
      <c r="B7546">
        <f>HYPERLINK("Объекты недвижимости, не соответствующие градостроительным нормам_00-022_Август/7f0a4c83-d32e-4250-aa61-a37fd28a588a.jpg","open")</f>
        <v/>
      </c>
      <c r="C7546" t="inlineStr">
        <is>
          <t>8cde1fd0-eca1-4510-86ab-3c743b65fdfc</t>
        </is>
      </c>
      <c r="D7546" t="n">
        <v>55.60789</v>
      </c>
      <c r="E7546" t="n">
        <v>37.57901</v>
      </c>
      <c r="F7546" t="inlineStr"/>
      <c r="G7546" t="inlineStr"/>
      <c r="H7546" t="inlineStr"/>
    </row>
    <row r="7547">
      <c r="A7547" t="inlineStr">
        <is>
          <t>40661548-d633-4108-8570-30793db34d5e.jpg</t>
        </is>
      </c>
      <c r="B7547">
        <f>HYPERLINK("Объекты недвижимости, не соответствующие градостроительным нормам_00-022_Август/40661548-d633-4108-8570-30793db34d5e.jpg","open")</f>
        <v/>
      </c>
      <c r="C7547" t="inlineStr">
        <is>
          <t>57aae8a4-582b-4309-8045-c8127a9f86ae</t>
        </is>
      </c>
      <c r="D7547" t="n">
        <v>55.80587</v>
      </c>
      <c r="E7547" t="n">
        <v>37.77776</v>
      </c>
      <c r="F7547" t="inlineStr"/>
      <c r="G7547" t="inlineStr"/>
      <c r="H7547" t="inlineStr"/>
    </row>
    <row r="7548">
      <c r="A7548" t="inlineStr">
        <is>
          <t>cc76b203-1811-4a3b-b794-cd54eb30d761.jpg</t>
        </is>
      </c>
      <c r="B7548">
        <f>HYPERLINK("Объекты недвижимости, не соответствующие градостроительным нормам_00-022_Август/cc76b203-1811-4a3b-b794-cd54eb30d761.jpg","open")</f>
        <v/>
      </c>
      <c r="C7548" t="inlineStr">
        <is>
          <t>cbf95b01-f708-45a3-9ec0-3603469b538e</t>
        </is>
      </c>
      <c r="D7548" t="n">
        <v>55.74623</v>
      </c>
      <c r="E7548" t="n">
        <v>37.69523</v>
      </c>
      <c r="F7548" t="inlineStr"/>
      <c r="G7548" t="inlineStr"/>
      <c r="H7548" t="inlineStr"/>
    </row>
    <row r="7549">
      <c r="A7549" t="inlineStr">
        <is>
          <t>2034896f-2dc2-4324-a048-b158df5e6f2c.jpg</t>
        </is>
      </c>
      <c r="B7549">
        <f>HYPERLINK("Объекты недвижимости, не соответствующие градостроительным нормам_00-022_Август/2034896f-2dc2-4324-a048-b158df5e6f2c.jpg","open")</f>
        <v/>
      </c>
      <c r="C7549" t="inlineStr">
        <is>
          <t>cbf95b01-f708-45a3-9ec0-3603469b538e</t>
        </is>
      </c>
      <c r="D7549" t="n">
        <v>55.77838</v>
      </c>
      <c r="E7549" t="n">
        <v>37.6772</v>
      </c>
      <c r="F7549" t="inlineStr"/>
      <c r="G7549" t="inlineStr"/>
      <c r="H7549" t="inlineStr"/>
    </row>
    <row r="7550">
      <c r="A7550" t="inlineStr">
        <is>
          <t>3d9a91fa-0255-4ca4-a120-2dd02a7e7230.jpg</t>
        </is>
      </c>
      <c r="B7550">
        <f>HYPERLINK("Объекты недвижимости, не соответствующие градостроительным нормам_00-022_Август/3d9a91fa-0255-4ca4-a120-2dd02a7e7230.jpg","open")</f>
        <v/>
      </c>
      <c r="C7550" t="inlineStr">
        <is>
          <t>cbf95b01-f708-45a3-9ec0-3603469b538e</t>
        </is>
      </c>
      <c r="D7550" t="n">
        <v>55.77455</v>
      </c>
      <c r="E7550" t="n">
        <v>37.68391</v>
      </c>
      <c r="F7550" t="inlineStr"/>
      <c r="G7550" t="inlineStr"/>
      <c r="H7550" t="inlineStr"/>
    </row>
    <row r="7551">
      <c r="A7551" t="inlineStr">
        <is>
          <t>86eb4799-f582-489b-82d0-04e9965f3283.jpg</t>
        </is>
      </c>
      <c r="B7551">
        <f>HYPERLINK("Объекты недвижимости, не соответствующие градостроительным нормам_00-022_Август/86eb4799-f582-489b-82d0-04e9965f3283.jpg","open")</f>
        <v/>
      </c>
      <c r="C7551" t="inlineStr">
        <is>
          <t>cbf95b01-f708-45a3-9ec0-3603469b538e</t>
        </is>
      </c>
      <c r="D7551" t="n">
        <v>55.7744</v>
      </c>
      <c r="E7551" t="n">
        <v>37.68409</v>
      </c>
      <c r="F7551" t="inlineStr"/>
      <c r="G7551" t="inlineStr"/>
      <c r="H7551" t="inlineStr"/>
    </row>
    <row r="7552">
      <c r="A7552" t="inlineStr">
        <is>
          <t>eb25f79e-2b73-4295-878f-d073c2799e74.jpg</t>
        </is>
      </c>
      <c r="B7552">
        <f>HYPERLINK("Объекты недвижимости, не соответствующие градостроительным нормам_00-022_Август/eb25f79e-2b73-4295-878f-d073c2799e74.jpg","open")</f>
        <v/>
      </c>
      <c r="C7552" t="inlineStr">
        <is>
          <t>cbf95b01-f708-45a3-9ec0-3603469b538e</t>
        </is>
      </c>
      <c r="D7552" t="n">
        <v>55.77428</v>
      </c>
      <c r="E7552" t="n">
        <v>37.68425</v>
      </c>
      <c r="F7552" t="inlineStr"/>
      <c r="G7552" t="inlineStr"/>
      <c r="H7552" t="inlineStr"/>
    </row>
    <row r="7553">
      <c r="A7553" t="inlineStr">
        <is>
          <t>6963bfac-b9ad-49f4-bb22-09a9642dde95.jpg</t>
        </is>
      </c>
      <c r="B7553">
        <f>HYPERLINK("Объекты недвижимости, не соответствующие градостроительным нормам_00-022_Август/6963bfac-b9ad-49f4-bb22-09a9642dde95.jpg","open")</f>
        <v/>
      </c>
      <c r="C7553" t="inlineStr">
        <is>
          <t>cbf95b01-f708-45a3-9ec0-3603469b538e</t>
        </is>
      </c>
      <c r="D7553" t="n">
        <v>55.7742</v>
      </c>
      <c r="E7553" t="n">
        <v>37.68438</v>
      </c>
      <c r="F7553" t="inlineStr"/>
      <c r="G7553" t="inlineStr"/>
      <c r="H7553" t="inlineStr"/>
    </row>
    <row r="7554">
      <c r="A7554" t="inlineStr">
        <is>
          <t>9886e262-2242-4c4d-b9c4-40aa4a67bfe9.jpg</t>
        </is>
      </c>
      <c r="B7554">
        <f>HYPERLINK("Объекты недвижимости, не соответствующие градостроительным нормам_00-022_Август/9886e262-2242-4c4d-b9c4-40aa4a67bfe9.jpg","open")</f>
        <v/>
      </c>
      <c r="C7554" t="inlineStr">
        <is>
          <t>b0429a31-0c70-4b9f-8ea5-73929d82f89e</t>
        </is>
      </c>
      <c r="D7554" t="n">
        <v>55.6023</v>
      </c>
      <c r="E7554" t="n">
        <v>37.59784</v>
      </c>
      <c r="F7554" t="inlineStr"/>
      <c r="G7554" t="inlineStr"/>
      <c r="H7554" t="inlineStr"/>
    </row>
    <row r="7555">
      <c r="A7555" t="inlineStr">
        <is>
          <t>ae6f5b8c-ccb1-4f83-b512-2134df0e37c9.jpg</t>
        </is>
      </c>
      <c r="B7555">
        <f>HYPERLINK("Объекты недвижимости, не соответствующие градостроительным нормам_00-022_Август/ae6f5b8c-ccb1-4f83-b512-2134df0e37c9.jpg","open")</f>
        <v/>
      </c>
      <c r="C7555" t="inlineStr">
        <is>
          <t>cbf95b01-f708-45a3-9ec0-3603469b538e</t>
        </is>
      </c>
      <c r="D7555" t="n">
        <v>55.77418</v>
      </c>
      <c r="E7555" t="n">
        <v>37.68439</v>
      </c>
      <c r="F7555" t="inlineStr"/>
      <c r="G7555" t="inlineStr"/>
      <c r="H7555" t="inlineStr"/>
    </row>
    <row r="7556">
      <c r="A7556" t="inlineStr">
        <is>
          <t>6448fced-be60-4a7f-b94e-9a7d5db82292.jpg</t>
        </is>
      </c>
      <c r="B7556">
        <f>HYPERLINK("Объекты недвижимости, не соответствующие градостроительным нормам_00-022_Август/6448fced-be60-4a7f-b94e-9a7d5db82292.jpg","open")</f>
        <v/>
      </c>
      <c r="C7556" t="inlineStr">
        <is>
          <t>cbf95b01-f708-45a3-9ec0-3603469b538e</t>
        </is>
      </c>
      <c r="D7556" t="n">
        <v>55.77416</v>
      </c>
      <c r="E7556" t="n">
        <v>37.68439</v>
      </c>
      <c r="F7556" t="inlineStr"/>
      <c r="G7556" t="inlineStr"/>
      <c r="H7556" t="inlineStr"/>
    </row>
    <row r="7557">
      <c r="A7557" t="inlineStr">
        <is>
          <t>9c7975f4-c77a-4e62-a6b1-1ceef9abc5ff.jpg</t>
        </is>
      </c>
      <c r="B7557">
        <f>HYPERLINK("Объекты недвижимости, не соответствующие градостроительным нормам_00-022_Август/9c7975f4-c77a-4e62-a6b1-1ceef9abc5ff.jpg","open")</f>
        <v/>
      </c>
      <c r="C7557" t="inlineStr">
        <is>
          <t>cbf95b01-f708-45a3-9ec0-3603469b538e</t>
        </is>
      </c>
      <c r="D7557" t="n">
        <v>55.77414</v>
      </c>
      <c r="E7557" t="n">
        <v>37.68438</v>
      </c>
      <c r="F7557" t="inlineStr"/>
      <c r="G7557" t="inlineStr"/>
      <c r="H7557" t="inlineStr"/>
    </row>
    <row r="7558">
      <c r="A7558" t="inlineStr">
        <is>
          <t>24aa5517-9988-483d-9746-bf125d6b2fdb.jpg</t>
        </is>
      </c>
      <c r="B7558">
        <f>HYPERLINK("Объекты недвижимости, не соответствующие градостроительным нормам_00-022_Август/24aa5517-9988-483d-9746-bf125d6b2fdb.jpg","open")</f>
        <v/>
      </c>
      <c r="C7558" t="inlineStr">
        <is>
          <t>cbf95b01-f708-45a3-9ec0-3603469b538e</t>
        </is>
      </c>
      <c r="D7558" t="n">
        <v>55.77411</v>
      </c>
      <c r="E7558" t="n">
        <v>37.68437</v>
      </c>
      <c r="F7558" t="inlineStr"/>
      <c r="G7558" t="inlineStr"/>
      <c r="H7558" t="inlineStr"/>
    </row>
    <row r="7559">
      <c r="A7559" t="inlineStr">
        <is>
          <t>48fe8163-475f-452f-b106-f4c03939dd6c.jpg</t>
        </is>
      </c>
      <c r="B7559">
        <f>HYPERLINK("Объекты недвижимости, не соответствующие градостроительным нормам_00-022_Август/48fe8163-475f-452f-b106-f4c03939dd6c.jpg","open")</f>
        <v/>
      </c>
      <c r="C7559" t="inlineStr">
        <is>
          <t>a1a9db89-3f74-42ef-8fad-ad69705102cd</t>
        </is>
      </c>
      <c r="D7559" t="n">
        <v>55.77413</v>
      </c>
      <c r="E7559" t="n">
        <v>37.68438</v>
      </c>
      <c r="F7559" t="inlineStr"/>
      <c r="G7559" t="inlineStr"/>
      <c r="H7559" t="inlineStr"/>
    </row>
    <row r="7560">
      <c r="A7560" t="inlineStr">
        <is>
          <t>55270b98-0f13-4371-a50d-c1eb3d6b689d.jpg</t>
        </is>
      </c>
      <c r="B7560">
        <f>HYPERLINK("Объекты недвижимости, не соответствующие градостроительным нормам_00-022_Август/55270b98-0f13-4371-a50d-c1eb3d6b689d.jpg","open")</f>
        <v/>
      </c>
      <c r="C7560" t="inlineStr">
        <is>
          <t>cbf95b01-f708-45a3-9ec0-3603469b538e</t>
        </is>
      </c>
      <c r="D7560" t="n">
        <v>55.77373</v>
      </c>
      <c r="E7560" t="n">
        <v>37.6846</v>
      </c>
      <c r="F7560" t="inlineStr"/>
      <c r="G7560" t="inlineStr"/>
      <c r="H7560" t="inlineStr"/>
    </row>
    <row r="7561">
      <c r="A7561" t="inlineStr">
        <is>
          <t>138cee22-47ec-4d18-b064-c09229655c2f.jpg</t>
        </is>
      </c>
      <c r="B7561">
        <f>HYPERLINK("Объекты недвижимости, не соответствующие градостроительным нормам_00-022_Август/138cee22-47ec-4d18-b064-c09229655c2f.jpg","open")</f>
        <v/>
      </c>
      <c r="C7561" t="inlineStr">
        <is>
          <t>caa4772d-6278-4484-a046-ee25514bf521</t>
        </is>
      </c>
      <c r="D7561" t="n">
        <v>55.70636</v>
      </c>
      <c r="E7561" t="n">
        <v>37.58891</v>
      </c>
      <c r="F7561" t="inlineStr"/>
      <c r="G7561" t="inlineStr"/>
      <c r="H7561" t="inlineStr"/>
    </row>
    <row r="7562">
      <c r="A7562" t="inlineStr">
        <is>
          <t>08c2d382-a4de-4fb6-b934-30debc08a914.jpg</t>
        </is>
      </c>
      <c r="B7562">
        <f>HYPERLINK("Объекты недвижимости, не соответствующие градостроительным нормам_00-022_Август/08c2d382-a4de-4fb6-b934-30debc08a914.jpg","open")</f>
        <v/>
      </c>
      <c r="C7562" t="inlineStr">
        <is>
          <t>a1a9db89-3f74-42ef-8fad-ad69705102cd</t>
        </is>
      </c>
      <c r="D7562" t="n">
        <v>55.77365</v>
      </c>
      <c r="E7562" t="n">
        <v>37.68451</v>
      </c>
      <c r="F7562" t="inlineStr"/>
      <c r="G7562" t="inlineStr"/>
      <c r="H7562" t="inlineStr"/>
    </row>
    <row r="7563">
      <c r="A7563" t="inlineStr">
        <is>
          <t>40fc8778-324f-4ea0-adc8-8eda056824e5.jpg</t>
        </is>
      </c>
      <c r="B7563">
        <f>HYPERLINK("Объекты недвижимости, не соответствующие градостроительным нормам_00-022_Август/40fc8778-324f-4ea0-adc8-8eda056824e5.jpg","open")</f>
        <v/>
      </c>
      <c r="C7563" t="inlineStr">
        <is>
          <t>cbf95b01-f708-45a3-9ec0-3603469b538e</t>
        </is>
      </c>
      <c r="D7563" t="n">
        <v>55.7736</v>
      </c>
      <c r="E7563" t="n">
        <v>37.68445</v>
      </c>
      <c r="F7563" t="inlineStr"/>
      <c r="G7563" t="inlineStr"/>
      <c r="H7563" t="inlineStr"/>
    </row>
    <row r="7564">
      <c r="A7564" t="inlineStr">
        <is>
          <t>5de3633d-4cba-4d60-af49-a42c0654ff1f.jpg</t>
        </is>
      </c>
      <c r="B7564">
        <f>HYPERLINK("Объекты недвижимости, не соответствующие градостроительным нормам_00-022_Август/5de3633d-4cba-4d60-af49-a42c0654ff1f.jpg","open")</f>
        <v/>
      </c>
      <c r="C7564" t="inlineStr">
        <is>
          <t>a1a9db89-3f74-42ef-8fad-ad69705102cd</t>
        </is>
      </c>
      <c r="D7564" t="n">
        <v>55.77359</v>
      </c>
      <c r="E7564" t="n">
        <v>37.68443</v>
      </c>
      <c r="F7564" t="inlineStr"/>
      <c r="G7564" t="inlineStr"/>
      <c r="H7564" t="inlineStr"/>
    </row>
    <row r="7565">
      <c r="A7565" t="inlineStr">
        <is>
          <t>323ba59c-8d7a-4ff4-8cae-8c9fdb299c6e.jpg</t>
        </is>
      </c>
      <c r="B7565">
        <f>HYPERLINK("Объекты недвижимости, не соответствующие градостроительным нормам_00-022_Август/323ba59c-8d7a-4ff4-8cae-8c9fdb299c6e.jpg","open")</f>
        <v/>
      </c>
      <c r="C7565" t="inlineStr">
        <is>
          <t>cbf95b01-f708-45a3-9ec0-3603469b538e</t>
        </is>
      </c>
      <c r="D7565" t="n">
        <v>55.77354</v>
      </c>
      <c r="E7565" t="n">
        <v>37.68439</v>
      </c>
      <c r="F7565" t="inlineStr"/>
      <c r="G7565" t="inlineStr"/>
      <c r="H7565" t="inlineStr"/>
    </row>
    <row r="7566">
      <c r="A7566" t="inlineStr">
        <is>
          <t>3d44e273-074e-45f7-b20e-cc47d484521c.jpg</t>
        </is>
      </c>
      <c r="B7566">
        <f>HYPERLINK("Объекты недвижимости, не соответствующие градостроительным нормам_00-022_Август/3d44e273-074e-45f7-b20e-cc47d484521c.jpg","open")</f>
        <v/>
      </c>
      <c r="C7566" t="inlineStr">
        <is>
          <t>a1a9db89-3f74-42ef-8fad-ad69705102cd</t>
        </is>
      </c>
      <c r="D7566" t="n">
        <v>55.77353</v>
      </c>
      <c r="E7566" t="n">
        <v>37.68437</v>
      </c>
      <c r="F7566" t="inlineStr"/>
      <c r="G7566" t="inlineStr"/>
      <c r="H7566" t="inlineStr"/>
    </row>
    <row r="7567">
      <c r="A7567" t="inlineStr">
        <is>
          <t>6b8e3c7b-222d-4782-870f-2c1b5d1038fc.jpg</t>
        </is>
      </c>
      <c r="B7567">
        <f>HYPERLINK("Объекты недвижимости, не соответствующие градостроительным нормам_00-022_Август/6b8e3c7b-222d-4782-870f-2c1b5d1038fc.jpg","open")</f>
        <v/>
      </c>
      <c r="C7567" t="inlineStr">
        <is>
          <t>cbf95b01-f708-45a3-9ec0-3603469b538e</t>
        </is>
      </c>
      <c r="D7567" t="n">
        <v>55.77349</v>
      </c>
      <c r="E7567" t="n">
        <v>37.68431</v>
      </c>
      <c r="F7567" t="inlineStr"/>
      <c r="G7567" t="inlineStr"/>
      <c r="H7567" t="inlineStr"/>
    </row>
    <row r="7568">
      <c r="A7568" t="inlineStr">
        <is>
          <t>7ab4b2eb-5886-40ee-8cc5-4185883bed4e.jpg</t>
        </is>
      </c>
      <c r="B7568">
        <f>HYPERLINK("Объекты недвижимости, не соответствующие градостроительным нормам_00-022_Август/7ab4b2eb-5886-40ee-8cc5-4185883bed4e.jpg","open")</f>
        <v/>
      </c>
      <c r="C7568" t="inlineStr">
        <is>
          <t>a1a9db89-3f74-42ef-8fad-ad69705102cd</t>
        </is>
      </c>
      <c r="D7568" t="n">
        <v>55.77347</v>
      </c>
      <c r="E7568" t="n">
        <v>37.68428</v>
      </c>
      <c r="F7568" t="inlineStr"/>
      <c r="G7568" t="inlineStr"/>
      <c r="H7568" t="inlineStr"/>
    </row>
    <row r="7569">
      <c r="A7569" t="inlineStr">
        <is>
          <t>e0d6a5bd-207f-4291-b9f0-a9f8729fb8b6.jpg</t>
        </is>
      </c>
      <c r="B7569">
        <f>HYPERLINK("Объекты недвижимости, не соответствующие градостроительным нормам_00-022_Август/e0d6a5bd-207f-4291-b9f0-a9f8729fb8b6.jpg","open")</f>
        <v/>
      </c>
      <c r="C7569" t="inlineStr">
        <is>
          <t>caa4772d-6278-4484-a046-ee25514bf521</t>
        </is>
      </c>
      <c r="D7569" t="n">
        <v>55.70636</v>
      </c>
      <c r="E7569" t="n">
        <v>37.58891</v>
      </c>
      <c r="F7569" t="inlineStr"/>
      <c r="G7569" t="inlineStr"/>
      <c r="H7569" t="inlineStr"/>
    </row>
    <row r="7570">
      <c r="A7570" t="inlineStr">
        <is>
          <t>59fe856e-5ef2-4997-8120-c843c8c10610.jpg</t>
        </is>
      </c>
      <c r="B7570">
        <f>HYPERLINK("Объекты недвижимости, не соответствующие градостроительным нормам_00-022_Август/59fe856e-5ef2-4997-8120-c843c8c10610.jpg","open")</f>
        <v/>
      </c>
      <c r="C7570" t="inlineStr">
        <is>
          <t>cbf95b01-f708-45a3-9ec0-3603469b538e</t>
        </is>
      </c>
      <c r="D7570" t="n">
        <v>55.77341</v>
      </c>
      <c r="E7570" t="n">
        <v>37.6842</v>
      </c>
      <c r="F7570" t="inlineStr"/>
      <c r="G7570" t="inlineStr"/>
      <c r="H7570" t="inlineStr"/>
    </row>
    <row r="7571">
      <c r="A7571" t="inlineStr">
        <is>
          <t>667d5264-48ff-4d0c-9f64-d05268092574.jpg</t>
        </is>
      </c>
      <c r="B7571">
        <f>HYPERLINK("Объекты недвижимости, не соответствующие градостроительным нормам_00-022_Август/667d5264-48ff-4d0c-9f64-d05268092574.jpg","open")</f>
        <v/>
      </c>
      <c r="C7571" t="inlineStr">
        <is>
          <t>a1a9db89-3f74-42ef-8fad-ad69705102cd</t>
        </is>
      </c>
      <c r="D7571" t="n">
        <v>55.77338</v>
      </c>
      <c r="E7571" t="n">
        <v>37.68417</v>
      </c>
      <c r="F7571" t="inlineStr"/>
      <c r="G7571" t="inlineStr"/>
      <c r="H7571" t="inlineStr"/>
    </row>
    <row r="7572">
      <c r="A7572" t="inlineStr">
        <is>
          <t>aa0334e8-572b-4b21-bb11-90a818aededf.jpg</t>
        </is>
      </c>
      <c r="B7572">
        <f>HYPERLINK("Объекты недвижимости, не соответствующие градостроительным нормам_00-022_Август/aa0334e8-572b-4b21-bb11-90a818aededf.jpg","open")</f>
        <v/>
      </c>
      <c r="C7572" t="inlineStr">
        <is>
          <t>cbf95b01-f708-45a3-9ec0-3603469b538e</t>
        </is>
      </c>
      <c r="D7572" t="n">
        <v>55.77332</v>
      </c>
      <c r="E7572" t="n">
        <v>37.68409</v>
      </c>
      <c r="F7572" t="inlineStr"/>
      <c r="G7572" t="inlineStr"/>
      <c r="H7572" t="inlineStr"/>
    </row>
    <row r="7573">
      <c r="A7573" t="inlineStr">
        <is>
          <t>37cf7b7a-3b39-4bc0-994c-6959e9e2e1b5.jpg</t>
        </is>
      </c>
      <c r="B7573">
        <f>HYPERLINK("Объекты недвижимости, не соответствующие градостроительным нормам_00-022_Август/37cf7b7a-3b39-4bc0-994c-6959e9e2e1b5.jpg","open")</f>
        <v/>
      </c>
      <c r="C7573" t="inlineStr">
        <is>
          <t>31a713a9-b910-424b-b847-e0eaa2f70c70</t>
        </is>
      </c>
      <c r="D7573" t="n">
        <v>55.78556</v>
      </c>
      <c r="E7573" t="n">
        <v>37.48277</v>
      </c>
      <c r="F7573" t="inlineStr"/>
      <c r="G7573" t="inlineStr"/>
      <c r="H7573" t="inlineStr"/>
    </row>
    <row r="7574">
      <c r="A7574" t="inlineStr">
        <is>
          <t>63a9408f-23be-401f-afb3-67cd2ebed4e6.jpg</t>
        </is>
      </c>
      <c r="B7574">
        <f>HYPERLINK("Объекты недвижимости, не соответствующие градостроительным нормам_00-022_Август/63a9408f-23be-401f-afb3-67cd2ebed4e6.jpg","open")</f>
        <v/>
      </c>
      <c r="C7574" t="inlineStr">
        <is>
          <t>cbf95b01-f708-45a3-9ec0-3603469b538e</t>
        </is>
      </c>
      <c r="D7574" t="n">
        <v>55.7729</v>
      </c>
      <c r="E7574" t="n">
        <v>37.68356</v>
      </c>
      <c r="F7574" t="inlineStr"/>
      <c r="G7574" t="inlineStr"/>
      <c r="H7574" t="inlineStr"/>
    </row>
    <row r="7575">
      <c r="A7575" t="inlineStr">
        <is>
          <t>4707dab8-59ff-4e66-b73d-ee4e4e90c0b1.jpg</t>
        </is>
      </c>
      <c r="B7575">
        <f>HYPERLINK("Объекты недвижимости, не соответствующие градостроительным нормам_00-022_Август/4707dab8-59ff-4e66-b73d-ee4e4e90c0b1.jpg","open")</f>
        <v/>
      </c>
      <c r="C7575" t="inlineStr">
        <is>
          <t>9fb3d110-951f-48da-9d90-cfd7e1b5800d</t>
        </is>
      </c>
      <c r="D7575" t="n">
        <v>55.70575</v>
      </c>
      <c r="E7575" t="n">
        <v>37.46093</v>
      </c>
      <c r="F7575" t="inlineStr"/>
      <c r="G7575" t="inlineStr"/>
      <c r="H7575" t="inlineStr"/>
    </row>
    <row r="7576">
      <c r="A7576" t="inlineStr">
        <is>
          <t>78517a51-5329-4093-a9a0-d94d9093dfb1.jpg</t>
        </is>
      </c>
      <c r="B7576">
        <f>HYPERLINK("Объекты недвижимости, не соответствующие градостроительным нормам_00-022_Август/78517a51-5329-4093-a9a0-d94d9093dfb1.jpg","open")</f>
        <v/>
      </c>
      <c r="C7576" t="inlineStr">
        <is>
          <t>b0429a31-0c70-4b9f-8ea5-73929d82f89e</t>
        </is>
      </c>
      <c r="D7576" t="n">
        <v>55.60344</v>
      </c>
      <c r="E7576" t="n">
        <v>37.59134</v>
      </c>
      <c r="F7576" t="inlineStr"/>
      <c r="G7576" t="inlineStr"/>
      <c r="H7576" t="inlineStr"/>
    </row>
    <row r="7577">
      <c r="A7577" t="inlineStr">
        <is>
          <t>63106560-63ce-4369-8ef1-290cb83a1e77.jpg</t>
        </is>
      </c>
      <c r="B7577">
        <f>HYPERLINK("Объекты недвижимости, не соответствующие градостроительным нормам_00-022_Август/63106560-63ce-4369-8ef1-290cb83a1e77.jpg","open")</f>
        <v/>
      </c>
      <c r="C7577" t="inlineStr">
        <is>
          <t>ffd931da-542f-43e9-979f-5552b17fe3dc</t>
        </is>
      </c>
      <c r="D7577" t="n">
        <v>55.75762</v>
      </c>
      <c r="E7577" t="n">
        <v>37.80011</v>
      </c>
      <c r="F7577" t="inlineStr"/>
      <c r="G7577" t="inlineStr"/>
      <c r="H7577" t="inlineStr"/>
    </row>
    <row r="7578">
      <c r="A7578" t="inlineStr">
        <is>
          <t>45ae2be0-6953-4e37-82a1-ca496ac62de2.jpg</t>
        </is>
      </c>
      <c r="B7578">
        <f>HYPERLINK("Объекты недвижимости, не соответствующие градостроительным нормам_00-022_Август/45ae2be0-6953-4e37-82a1-ca496ac62de2.jpg","open")</f>
        <v/>
      </c>
      <c r="C7578" t="inlineStr">
        <is>
          <t>ffd931da-542f-43e9-979f-5552b17fe3dc</t>
        </is>
      </c>
      <c r="D7578" t="n">
        <v>55.75765</v>
      </c>
      <c r="E7578" t="n">
        <v>37.80011</v>
      </c>
      <c r="F7578" t="inlineStr"/>
      <c r="G7578" t="inlineStr"/>
      <c r="H7578" t="inlineStr"/>
    </row>
    <row r="7579">
      <c r="A7579" t="inlineStr">
        <is>
          <t>bf73bb66-fe38-4e51-b878-5e687bdf9458.jpg</t>
        </is>
      </c>
      <c r="B7579">
        <f>HYPERLINK("Объекты недвижимости, не соответствующие градостроительным нормам_00-022_Август/bf73bb66-fe38-4e51-b878-5e687bdf9458.jpg","open")</f>
        <v/>
      </c>
      <c r="C7579" t="inlineStr">
        <is>
          <t>8cde1fd0-eca1-4510-86ab-3c743b65fdfc</t>
        </is>
      </c>
      <c r="D7579" t="n">
        <v>55.6212</v>
      </c>
      <c r="E7579" t="n">
        <v>37.61061</v>
      </c>
      <c r="F7579" t="inlineStr"/>
      <c r="G7579" t="inlineStr"/>
      <c r="H7579" t="inlineStr"/>
    </row>
    <row r="7580">
      <c r="A7580" t="inlineStr">
        <is>
          <t>6672bb2c-f75b-4d81-b791-13a3feeb4f68.jpg</t>
        </is>
      </c>
      <c r="B7580">
        <f>HYPERLINK("Объекты недвижимости, не соответствующие градостроительным нормам_00-022_Август/6672bb2c-f75b-4d81-b791-13a3feeb4f68.jpg","open")</f>
        <v/>
      </c>
      <c r="C7580" t="inlineStr">
        <is>
          <t>f20fbc2b-b369-4734-bb66-92af02fbb0d1</t>
        </is>
      </c>
      <c r="D7580" t="n">
        <v>55.67928</v>
      </c>
      <c r="E7580" t="n">
        <v>37.85451</v>
      </c>
      <c r="F7580" t="inlineStr"/>
      <c r="G7580" t="inlineStr"/>
      <c r="H7580" t="inlineStr"/>
    </row>
    <row r="7581">
      <c r="A7581" t="inlineStr">
        <is>
          <t>e77dfca1-ef5f-44c0-b377-868f5fb14306.jpg</t>
        </is>
      </c>
      <c r="B7581">
        <f>HYPERLINK("Объекты недвижимости, не соответствующие градостроительным нормам_00-022_Август/e77dfca1-ef5f-44c0-b377-868f5fb14306.jpg","open")</f>
        <v/>
      </c>
      <c r="C7581" t="inlineStr">
        <is>
          <t>ffd931da-542f-43e9-979f-5552b17fe3dc</t>
        </is>
      </c>
      <c r="D7581" t="n">
        <v>55.75828</v>
      </c>
      <c r="E7581" t="n">
        <v>37.79902</v>
      </c>
      <c r="F7581" t="inlineStr"/>
      <c r="G7581" t="inlineStr"/>
      <c r="H7581" t="inlineStr"/>
    </row>
    <row r="7582">
      <c r="A7582" t="inlineStr">
        <is>
          <t>39fe0d7b-7041-4f8b-9b8f-e1d5946a5356.jpg</t>
        </is>
      </c>
      <c r="B7582">
        <f>HYPERLINK("Объекты недвижимости, не соответствующие градостроительным нормам_00-022_Август/39fe0d7b-7041-4f8b-9b8f-e1d5946a5356.jpg","open")</f>
        <v/>
      </c>
      <c r="C7582" t="inlineStr">
        <is>
          <t>1a55986c-2c3f-40c0-b3d1-014dce77832e</t>
        </is>
      </c>
      <c r="D7582" t="n">
        <v>55.65445</v>
      </c>
      <c r="E7582" t="n">
        <v>37.52158</v>
      </c>
      <c r="F7582" t="inlineStr"/>
      <c r="G7582" t="inlineStr"/>
      <c r="H7582" t="inlineStr"/>
    </row>
    <row r="7583">
      <c r="A7583" t="inlineStr">
        <is>
          <t>70cf64af-7f11-4fb3-904b-d6178f9ae287.jpg</t>
        </is>
      </c>
      <c r="B7583">
        <f>HYPERLINK("Объекты недвижимости, не соответствующие градостроительным нормам_00-022_Август/70cf64af-7f11-4fb3-904b-d6178f9ae287.jpg","open")</f>
        <v/>
      </c>
      <c r="C7583" t="inlineStr">
        <is>
          <t>1a55986c-2c3f-40c0-b3d1-014dce77832e</t>
        </is>
      </c>
      <c r="D7583" t="n">
        <v>55.65443</v>
      </c>
      <c r="E7583" t="n">
        <v>37.52159</v>
      </c>
      <c r="F7583" t="inlineStr"/>
      <c r="G7583" t="inlineStr"/>
      <c r="H7583" t="inlineStr"/>
    </row>
    <row r="7584">
      <c r="A7584" t="inlineStr">
        <is>
          <t>2defd720-6c7c-46af-9f32-a75fd5afd983.jpg</t>
        </is>
      </c>
      <c r="B7584">
        <f>HYPERLINK("Объекты недвижимости, не соответствующие градостроительным нормам_00-022_Август/2defd720-6c7c-46af-9f32-a75fd5afd983.jpg","open")</f>
        <v/>
      </c>
      <c r="C7584" t="inlineStr">
        <is>
          <t>685d9054-b74f-49ab-857b-109fd2cec80d</t>
        </is>
      </c>
      <c r="D7584" t="n">
        <v>55.63595</v>
      </c>
      <c r="E7584" t="n">
        <v>37.51199</v>
      </c>
      <c r="F7584" t="inlineStr"/>
      <c r="G7584" t="inlineStr"/>
      <c r="H7584" t="inlineStr"/>
    </row>
    <row r="7585">
      <c r="A7585" t="inlineStr">
        <is>
          <t>2fe42f0a-8c1b-4a4f-8f0d-82561256ea53.jpg</t>
        </is>
      </c>
      <c r="B7585">
        <f>HYPERLINK("Объекты недвижимости, не соответствующие градостроительным нормам_00-022_Август/2fe42f0a-8c1b-4a4f-8f0d-82561256ea53.jpg","open")</f>
        <v/>
      </c>
      <c r="C7585" t="inlineStr">
        <is>
          <t>8cde1fd0-eca1-4510-86ab-3c743b65fdfc</t>
        </is>
      </c>
      <c r="D7585" t="n">
        <v>55.61367</v>
      </c>
      <c r="E7585" t="n">
        <v>37.60462</v>
      </c>
      <c r="F7585" t="inlineStr"/>
      <c r="G7585" t="inlineStr"/>
      <c r="H7585" t="inlineStr"/>
    </row>
    <row r="7586">
      <c r="A7586" t="inlineStr">
        <is>
          <t>31e11aaf-aa8d-4e59-a3c7-1578a36ba877.jpg</t>
        </is>
      </c>
      <c r="B7586">
        <f>HYPERLINK("Объекты недвижимости, не соответствующие градостроительным нормам_00-022_Август/31e11aaf-aa8d-4e59-a3c7-1578a36ba877.jpg","open")</f>
        <v/>
      </c>
      <c r="C7586" t="inlineStr">
        <is>
          <t>99ad831f-cb97-41d7-860c-2a48cf549c05</t>
        </is>
      </c>
      <c r="D7586" t="n">
        <v>55.97939</v>
      </c>
      <c r="E7586" t="n">
        <v>37.40289</v>
      </c>
      <c r="F7586" t="inlineStr"/>
      <c r="G7586" t="inlineStr"/>
      <c r="H7586" t="inlineStr"/>
    </row>
    <row r="7587">
      <c r="A7587" t="inlineStr">
        <is>
          <t>3dc13161-723a-4d55-8472-f8822728a539.jpg</t>
        </is>
      </c>
      <c r="B7587">
        <f>HYPERLINK("Объекты недвижимости, не соответствующие градостроительным нормам_00-022_Август/3dc13161-723a-4d55-8472-f8822728a539.jpg","open")</f>
        <v/>
      </c>
      <c r="C7587" t="inlineStr">
        <is>
          <t>ed2bf0f1-3a66-4913-896e-4420a9796c0b</t>
        </is>
      </c>
      <c r="D7587" t="n">
        <v>55.64732</v>
      </c>
      <c r="E7587" t="n">
        <v>37.52781</v>
      </c>
      <c r="F7587" t="inlineStr"/>
      <c r="G7587" t="inlineStr"/>
      <c r="H7587" t="inlineStr"/>
    </row>
    <row r="7588">
      <c r="A7588" t="inlineStr">
        <is>
          <t>644d0da2-1173-4326-bb47-2c72c5542af2.jpg</t>
        </is>
      </c>
      <c r="B7588">
        <f>HYPERLINK("Объекты недвижимости, не соответствующие градостроительным нормам_00-022_Август/644d0da2-1173-4326-bb47-2c72c5542af2.jpg","open")</f>
        <v/>
      </c>
      <c r="C7588" t="inlineStr">
        <is>
          <t>ed2bf0f1-3a66-4913-896e-4420a9796c0b</t>
        </is>
      </c>
      <c r="D7588" t="n">
        <v>55.64742</v>
      </c>
      <c r="E7588" t="n">
        <v>37.52759</v>
      </c>
      <c r="F7588" t="inlineStr"/>
      <c r="G7588" t="inlineStr"/>
      <c r="H7588" t="inlineStr"/>
    </row>
    <row r="7589">
      <c r="A7589" t="inlineStr">
        <is>
          <t>254918c4-dda4-4d29-af77-9375642860b9.jpg</t>
        </is>
      </c>
      <c r="B7589">
        <f>HYPERLINK("Объекты недвижимости, не соответствующие градостроительным нормам_00-022_Август/254918c4-dda4-4d29-af77-9375642860b9.jpg","open")</f>
        <v/>
      </c>
      <c r="C7589" t="inlineStr">
        <is>
          <t>685d9054-b74f-49ab-857b-109fd2cec80d</t>
        </is>
      </c>
      <c r="D7589" t="n">
        <v>55.635</v>
      </c>
      <c r="E7589" t="n">
        <v>37.51017</v>
      </c>
      <c r="F7589" t="inlineStr"/>
      <c r="G7589" t="inlineStr"/>
      <c r="H7589" t="inlineStr"/>
    </row>
    <row r="7590">
      <c r="A7590" t="inlineStr">
        <is>
          <t>57f5c9f5-4a70-43db-934b-636c5900357a.jpg</t>
        </is>
      </c>
      <c r="B7590">
        <f>HYPERLINK("Объекты недвижимости, не соответствующие градостроительным нормам_00-022_Август/57f5c9f5-4a70-43db-934b-636c5900357a.jpg","open")</f>
        <v/>
      </c>
      <c r="C7590" t="inlineStr">
        <is>
          <t>685d9054-b74f-49ab-857b-109fd2cec80d</t>
        </is>
      </c>
      <c r="D7590" t="n">
        <v>55.63434</v>
      </c>
      <c r="E7590" t="n">
        <v>37.50932</v>
      </c>
      <c r="F7590" t="inlineStr"/>
      <c r="G7590" t="inlineStr"/>
      <c r="H7590" t="inlineStr"/>
    </row>
    <row r="7591">
      <c r="A7591" t="inlineStr">
        <is>
          <t>9be315af-ab0a-43bb-90af-8bfde228c9f1.jpg</t>
        </is>
      </c>
      <c r="B7591">
        <f>HYPERLINK("Объекты недвижимости, не соответствующие градостроительным нормам_00-022_Август/9be315af-ab0a-43bb-90af-8bfde228c9f1.jpg","open")</f>
        <v/>
      </c>
      <c r="C7591" t="inlineStr">
        <is>
          <t>57aae8a4-582b-4309-8045-c8127a9f86ae</t>
        </is>
      </c>
      <c r="D7591" t="n">
        <v>55.80704</v>
      </c>
      <c r="E7591" t="n">
        <v>37.77821</v>
      </c>
      <c r="F7591" t="inlineStr"/>
      <c r="G7591" t="inlineStr"/>
      <c r="H7591" t="inlineStr"/>
    </row>
    <row r="7592">
      <c r="A7592" t="inlineStr">
        <is>
          <t>661cbbd6-8cf9-48e6-8022-bd8c5d35795c.jpg</t>
        </is>
      </c>
      <c r="B7592">
        <f>HYPERLINK("Объекты недвижимости, не соответствующие градостроительным нормам_00-022_Август/661cbbd6-8cf9-48e6-8022-bd8c5d35795c.jpg","open")</f>
        <v/>
      </c>
      <c r="C7592" t="inlineStr">
        <is>
          <t>8996eb30-6497-4318-8a0e-b95314b8172e</t>
        </is>
      </c>
      <c r="D7592" t="n">
        <v>55.66146</v>
      </c>
      <c r="E7592" t="n">
        <v>37.74108</v>
      </c>
      <c r="F7592" t="inlineStr"/>
      <c r="G7592" t="inlineStr"/>
      <c r="H7592" t="inlineStr"/>
    </row>
    <row r="7593">
      <c r="A7593" t="inlineStr">
        <is>
          <t>2efb240b-eeab-4d22-a40b-08c2a5650133.jpg</t>
        </is>
      </c>
      <c r="B7593">
        <f>HYPERLINK("Объекты недвижимости, не соответствующие градостроительным нормам_00-022_Август/2efb240b-eeab-4d22-a40b-08c2a5650133.jpg","open")</f>
        <v/>
      </c>
      <c r="C7593" t="inlineStr">
        <is>
          <t>1c951e11-4940-43c6-a447-394097e5609a</t>
        </is>
      </c>
      <c r="D7593" t="n">
        <v>55.61992</v>
      </c>
      <c r="E7593" t="n">
        <v>37.57925</v>
      </c>
      <c r="F7593" t="inlineStr"/>
      <c r="G7593" t="inlineStr"/>
      <c r="H7593" t="inlineStr"/>
    </row>
    <row r="7594">
      <c r="A7594" t="inlineStr">
        <is>
          <t>c2ddee3b-2dcf-46ac-b1b3-a195588b30dc.jpg</t>
        </is>
      </c>
      <c r="B7594">
        <f>HYPERLINK("Объекты недвижимости, не соответствующие градостроительным нормам_00-022_Август/c2ddee3b-2dcf-46ac-b1b3-a195588b30dc.jpg","open")</f>
        <v/>
      </c>
      <c r="C7594" t="inlineStr">
        <is>
          <t>8cde1fd0-eca1-4510-86ab-3c743b65fdfc</t>
        </is>
      </c>
      <c r="D7594" t="n">
        <v>55.61995</v>
      </c>
      <c r="E7594" t="n">
        <v>37.57919</v>
      </c>
      <c r="F7594" t="inlineStr"/>
      <c r="G7594" t="inlineStr"/>
      <c r="H7594" t="inlineStr"/>
    </row>
    <row r="7595">
      <c r="A7595" t="inlineStr">
        <is>
          <t>1e1a6503-afad-49f4-a12d-012ab4308663.jpg</t>
        </is>
      </c>
      <c r="B7595">
        <f>HYPERLINK("Объекты недвижимости, не соответствующие градостроительным нормам_00-022_Август/1e1a6503-afad-49f4-a12d-012ab4308663.jpg","open")</f>
        <v/>
      </c>
      <c r="C7595" t="inlineStr">
        <is>
          <t>8beacb4f-617e-4b34-8030-60c4dff5f8d1</t>
        </is>
      </c>
      <c r="D7595" t="n">
        <v>55.78176</v>
      </c>
      <c r="E7595" t="n">
        <v>37.69904</v>
      </c>
      <c r="F7595" t="inlineStr"/>
      <c r="G7595" t="inlineStr"/>
      <c r="H7595" t="inlineStr"/>
    </row>
    <row r="7596">
      <c r="A7596" t="inlineStr">
        <is>
          <t>49c4ebf0-9a1c-4824-abf8-27e4e78cb3ff.jpg</t>
        </is>
      </c>
      <c r="B7596">
        <f>HYPERLINK("Объекты недвижимости, не соответствующие градостроительным нормам_00-022_Август/49c4ebf0-9a1c-4824-abf8-27e4e78cb3ff.jpg","open")</f>
        <v/>
      </c>
      <c r="C7596" t="inlineStr">
        <is>
          <t>8cde1fd0-eca1-4510-86ab-3c743b65fdfc</t>
        </is>
      </c>
      <c r="D7596" t="n">
        <v>55.621</v>
      </c>
      <c r="E7596" t="n">
        <v>37.5796</v>
      </c>
      <c r="F7596" t="inlineStr"/>
      <c r="G7596" t="inlineStr"/>
      <c r="H7596" t="inlineStr"/>
    </row>
    <row r="7597">
      <c r="A7597" t="inlineStr">
        <is>
          <t>2f0cac32-7d43-4356-8497-998c632d520f.jpg</t>
        </is>
      </c>
      <c r="B7597">
        <f>HYPERLINK("Объекты недвижимости, не соответствующие градостроительным нормам_00-022_Август/2f0cac32-7d43-4356-8497-998c632d520f.jpg","open")</f>
        <v/>
      </c>
      <c r="C7597" t="inlineStr">
        <is>
          <t>b0b7ea82-53be-40d0-b992-e2fd18611d5c</t>
        </is>
      </c>
      <c r="D7597" t="n">
        <v>55.68356</v>
      </c>
      <c r="E7597" t="n">
        <v>37.8604</v>
      </c>
      <c r="F7597" t="inlineStr"/>
      <c r="G7597" t="inlineStr"/>
      <c r="H7597" t="inlineStr"/>
    </row>
    <row r="7598">
      <c r="A7598" t="inlineStr">
        <is>
          <t>eb640483-a3a0-43e2-830c-744c55eae230.jpg</t>
        </is>
      </c>
      <c r="B7598">
        <f>HYPERLINK("Объекты недвижимости, не соответствующие градостроительным нормам_00-022_Август/eb640483-a3a0-43e2-830c-744c55eae230.jpg","open")</f>
        <v/>
      </c>
      <c r="C7598" t="inlineStr">
        <is>
          <t>789f6c51-64ee-4078-b7bd-443af8b8b68a</t>
        </is>
      </c>
      <c r="D7598" t="n">
        <v>55.89745</v>
      </c>
      <c r="E7598" t="n">
        <v>37.57816</v>
      </c>
      <c r="F7598" t="inlineStr"/>
      <c r="G7598" t="inlineStr"/>
      <c r="H7598" t="inlineStr"/>
    </row>
    <row r="7599">
      <c r="A7599" t="inlineStr">
        <is>
          <t>445a3768-44f5-41e4-ae48-5232ce4ced11.jpg</t>
        </is>
      </c>
      <c r="B7599">
        <f>HYPERLINK("Объекты недвижимости, не соответствующие градостроительным нормам_00-022_Август/445a3768-44f5-41e4-ae48-5232ce4ced11.jpg","open")</f>
        <v/>
      </c>
      <c r="C7599" t="inlineStr">
        <is>
          <t>685d9054-b74f-49ab-857b-109fd2cec80d</t>
        </is>
      </c>
      <c r="D7599" t="n">
        <v>55.63534</v>
      </c>
      <c r="E7599" t="n">
        <v>37.51397</v>
      </c>
      <c r="F7599" t="inlineStr"/>
      <c r="G7599" t="inlineStr"/>
      <c r="H7599" t="inlineStr"/>
    </row>
    <row r="7600">
      <c r="A7600" t="inlineStr">
        <is>
          <t>2b688c02-4b21-4229-a0a3-bce431b4e57c.jpg</t>
        </is>
      </c>
      <c r="B7600">
        <f>HYPERLINK("Объекты недвижимости, не соответствующие градостроительным нормам_00-022_Август/2b688c02-4b21-4229-a0a3-bce431b4e57c.jpg","open")</f>
        <v/>
      </c>
      <c r="C7600" t="inlineStr">
        <is>
          <t>8b2675e2-7f40-47a9-a462-7c9feecd299c</t>
        </is>
      </c>
      <c r="D7600" t="n">
        <v>55.54972</v>
      </c>
      <c r="E7600" t="n">
        <v>37.58649</v>
      </c>
      <c r="F7600" t="inlineStr"/>
      <c r="G7600" t="inlineStr"/>
      <c r="H7600" t="inlineStr"/>
    </row>
    <row r="7601">
      <c r="A7601" t="inlineStr">
        <is>
          <t>0d35aa19-21fe-4c75-b72f-0c5bd2b1b705.jpg</t>
        </is>
      </c>
      <c r="B7601">
        <f>HYPERLINK("Объекты недвижимости, не соответствующие градостроительным нормам_00-022_Август/0d35aa19-21fe-4c75-b72f-0c5bd2b1b705.jpg","open")</f>
        <v/>
      </c>
      <c r="C7601" t="inlineStr">
        <is>
          <t>2acfb2da-e3f6-464c-bd17-4b713522c142</t>
        </is>
      </c>
      <c r="D7601" t="n">
        <v>55.89745</v>
      </c>
      <c r="E7601" t="n">
        <v>37.57816</v>
      </c>
      <c r="F7601" t="inlineStr"/>
      <c r="G7601" t="inlineStr"/>
      <c r="H7601" t="inlineStr"/>
    </row>
    <row r="7602">
      <c r="A7602" t="inlineStr">
        <is>
          <t>4bdd5c8a-7e0f-4f83-92a4-f4e272faf874.jpg</t>
        </is>
      </c>
      <c r="B7602">
        <f>HYPERLINK("Объекты недвижимости, не соответствующие градостроительным нормам_00-022_Август/4bdd5c8a-7e0f-4f83-92a4-f4e272faf874.jpg","open")</f>
        <v/>
      </c>
      <c r="C7602" t="inlineStr">
        <is>
          <t>2acfb2da-e3f6-464c-bd17-4b713522c142</t>
        </is>
      </c>
      <c r="D7602" t="n">
        <v>55.89745</v>
      </c>
      <c r="E7602" t="n">
        <v>37.57816</v>
      </c>
      <c r="F7602" t="inlineStr"/>
      <c r="G7602" t="inlineStr"/>
      <c r="H7602" t="inlineStr"/>
    </row>
    <row r="7603">
      <c r="A7603" t="inlineStr">
        <is>
          <t>29597375-f9ab-4a14-81f8-114f8219accb.jpg</t>
        </is>
      </c>
      <c r="B7603">
        <f>HYPERLINK("Объекты недвижимости, не соответствующие градостроительным нормам_00-022_Август/29597375-f9ab-4a14-81f8-114f8219accb.jpg","open")</f>
        <v/>
      </c>
      <c r="C7603" t="inlineStr">
        <is>
          <t>8b2675e2-7f40-47a9-a462-7c9feecd299c</t>
        </is>
      </c>
      <c r="D7603" t="n">
        <v>55.54905</v>
      </c>
      <c r="E7603" t="n">
        <v>37.58603</v>
      </c>
      <c r="F7603" t="inlineStr"/>
      <c r="G7603" t="inlineStr"/>
      <c r="H7603" t="inlineStr"/>
    </row>
    <row r="7604">
      <c r="A7604" t="inlineStr">
        <is>
          <t>7c611979-79e9-46ad-9063-db8ddc9cc079.jpg</t>
        </is>
      </c>
      <c r="B7604">
        <f>HYPERLINK("Объекты недвижимости, не соответствующие градостроительным нормам_00-022_Август/7c611979-79e9-46ad-9063-db8ddc9cc079.jpg","open")</f>
        <v/>
      </c>
      <c r="C7604" t="inlineStr">
        <is>
          <t>789f6c51-64ee-4078-b7bd-443af8b8b68a</t>
        </is>
      </c>
      <c r="D7604" t="n">
        <v>55.89745</v>
      </c>
      <c r="E7604" t="n">
        <v>37.57816</v>
      </c>
      <c r="F7604" t="inlineStr"/>
      <c r="G7604" t="inlineStr"/>
      <c r="H7604" t="inlineStr"/>
    </row>
    <row r="7605">
      <c r="A7605" t="inlineStr">
        <is>
          <t>001a05b8-8c31-4718-8ef7-48b460dc6bd2.jpg</t>
        </is>
      </c>
      <c r="B7605">
        <f>HYPERLINK("Объекты недвижимости, не соответствующие градостроительным нормам_00-022_Август/001a05b8-8c31-4718-8ef7-48b460dc6bd2.jpg","open")</f>
        <v/>
      </c>
      <c r="C7605" t="inlineStr">
        <is>
          <t>2acfb2da-e3f6-464c-bd17-4b713522c142</t>
        </is>
      </c>
      <c r="D7605" t="n">
        <v>55.89745</v>
      </c>
      <c r="E7605" t="n">
        <v>37.57816</v>
      </c>
      <c r="F7605" t="inlineStr"/>
      <c r="G7605" t="inlineStr"/>
      <c r="H7605" t="inlineStr"/>
    </row>
    <row r="7606">
      <c r="A7606" t="inlineStr">
        <is>
          <t>fa4cecfb-161f-429c-be93-9cc14d447234.jpg</t>
        </is>
      </c>
      <c r="B7606">
        <f>HYPERLINK("Объекты недвижимости, не соответствующие градостроительным нормам_00-022_Август/fa4cecfb-161f-429c-be93-9cc14d447234.jpg","open")</f>
        <v/>
      </c>
      <c r="C7606" t="inlineStr">
        <is>
          <t>ad64e6b9-1ed5-44d7-a101-4945a1f9dec6</t>
        </is>
      </c>
      <c r="D7606" t="n">
        <v>55.63398</v>
      </c>
      <c r="E7606" t="n">
        <v>37.5218</v>
      </c>
      <c r="F7606" t="inlineStr"/>
      <c r="G7606" t="inlineStr"/>
      <c r="H7606" t="inlineStr"/>
    </row>
    <row r="7607">
      <c r="A7607" t="inlineStr">
        <is>
          <t>8dfbca22-f738-47d3-b391-cc87275e4aad.jpg</t>
        </is>
      </c>
      <c r="B7607">
        <f>HYPERLINK("Объекты недвижимости, не соответствующие градостроительным нормам_00-022_Август/8dfbca22-f738-47d3-b391-cc87275e4aad.jpg","open")</f>
        <v/>
      </c>
      <c r="C7607" t="inlineStr">
        <is>
          <t>b0b7ea82-53be-40d0-b992-e2fd18611d5c</t>
        </is>
      </c>
      <c r="D7607" t="n">
        <v>55.68425</v>
      </c>
      <c r="E7607" t="n">
        <v>37.86201</v>
      </c>
      <c r="F7607" t="inlineStr"/>
      <c r="G7607" t="inlineStr"/>
      <c r="H7607" t="inlineStr"/>
    </row>
    <row r="7608">
      <c r="A7608" t="inlineStr">
        <is>
          <t>fa556e24-8e45-45f3-8407-db13709866ea.jpg</t>
        </is>
      </c>
      <c r="B7608">
        <f>HYPERLINK("Объекты недвижимости, не соответствующие градостроительным нормам_00-022_Август/fa556e24-8e45-45f3-8407-db13709866ea.jpg","open")</f>
        <v/>
      </c>
      <c r="C7608" t="inlineStr">
        <is>
          <t>ed2bf0f1-3a66-4913-896e-4420a9796c0b</t>
        </is>
      </c>
      <c r="D7608" t="n">
        <v>55.64617</v>
      </c>
      <c r="E7608" t="n">
        <v>37.51078</v>
      </c>
      <c r="F7608" t="inlineStr"/>
      <c r="G7608" t="inlineStr"/>
      <c r="H7608" t="inlineStr"/>
    </row>
    <row r="7609">
      <c r="A7609" t="inlineStr">
        <is>
          <t>36945fa6-65ee-4f28-b326-7163a2cb087b.jpg</t>
        </is>
      </c>
      <c r="B7609">
        <f>HYPERLINK("Объекты недвижимости, не соответствующие градостроительным нормам_00-022_Август/36945fa6-65ee-4f28-b326-7163a2cb087b.jpg","open")</f>
        <v/>
      </c>
      <c r="C7609" t="inlineStr">
        <is>
          <t>1a55986c-2c3f-40c0-b3d1-014dce77832e</t>
        </is>
      </c>
      <c r="D7609" t="n">
        <v>55.64522</v>
      </c>
      <c r="E7609" t="n">
        <v>37.50956</v>
      </c>
      <c r="F7609" t="inlineStr"/>
      <c r="G7609" t="inlineStr"/>
      <c r="H7609" t="inlineStr"/>
    </row>
    <row r="7610">
      <c r="A7610" t="inlineStr">
        <is>
          <t>a4595033-788c-401e-b72d-3512500a05a5.jpg</t>
        </is>
      </c>
      <c r="B7610">
        <f>HYPERLINK("Объекты недвижимости, не соответствующие градостроительным нормам_00-022_Август/a4595033-788c-401e-b72d-3512500a05a5.jpg","open")</f>
        <v/>
      </c>
      <c r="C7610" t="inlineStr">
        <is>
          <t>ed2bf0f1-3a66-4913-896e-4420a9796c0b</t>
        </is>
      </c>
      <c r="D7610" t="n">
        <v>55.64506</v>
      </c>
      <c r="E7610" t="n">
        <v>37.50935</v>
      </c>
      <c r="F7610" t="inlineStr"/>
      <c r="G7610" t="inlineStr"/>
      <c r="H7610" t="inlineStr"/>
    </row>
    <row r="7611">
      <c r="A7611" t="inlineStr">
        <is>
          <t>8a1666ea-df17-4f66-a5d1-15c9830779b3.jpg</t>
        </is>
      </c>
      <c r="B7611">
        <f>HYPERLINK("Объекты недвижимости, не соответствующие градостроительным нормам_00-022_Август/8a1666ea-df17-4f66-a5d1-15c9830779b3.jpg","open")</f>
        <v/>
      </c>
      <c r="C7611" t="inlineStr">
        <is>
          <t>b0b7ea82-53be-40d0-b992-e2fd18611d5c</t>
        </is>
      </c>
      <c r="D7611" t="n">
        <v>55.68502</v>
      </c>
      <c r="E7611" t="n">
        <v>37.86217</v>
      </c>
      <c r="F7611" t="inlineStr"/>
      <c r="G7611" t="inlineStr"/>
      <c r="H7611" t="inlineStr"/>
    </row>
    <row r="7612">
      <c r="A7612" t="inlineStr">
        <is>
          <t>0fb4404e-2d7f-45de-a531-61963bd5e49c.jpg</t>
        </is>
      </c>
      <c r="B7612">
        <f>HYPERLINK("Объекты недвижимости, не соответствующие градостроительным нормам_00-022_Август/0fb4404e-2d7f-45de-a531-61963bd5e49c.jpg","open")</f>
        <v/>
      </c>
      <c r="C7612" t="inlineStr">
        <is>
          <t>ffd931da-542f-43e9-979f-5552b17fe3dc</t>
        </is>
      </c>
      <c r="D7612" t="n">
        <v>55.75856</v>
      </c>
      <c r="E7612" t="n">
        <v>37.78802</v>
      </c>
      <c r="F7612" t="inlineStr"/>
      <c r="G7612" t="inlineStr"/>
      <c r="H7612" t="inlineStr"/>
    </row>
    <row r="7613">
      <c r="A7613" t="inlineStr">
        <is>
          <t>f897630d-c170-4b85-9fb2-72e7a8bd6a63.jpg</t>
        </is>
      </c>
      <c r="B7613">
        <f>HYPERLINK("Объекты недвижимости, не соответствующие градостроительным нормам_00-022_Август/f897630d-c170-4b85-9fb2-72e7a8bd6a63.jpg","open")</f>
        <v/>
      </c>
      <c r="C7613" t="inlineStr">
        <is>
          <t>9ca2abb7-5978-4e19-b2b4-4d185fa6739e</t>
        </is>
      </c>
      <c r="D7613" t="n">
        <v>55.97349</v>
      </c>
      <c r="E7613" t="n">
        <v>37.43121</v>
      </c>
      <c r="F7613" t="inlineStr"/>
      <c r="G7613" t="inlineStr"/>
      <c r="H7613" t="inlineStr"/>
    </row>
    <row r="7614">
      <c r="A7614" t="inlineStr">
        <is>
          <t>97ce30c8-08b7-4228-a96d-2c0c4922703d.jpg</t>
        </is>
      </c>
      <c r="B7614">
        <f>HYPERLINK("Объекты недвижимости, не соответствующие градостроительным нормам_00-022_Август/97ce30c8-08b7-4228-a96d-2c0c4922703d.jpg","open")</f>
        <v/>
      </c>
      <c r="C7614" t="inlineStr">
        <is>
          <t>685d9054-b74f-49ab-857b-109fd2cec80d</t>
        </is>
      </c>
      <c r="D7614" t="n">
        <v>55.63493</v>
      </c>
      <c r="E7614" t="n">
        <v>37.51329</v>
      </c>
      <c r="F7614" t="inlineStr"/>
      <c r="G7614" t="inlineStr"/>
      <c r="H7614" t="inlineStr"/>
    </row>
    <row r="7615">
      <c r="A7615" t="inlineStr">
        <is>
          <t>1b58d04a-2223-486b-87b0-3efee6f90e2f.jpg</t>
        </is>
      </c>
      <c r="B7615">
        <f>HYPERLINK("Объекты недвижимости, не соответствующие градостроительным нормам_00-022_Август/1b58d04a-2223-486b-87b0-3efee6f90e2f.jpg","open")</f>
        <v/>
      </c>
      <c r="C7615" t="inlineStr">
        <is>
          <t>1231bbc5-e64c-4dc7-9acc-77710f47607a</t>
        </is>
      </c>
      <c r="D7615" t="n">
        <v>55.63493</v>
      </c>
      <c r="E7615" t="n">
        <v>37.51327</v>
      </c>
      <c r="F7615" t="inlineStr"/>
      <c r="G7615" t="inlineStr"/>
      <c r="H7615" t="inlineStr"/>
    </row>
    <row r="7616">
      <c r="A7616" t="inlineStr">
        <is>
          <t>ae9f065f-4691-4554-87fa-a2741accdbd7.jpg</t>
        </is>
      </c>
      <c r="B7616">
        <f>HYPERLINK("Объекты недвижимости, не соответствующие градостроительным нормам_00-022_Август/ae9f065f-4691-4554-87fa-a2741accdbd7.jpg","open")</f>
        <v/>
      </c>
      <c r="C7616" t="inlineStr">
        <is>
          <t>5e5b9944-4f9e-4223-bf96-0bc0c8a93dfa</t>
        </is>
      </c>
      <c r="D7616" t="n">
        <v>55.66325</v>
      </c>
      <c r="E7616" t="n">
        <v>37.61748</v>
      </c>
      <c r="F7616" t="inlineStr"/>
      <c r="G7616" t="inlineStr"/>
      <c r="H7616" t="inlineStr"/>
    </row>
    <row r="7617">
      <c r="A7617" t="inlineStr">
        <is>
          <t>065e512c-293b-43a1-af81-eb47a2a70d9a.jpg</t>
        </is>
      </c>
      <c r="B7617">
        <f>HYPERLINK("Объекты недвижимости, не соответствующие градостроительным нормам_00-022_Август/065e512c-293b-43a1-af81-eb47a2a70d9a.jpg","open")</f>
        <v/>
      </c>
      <c r="C7617" t="inlineStr">
        <is>
          <t>29ad9edb-d533-4272-a986-be24eb004851</t>
        </is>
      </c>
      <c r="D7617" t="n">
        <v>55.73956</v>
      </c>
      <c r="E7617" t="n">
        <v>37.53259</v>
      </c>
      <c r="F7617" t="inlineStr"/>
      <c r="G7617" t="inlineStr"/>
      <c r="H7617" t="inlineStr"/>
    </row>
    <row r="7618">
      <c r="A7618" t="inlineStr">
        <is>
          <t>1007d300-1c64-4809-8315-5c767d47a506.jpg</t>
        </is>
      </c>
      <c r="B7618">
        <f>HYPERLINK("Объекты недвижимости, не соответствующие градостроительным нормам_00-022_Август/1007d300-1c64-4809-8315-5c767d47a506.jpg","open")</f>
        <v/>
      </c>
      <c r="C7618" t="inlineStr">
        <is>
          <t>8b2675e2-7f40-47a9-a462-7c9feecd299c</t>
        </is>
      </c>
      <c r="D7618" t="n">
        <v>55.5055</v>
      </c>
      <c r="E7618" t="n">
        <v>37.56017</v>
      </c>
      <c r="F7618" t="inlineStr"/>
      <c r="G7618" t="inlineStr"/>
      <c r="H7618" t="inlineStr"/>
    </row>
    <row r="7619">
      <c r="A7619" t="inlineStr">
        <is>
          <t>2693c951-5f49-4410-a92d-3481f02e50ac.jpg</t>
        </is>
      </c>
      <c r="B7619">
        <f>HYPERLINK("Объекты недвижимости, не соответствующие градостроительным нормам_00-022_Август/2693c951-5f49-4410-a92d-3481f02e50ac.jpg","open")</f>
        <v/>
      </c>
      <c r="C7619" t="inlineStr">
        <is>
          <t>685d9054-b74f-49ab-857b-109fd2cec80d</t>
        </is>
      </c>
      <c r="D7619" t="n">
        <v>55.63246</v>
      </c>
      <c r="E7619" t="n">
        <v>37.51069</v>
      </c>
      <c r="F7619" t="inlineStr"/>
      <c r="G7619" t="inlineStr"/>
      <c r="H7619" t="inlineStr"/>
    </row>
    <row r="7620">
      <c r="A7620" t="inlineStr">
        <is>
          <t>623b7da6-aa4f-4ce2-943b-97999df8fdee.jpg</t>
        </is>
      </c>
      <c r="B7620">
        <f>HYPERLINK("Объекты недвижимости, не соответствующие градостроительным нормам_00-022_Август/623b7da6-aa4f-4ce2-943b-97999df8fdee.jpg","open")</f>
        <v/>
      </c>
      <c r="C7620" t="inlineStr">
        <is>
          <t>1231bbc5-e64c-4dc7-9acc-77710f47607a</t>
        </is>
      </c>
      <c r="D7620" t="n">
        <v>55.63244</v>
      </c>
      <c r="E7620" t="n">
        <v>37.51057</v>
      </c>
      <c r="F7620" t="inlineStr"/>
      <c r="G7620" t="inlineStr"/>
      <c r="H7620" t="inlineStr"/>
    </row>
    <row r="7621">
      <c r="A7621" t="inlineStr">
        <is>
          <t>d09d3e53-f39f-4f2d-abc7-f23111be5097.jpg</t>
        </is>
      </c>
      <c r="B7621">
        <f>HYPERLINK("Объекты недвижимости, не соответствующие градостроительным нормам_00-022_Август/d09d3e53-f39f-4f2d-abc7-f23111be5097.jpg","open")</f>
        <v/>
      </c>
      <c r="C7621" t="inlineStr">
        <is>
          <t>685d9054-b74f-49ab-857b-109fd2cec80d</t>
        </is>
      </c>
      <c r="D7621" t="n">
        <v>55.63245</v>
      </c>
      <c r="E7621" t="n">
        <v>37.51054</v>
      </c>
      <c r="F7621" t="inlineStr"/>
      <c r="G7621" t="inlineStr"/>
      <c r="H7621" t="inlineStr"/>
    </row>
    <row r="7622">
      <c r="A7622" t="inlineStr">
        <is>
          <t>f618d9ec-e00c-4579-9faf-4d6989d390d5.jpg</t>
        </is>
      </c>
      <c r="B7622">
        <f>HYPERLINK("Объекты недвижимости, не соответствующие градостроительным нормам_00-022_Август/f618d9ec-e00c-4579-9faf-4d6989d390d5.jpg","open")</f>
        <v/>
      </c>
      <c r="C7622" t="inlineStr">
        <is>
          <t>a1a9db89-3f74-42ef-8fad-ad69705102cd</t>
        </is>
      </c>
      <c r="D7622" t="n">
        <v>55.77258</v>
      </c>
      <c r="E7622" t="n">
        <v>37.68303</v>
      </c>
      <c r="F7622" t="inlineStr"/>
      <c r="G7622" t="inlineStr"/>
      <c r="H7622" t="inlineStr"/>
    </row>
    <row r="7623">
      <c r="A7623" t="inlineStr">
        <is>
          <t>50eb8a74-2201-4830-bca2-ab23576e7b99.jpg</t>
        </is>
      </c>
      <c r="B7623">
        <f>HYPERLINK("Объекты недвижимости, не соответствующие градостроительным нормам_00-022_Август/50eb8a74-2201-4830-bca2-ab23576e7b99.jpg","open")</f>
        <v/>
      </c>
      <c r="C7623" t="inlineStr">
        <is>
          <t>1231bbc5-e64c-4dc7-9acc-77710f47607a</t>
        </is>
      </c>
      <c r="D7623" t="n">
        <v>55.63247</v>
      </c>
      <c r="E7623" t="n">
        <v>37.51047</v>
      </c>
      <c r="F7623" t="inlineStr"/>
      <c r="G7623" t="inlineStr"/>
      <c r="H7623" t="inlineStr"/>
    </row>
    <row r="7624">
      <c r="A7624" t="inlineStr">
        <is>
          <t>69e066a8-6bf4-42e3-8747-f15a8b6cd416.jpg</t>
        </is>
      </c>
      <c r="B7624">
        <f>HYPERLINK("Объекты недвижимости, не соответствующие градостроительным нормам_00-022_Август/69e066a8-6bf4-42e3-8747-f15a8b6cd416.jpg","open")</f>
        <v/>
      </c>
      <c r="C7624" t="inlineStr">
        <is>
          <t>5e5b9944-4f9e-4223-bf96-0bc0c8a93dfa</t>
        </is>
      </c>
      <c r="D7624" t="n">
        <v>55.6515</v>
      </c>
      <c r="E7624" t="n">
        <v>37.61932</v>
      </c>
      <c r="F7624" t="inlineStr"/>
      <c r="G7624" t="inlineStr"/>
      <c r="H7624" t="inlineStr"/>
    </row>
    <row r="7625">
      <c r="A7625" t="inlineStr">
        <is>
          <t>6501fcce-ac06-405f-987f-cf4e04e555c5.jpg</t>
        </is>
      </c>
      <c r="B7625">
        <f>HYPERLINK("Объекты недвижимости, не соответствующие градостроительным нормам_00-022_Август/6501fcce-ac06-405f-987f-cf4e04e555c5.jpg","open")</f>
        <v/>
      </c>
      <c r="C7625" t="inlineStr">
        <is>
          <t>cbf95b01-f708-45a3-9ec0-3603469b538e</t>
        </is>
      </c>
      <c r="D7625" t="n">
        <v>55.77313</v>
      </c>
      <c r="E7625" t="n">
        <v>37.68394</v>
      </c>
      <c r="F7625" t="inlineStr"/>
      <c r="G7625" t="inlineStr"/>
      <c r="H7625" t="inlineStr"/>
    </row>
    <row r="7626">
      <c r="A7626" t="inlineStr">
        <is>
          <t>679e6c01-5812-40df-94b2-73fc57390093.jpg</t>
        </is>
      </c>
      <c r="B7626">
        <f>HYPERLINK("Объекты недвижимости, не соответствующие градостроительным нормам_00-022_Август/679e6c01-5812-40df-94b2-73fc57390093.jpg","open")</f>
        <v/>
      </c>
      <c r="C7626" t="inlineStr">
        <is>
          <t>cbf95b01-f708-45a3-9ec0-3603469b538e</t>
        </is>
      </c>
      <c r="D7626" t="n">
        <v>55.77313</v>
      </c>
      <c r="E7626" t="n">
        <v>37.68395</v>
      </c>
      <c r="F7626" t="inlineStr"/>
      <c r="G7626" t="inlineStr"/>
      <c r="H7626" t="inlineStr"/>
    </row>
    <row r="7627">
      <c r="A7627" t="inlineStr">
        <is>
          <t>36ff45a8-bc30-435f-a305-3e273384f0eb.jpg</t>
        </is>
      </c>
      <c r="B7627">
        <f>HYPERLINK("Объекты недвижимости, не соответствующие градостроительным нормам_00-022_Август/36ff45a8-bc30-435f-a305-3e273384f0eb.jpg","open")</f>
        <v/>
      </c>
      <c r="C7627" t="inlineStr">
        <is>
          <t>cbf95b01-f708-45a3-9ec0-3603469b538e</t>
        </is>
      </c>
      <c r="D7627" t="n">
        <v>55.77312</v>
      </c>
      <c r="E7627" t="n">
        <v>37.68394</v>
      </c>
      <c r="F7627" t="inlineStr"/>
      <c r="G7627" t="inlineStr"/>
      <c r="H7627" t="inlineStr"/>
    </row>
    <row r="7628">
      <c r="A7628" t="inlineStr">
        <is>
          <t>e8dcf02c-1eb5-47d8-94d0-20675a365fec.jpg</t>
        </is>
      </c>
      <c r="B7628">
        <f>HYPERLINK("Объекты недвижимости, не соответствующие градостроительным нормам_00-022_Август/e8dcf02c-1eb5-47d8-94d0-20675a365fec.jpg","open")</f>
        <v/>
      </c>
      <c r="C7628" t="inlineStr">
        <is>
          <t>cbf95b01-f708-45a3-9ec0-3603469b538e</t>
        </is>
      </c>
      <c r="D7628" t="n">
        <v>55.77313</v>
      </c>
      <c r="E7628" t="n">
        <v>37.68392</v>
      </c>
      <c r="F7628" t="inlineStr"/>
      <c r="G7628" t="inlineStr"/>
      <c r="H7628" t="inlineStr"/>
    </row>
    <row r="7629">
      <c r="A7629" t="inlineStr">
        <is>
          <t>6b5c3973-44e9-4b5c-a5e4-ef6e34c5cd1b.jpg</t>
        </is>
      </c>
      <c r="B7629">
        <f>HYPERLINK("Объекты недвижимости, не соответствующие градостроительным нормам_00-022_Август/6b5c3973-44e9-4b5c-a5e4-ef6e34c5cd1b.jpg","open")</f>
        <v/>
      </c>
      <c r="C7629" t="inlineStr">
        <is>
          <t>685d9054-b74f-49ab-857b-109fd2cec80d</t>
        </is>
      </c>
      <c r="D7629" t="n">
        <v>55.63212</v>
      </c>
      <c r="E7629" t="n">
        <v>37.5095</v>
      </c>
      <c r="F7629" t="inlineStr"/>
      <c r="G7629" t="inlineStr"/>
      <c r="H7629" t="inlineStr"/>
    </row>
    <row r="7630">
      <c r="A7630" t="inlineStr">
        <is>
          <t>7b811ba5-0823-4580-9214-a17b8ef1ea53.jpg</t>
        </is>
      </c>
      <c r="B7630">
        <f>HYPERLINK("Объекты недвижимости, не соответствующие градостроительным нормам_00-022_Август/7b811ba5-0823-4580-9214-a17b8ef1ea53.jpg","open")</f>
        <v/>
      </c>
      <c r="C7630" t="inlineStr">
        <is>
          <t>1231bbc5-e64c-4dc7-9acc-77710f47607a</t>
        </is>
      </c>
      <c r="D7630" t="n">
        <v>55.63212</v>
      </c>
      <c r="E7630" t="n">
        <v>37.5095</v>
      </c>
      <c r="F7630" t="inlineStr"/>
      <c r="G7630" t="inlineStr"/>
      <c r="H7630" t="inlineStr"/>
    </row>
    <row r="7631">
      <c r="A7631" t="inlineStr">
        <is>
          <t>e0e75d88-6dbb-4f98-8968-a0969d8e054e.jpg</t>
        </is>
      </c>
      <c r="B7631">
        <f>HYPERLINK("Объекты недвижимости, не соответствующие градостроительным нормам_00-022_Август/e0e75d88-6dbb-4f98-8968-a0969d8e054e.jpg","open")</f>
        <v/>
      </c>
      <c r="C7631" t="inlineStr">
        <is>
          <t>cbf95b01-f708-45a3-9ec0-3603469b538e</t>
        </is>
      </c>
      <c r="D7631" t="n">
        <v>55.77312</v>
      </c>
      <c r="E7631" t="n">
        <v>37.68377</v>
      </c>
      <c r="F7631" t="inlineStr"/>
      <c r="G7631" t="inlineStr"/>
      <c r="H7631" t="inlineStr"/>
    </row>
    <row r="7632">
      <c r="A7632" t="inlineStr">
        <is>
          <t>de133b61-1245-4c99-b245-cf994cf21dd0.jpg</t>
        </is>
      </c>
      <c r="B7632">
        <f>HYPERLINK("Объекты недвижимости, не соответствующие градостроительным нормам_00-022_Август/de133b61-1245-4c99-b245-cf994cf21dd0.jpg","open")</f>
        <v/>
      </c>
      <c r="C7632" t="inlineStr">
        <is>
          <t>cbf95b01-f708-45a3-9ec0-3603469b538e</t>
        </is>
      </c>
      <c r="D7632" t="n">
        <v>55.77311</v>
      </c>
      <c r="E7632" t="n">
        <v>37.68377</v>
      </c>
      <c r="F7632" t="inlineStr"/>
      <c r="G7632" t="inlineStr"/>
      <c r="H7632" t="inlineStr"/>
    </row>
    <row r="7633">
      <c r="A7633" t="inlineStr">
        <is>
          <t>9319f97a-3259-434e-a6f1-8851af968422.jpg</t>
        </is>
      </c>
      <c r="B7633">
        <f>HYPERLINK("Объекты недвижимости, не соответствующие градостроительным нормам_00-022_Август/9319f97a-3259-434e-a6f1-8851af968422.jpg","open")</f>
        <v/>
      </c>
      <c r="C7633" t="inlineStr">
        <is>
          <t>2acfb2da-e3f6-464c-bd17-4b713522c142</t>
        </is>
      </c>
      <c r="D7633" t="n">
        <v>55.89151</v>
      </c>
      <c r="E7633" t="n">
        <v>37.58111</v>
      </c>
      <c r="F7633" t="inlineStr"/>
      <c r="G7633" t="inlineStr"/>
      <c r="H7633" t="inlineStr"/>
    </row>
    <row r="7634">
      <c r="A7634" t="inlineStr">
        <is>
          <t>d6c3aca5-08cc-41e4-a2da-27c4fcb767b1.jpg</t>
        </is>
      </c>
      <c r="B7634">
        <f>HYPERLINK("Объекты недвижимости, не соответствующие градостроительным нормам_00-022_Август/d6c3aca5-08cc-41e4-a2da-27c4fcb767b1.jpg","open")</f>
        <v/>
      </c>
      <c r="C7634" t="inlineStr">
        <is>
          <t>789f6c51-64ee-4078-b7bd-443af8b8b68a</t>
        </is>
      </c>
      <c r="D7634" t="n">
        <v>55.89151</v>
      </c>
      <c r="E7634" t="n">
        <v>37.58111</v>
      </c>
      <c r="F7634" t="inlineStr"/>
      <c r="G7634" t="inlineStr"/>
      <c r="H7634" t="inlineStr"/>
    </row>
    <row r="7635">
      <c r="A7635" t="inlineStr">
        <is>
          <t>68d02386-1b1c-40eb-b399-d4fc6bff4707.jpg</t>
        </is>
      </c>
      <c r="B7635">
        <f>HYPERLINK("Объекты недвижимости, не соответствующие градостроительным нормам_00-022_Август/68d02386-1b1c-40eb-b399-d4fc6bff4707.jpg","open")</f>
        <v/>
      </c>
      <c r="C7635" t="inlineStr">
        <is>
          <t>e26f5fc2-1353-4f29-85f3-87c56419161c</t>
        </is>
      </c>
      <c r="D7635" t="n">
        <v>55.78218</v>
      </c>
      <c r="E7635" t="n">
        <v>37.67116</v>
      </c>
      <c r="F7635" t="inlineStr"/>
      <c r="G7635" t="inlineStr"/>
      <c r="H7635" t="inlineStr"/>
    </row>
    <row r="7636">
      <c r="A7636" t="inlineStr">
        <is>
          <t>06ad885e-9a7f-4b3b-91f1-74276d86523a.jpg</t>
        </is>
      </c>
      <c r="B7636">
        <f>HYPERLINK("Объекты недвижимости, не соответствующие градостроительным нормам_00-022_Август/06ad885e-9a7f-4b3b-91f1-74276d86523a.jpg","open")</f>
        <v/>
      </c>
      <c r="C7636" t="inlineStr">
        <is>
          <t>685d9054-b74f-49ab-857b-109fd2cec80d</t>
        </is>
      </c>
      <c r="D7636" t="n">
        <v>55.63028</v>
      </c>
      <c r="E7636" t="n">
        <v>37.50984</v>
      </c>
      <c r="F7636" t="inlineStr"/>
      <c r="G7636" t="inlineStr"/>
      <c r="H7636" t="inlineStr"/>
    </row>
    <row r="7637">
      <c r="A7637" t="inlineStr">
        <is>
          <t>0c9e1939-d0c3-4de1-ac06-57a6a5ff2856.jpg</t>
        </is>
      </c>
      <c r="B7637">
        <f>HYPERLINK("Объекты недвижимости, не соответствующие градостроительным нормам_00-022_Август/0c9e1939-d0c3-4de1-ac06-57a6a5ff2856.jpg","open")</f>
        <v/>
      </c>
      <c r="C7637" t="inlineStr">
        <is>
          <t>caa4772d-6278-4484-a046-ee25514bf521</t>
        </is>
      </c>
      <c r="D7637" t="n">
        <v>55.68019</v>
      </c>
      <c r="E7637" t="n">
        <v>37.49592</v>
      </c>
      <c r="F7637" t="inlineStr"/>
      <c r="G7637" t="inlineStr"/>
      <c r="H7637" t="inlineStr"/>
    </row>
    <row r="7638">
      <c r="A7638" t="inlineStr">
        <is>
          <t>842b4629-f111-40fa-8b70-fc058e923336.jpg</t>
        </is>
      </c>
      <c r="B7638">
        <f>HYPERLINK("Объекты недвижимости, не соответствующие градостроительным нормам_00-022_Август/842b4629-f111-40fa-8b70-fc058e923336.jpg","open")</f>
        <v/>
      </c>
      <c r="C7638" t="inlineStr">
        <is>
          <t>8996eb30-6497-4318-8a0e-b95314b8172e</t>
        </is>
      </c>
      <c r="D7638" t="n">
        <v>55.66314</v>
      </c>
      <c r="E7638" t="n">
        <v>37.77222</v>
      </c>
      <c r="F7638" t="inlineStr"/>
      <c r="G7638" t="inlineStr"/>
      <c r="H7638" t="inlineStr"/>
    </row>
    <row r="7639">
      <c r="A7639" t="inlineStr">
        <is>
          <t>c001ec2e-51b5-41b3-a8e2-a12f39badf4d.jpg</t>
        </is>
      </c>
      <c r="B7639">
        <f>HYPERLINK("Объекты недвижимости, не соответствующие градостроительным нормам_00-022_Август/c001ec2e-51b5-41b3-a8e2-a12f39badf4d.jpg","open")</f>
        <v/>
      </c>
      <c r="C7639" t="inlineStr">
        <is>
          <t>b0b7ea82-53be-40d0-b992-e2fd18611d5c</t>
        </is>
      </c>
      <c r="D7639" t="n">
        <v>55.68972</v>
      </c>
      <c r="E7639" t="n">
        <v>37.8571</v>
      </c>
      <c r="F7639" t="inlineStr"/>
      <c r="G7639" t="inlineStr"/>
      <c r="H7639" t="inlineStr"/>
    </row>
    <row r="7640">
      <c r="A7640" t="inlineStr">
        <is>
          <t>1431747a-7fce-43bd-a1c8-b352ed29bc1f.jpg</t>
        </is>
      </c>
      <c r="B7640">
        <f>HYPERLINK("Объекты недвижимости, не соответствующие градостроительным нормам_00-022_Август/1431747a-7fce-43bd-a1c8-b352ed29bc1f.jpg","open")</f>
        <v/>
      </c>
      <c r="C7640" t="inlineStr">
        <is>
          <t>12e795ad-2aa7-49de-b2da-2c6aa35a4559</t>
        </is>
      </c>
      <c r="D7640" t="n">
        <v>55.63671</v>
      </c>
      <c r="E7640" t="n">
        <v>37.52729</v>
      </c>
      <c r="F7640" t="inlineStr"/>
      <c r="G7640" t="inlineStr"/>
      <c r="H7640" t="inlineStr"/>
    </row>
    <row r="7641">
      <c r="A7641" t="inlineStr">
        <is>
          <t>ccc1fe36-981d-4582-92e9-dfe4f4ee5ec8.jpg</t>
        </is>
      </c>
      <c r="B7641">
        <f>HYPERLINK("Объекты недвижимости, не соответствующие градостроительным нормам_00-022_Август/ccc1fe36-981d-4582-92e9-dfe4f4ee5ec8.jpg","open")</f>
        <v/>
      </c>
      <c r="C7641" t="inlineStr">
        <is>
          <t>e26f5fc2-1353-4f29-85f3-87c56419161c</t>
        </is>
      </c>
      <c r="D7641" t="n">
        <v>55.85621</v>
      </c>
      <c r="E7641" t="n">
        <v>37.53868</v>
      </c>
      <c r="F7641" t="inlineStr"/>
      <c r="G7641" t="inlineStr"/>
      <c r="H7641" t="inlineStr"/>
    </row>
    <row r="7642">
      <c r="A7642" t="inlineStr">
        <is>
          <t>8f2c394f-7566-4499-b367-55fd9d6ad8a3.jpg</t>
        </is>
      </c>
      <c r="B7642">
        <f>HYPERLINK("Объекты недвижимости, не соответствующие градостроительным нормам_00-022_Август/8f2c394f-7566-4499-b367-55fd9d6ad8a3.jpg","open")</f>
        <v/>
      </c>
      <c r="C7642" t="inlineStr">
        <is>
          <t>1231bbc5-e64c-4dc7-9acc-77710f47607a</t>
        </is>
      </c>
      <c r="D7642" t="n">
        <v>55.62807</v>
      </c>
      <c r="E7642" t="n">
        <v>37.5097</v>
      </c>
      <c r="F7642" t="inlineStr"/>
      <c r="G7642" t="inlineStr"/>
      <c r="H7642" t="inlineStr"/>
    </row>
    <row r="7643">
      <c r="A7643" t="inlineStr">
        <is>
          <t>583b433b-ddc1-4b8d-a2f9-ca4a1f3f7b01.jpg</t>
        </is>
      </c>
      <c r="B7643">
        <f>HYPERLINK("Объекты недвижимости, не соответствующие градостроительным нормам_00-022_Август/583b433b-ddc1-4b8d-a2f9-ca4a1f3f7b01.jpg","open")</f>
        <v/>
      </c>
      <c r="C7643" t="inlineStr">
        <is>
          <t>685d9054-b74f-49ab-857b-109fd2cec80d</t>
        </is>
      </c>
      <c r="D7643" t="n">
        <v>55.62808</v>
      </c>
      <c r="E7643" t="n">
        <v>37.50976</v>
      </c>
      <c r="F7643" t="inlineStr"/>
      <c r="G7643" t="inlineStr"/>
      <c r="H7643" t="inlineStr"/>
    </row>
    <row r="7644">
      <c r="A7644" t="inlineStr">
        <is>
          <t>fae931ee-fb49-4a09-b20c-56ca313eb936.jpg</t>
        </is>
      </c>
      <c r="B7644">
        <f>HYPERLINK("Объекты недвижимости, не соответствующие градостроительным нормам_00-022_Август/fae931ee-fb49-4a09-b20c-56ca313eb936.jpg","open")</f>
        <v/>
      </c>
      <c r="C7644" t="inlineStr">
        <is>
          <t>29ad9edb-d533-4272-a986-be24eb004851</t>
        </is>
      </c>
      <c r="D7644" t="n">
        <v>55.69967</v>
      </c>
      <c r="E7644" t="n">
        <v>37.47717</v>
      </c>
      <c r="F7644" t="inlineStr"/>
      <c r="G7644" t="inlineStr"/>
      <c r="H7644" t="inlineStr"/>
    </row>
    <row r="7645">
      <c r="A7645" t="inlineStr">
        <is>
          <t>adcfc86e-840f-4b10-8d63-123bae743575.jpg</t>
        </is>
      </c>
      <c r="B7645">
        <f>HYPERLINK("Объекты недвижимости, не соответствующие градостроительным нормам_00-022_Август/adcfc86e-840f-4b10-8d63-123bae743575.jpg","open")</f>
        <v/>
      </c>
      <c r="C7645" t="inlineStr">
        <is>
          <t>93848fc8-17e7-4748-9ebc-c7e379e11d2f</t>
        </is>
      </c>
      <c r="D7645" t="n">
        <v>55.89432</v>
      </c>
      <c r="E7645" t="n">
        <v>37.64546</v>
      </c>
      <c r="F7645" t="inlineStr"/>
      <c r="G7645" t="inlineStr"/>
      <c r="H7645" t="inlineStr"/>
    </row>
    <row r="7646">
      <c r="A7646" t="inlineStr">
        <is>
          <t>46fa019f-ed7a-4272-be38-83f771fed5b1.jpg</t>
        </is>
      </c>
      <c r="B7646">
        <f>HYPERLINK("Объекты недвижимости, не соответствующие градостроительным нормам_00-022_Август/46fa019f-ed7a-4272-be38-83f771fed5b1.jpg","open")</f>
        <v/>
      </c>
      <c r="C7646" t="inlineStr">
        <is>
          <t>8cde1fd0-eca1-4510-86ab-3c743b65fdfc</t>
        </is>
      </c>
      <c r="D7646" t="n">
        <v>55.62202</v>
      </c>
      <c r="E7646" t="n">
        <v>37.60588</v>
      </c>
      <c r="F7646" t="inlineStr"/>
      <c r="G7646" t="inlineStr"/>
      <c r="H7646" t="inlineStr"/>
    </row>
    <row r="7647">
      <c r="A7647" t="inlineStr">
        <is>
          <t>a4fe3404-a2dd-41c3-af03-07b9c618d5af.jpg</t>
        </is>
      </c>
      <c r="B7647">
        <f>HYPERLINK("Объекты недвижимости, не соответствующие градостроительным нормам_00-022_Август/a4fe3404-a2dd-41c3-af03-07b9c618d5af.jpg","open")</f>
        <v/>
      </c>
      <c r="C7647" t="inlineStr">
        <is>
          <t>1231bbc5-e64c-4dc7-9acc-77710f47607a</t>
        </is>
      </c>
      <c r="D7647" t="n">
        <v>55.62817</v>
      </c>
      <c r="E7647" t="n">
        <v>37.50499</v>
      </c>
      <c r="F7647" t="inlineStr"/>
      <c r="G7647" t="inlineStr"/>
      <c r="H7647" t="inlineStr"/>
    </row>
    <row r="7648">
      <c r="A7648" t="inlineStr">
        <is>
          <t>a571c8fe-0a3b-4283-aca6-b2978354c09c.jpg</t>
        </is>
      </c>
      <c r="B7648">
        <f>HYPERLINK("Объекты недвижимости, не соответствующие градостроительным нормам_00-022_Август/a571c8fe-0a3b-4283-aca6-b2978354c09c.jpg","open")</f>
        <v/>
      </c>
      <c r="C7648" t="inlineStr">
        <is>
          <t>31a713a9-b910-424b-b847-e0eaa2f70c70</t>
        </is>
      </c>
      <c r="D7648" t="n">
        <v>55.75266</v>
      </c>
      <c r="E7648" t="n">
        <v>37.57975</v>
      </c>
      <c r="F7648" t="inlineStr"/>
      <c r="G7648" t="inlineStr"/>
      <c r="H7648" t="inlineStr"/>
    </row>
    <row r="7649">
      <c r="A7649" t="inlineStr">
        <is>
          <t>71c27046-eb21-45f2-a71a-cfac74582493.jpg</t>
        </is>
      </c>
      <c r="B7649">
        <f>HYPERLINK("Объекты недвижимости, не соответствующие градостроительным нормам_00-022_Август/71c27046-eb21-45f2-a71a-cfac74582493.jpg","open")</f>
        <v/>
      </c>
      <c r="C7649" t="inlineStr">
        <is>
          <t>685d9054-b74f-49ab-857b-109fd2cec80d</t>
        </is>
      </c>
      <c r="D7649" t="n">
        <v>55.62822</v>
      </c>
      <c r="E7649" t="n">
        <v>37.50539</v>
      </c>
      <c r="F7649" t="inlineStr"/>
      <c r="G7649" t="inlineStr"/>
      <c r="H7649" t="inlineStr"/>
    </row>
    <row r="7650">
      <c r="A7650" t="inlineStr">
        <is>
          <t>bb3a3812-ecc7-43d3-bd53-0f831b1a28ce.jpg</t>
        </is>
      </c>
      <c r="B7650">
        <f>HYPERLINK("Объекты недвижимости, не соответствующие градостроительным нормам_00-022_Август/bb3a3812-ecc7-43d3-bd53-0f831b1a28ce.jpg","open")</f>
        <v/>
      </c>
      <c r="C7650" t="inlineStr">
        <is>
          <t>789f6c51-64ee-4078-b7bd-443af8b8b68a</t>
        </is>
      </c>
      <c r="D7650" t="n">
        <v>55.90317</v>
      </c>
      <c r="E7650" t="n">
        <v>37.58054</v>
      </c>
      <c r="F7650" t="inlineStr"/>
      <c r="G7650" t="inlineStr"/>
      <c r="H7650" t="inlineStr"/>
    </row>
    <row r="7651">
      <c r="A7651" t="inlineStr">
        <is>
          <t>cd8e6b88-bebf-4655-8431-e93c5934e488.jpg</t>
        </is>
      </c>
      <c r="B7651">
        <f>HYPERLINK("Объекты недвижимости, не соответствующие градостроительным нормам_00-022_Август/cd8e6b88-bebf-4655-8431-e93c5934e488.jpg","open")</f>
        <v/>
      </c>
      <c r="C7651" t="inlineStr">
        <is>
          <t>2acfb2da-e3f6-464c-bd17-4b713522c142</t>
        </is>
      </c>
      <c r="D7651" t="n">
        <v>55.90318</v>
      </c>
      <c r="E7651" t="n">
        <v>37.58039</v>
      </c>
      <c r="F7651" t="inlineStr"/>
      <c r="G7651" t="inlineStr"/>
      <c r="H7651" t="inlineStr"/>
    </row>
    <row r="7652">
      <c r="A7652" t="inlineStr">
        <is>
          <t>d117497f-c6bb-455a-8a7c-eaf69d99344a.jpg</t>
        </is>
      </c>
      <c r="B7652">
        <f>HYPERLINK("Объекты недвижимости, не соответствующие градостроительным нормам_00-022_Август/d117497f-c6bb-455a-8a7c-eaf69d99344a.jpg","open")</f>
        <v/>
      </c>
      <c r="C7652" t="inlineStr">
        <is>
          <t>8cde1fd0-eca1-4510-86ab-3c743b65fdfc</t>
        </is>
      </c>
      <c r="D7652" t="n">
        <v>55.60661</v>
      </c>
      <c r="E7652" t="n">
        <v>37.60795</v>
      </c>
      <c r="F7652" t="inlineStr"/>
      <c r="G7652" t="inlineStr"/>
      <c r="H7652" t="inlineStr"/>
    </row>
    <row r="7653">
      <c r="A7653" t="inlineStr">
        <is>
          <t>1b0422ed-18ef-48fc-a9f4-03790b9b9fae.jpg</t>
        </is>
      </c>
      <c r="B7653">
        <f>HYPERLINK("Объекты недвижимости, не соответствующие градостроительным нормам_00-022_Август/1b0422ed-18ef-48fc-a9f4-03790b9b9fae.jpg","open")</f>
        <v/>
      </c>
      <c r="C7653" t="inlineStr">
        <is>
          <t>685d9054-b74f-49ab-857b-109fd2cec80d</t>
        </is>
      </c>
      <c r="D7653" t="n">
        <v>55.62566</v>
      </c>
      <c r="E7653" t="n">
        <v>37.50854</v>
      </c>
      <c r="F7653" t="inlineStr"/>
      <c r="G7653" t="inlineStr"/>
      <c r="H7653" t="inlineStr"/>
    </row>
    <row r="7654">
      <c r="A7654" t="inlineStr">
        <is>
          <t>ae7b1380-c00f-48d2-9fbc-a711073aa923.jpg</t>
        </is>
      </c>
      <c r="B7654">
        <f>HYPERLINK("Объекты недвижимости, не соответствующие градостроительным нормам_00-022_Август/ae7b1380-c00f-48d2-9fbc-a711073aa923.jpg","open")</f>
        <v/>
      </c>
      <c r="C7654" t="inlineStr">
        <is>
          <t>ffd931da-542f-43e9-979f-5552b17fe3dc</t>
        </is>
      </c>
      <c r="D7654" t="n">
        <v>55.8172</v>
      </c>
      <c r="E7654" t="n">
        <v>37.73788</v>
      </c>
      <c r="F7654" t="inlineStr"/>
      <c r="G7654" t="inlineStr"/>
      <c r="H7654" t="inlineStr"/>
    </row>
    <row r="7655">
      <c r="A7655" t="inlineStr">
        <is>
          <t>6b826c53-8b50-4638-bc2b-7895cba7705f.jpg</t>
        </is>
      </c>
      <c r="B7655">
        <f>HYPERLINK("Объекты недвижимости, не соответствующие градостроительным нормам_00-022_Август/6b826c53-8b50-4638-bc2b-7895cba7705f.jpg","open")</f>
        <v/>
      </c>
      <c r="C7655" t="inlineStr">
        <is>
          <t>dd48f742-b338-42e2-bbaf-b3a9701b437c</t>
        </is>
      </c>
      <c r="D7655" t="n">
        <v>55.78256</v>
      </c>
      <c r="E7655" t="n">
        <v>37.69679</v>
      </c>
      <c r="F7655" t="inlineStr"/>
      <c r="G7655" t="inlineStr"/>
      <c r="H7655" t="inlineStr"/>
    </row>
    <row r="7656">
      <c r="A7656" t="inlineStr">
        <is>
          <t>4e325d2e-1bdf-43c3-83bd-5f071eb12047.jpg</t>
        </is>
      </c>
      <c r="B7656">
        <f>HYPERLINK("Объекты недвижимости, не соответствующие градостроительным нормам_00-022_Август/4e325d2e-1bdf-43c3-83bd-5f071eb12047.jpg","open")</f>
        <v/>
      </c>
      <c r="C7656" t="inlineStr">
        <is>
          <t>1231bbc5-e64c-4dc7-9acc-77710f47607a</t>
        </is>
      </c>
      <c r="D7656" t="n">
        <v>55.62393</v>
      </c>
      <c r="E7656" t="n">
        <v>37.50482</v>
      </c>
      <c r="F7656" t="inlineStr"/>
      <c r="G7656" t="inlineStr"/>
      <c r="H7656" t="inlineStr"/>
    </row>
    <row r="7657">
      <c r="A7657" t="inlineStr">
        <is>
          <t>0108b6c9-787c-473c-a520-b5b35260bc1b.jpg</t>
        </is>
      </c>
      <c r="B7657">
        <f>HYPERLINK("Объекты недвижимости, не соответствующие градостроительным нормам_00-022_Август/0108b6c9-787c-473c-a520-b5b35260bc1b.jpg","open")</f>
        <v/>
      </c>
      <c r="C7657" t="inlineStr">
        <is>
          <t>1c951e11-4940-43c6-a447-394097e5609a</t>
        </is>
      </c>
      <c r="D7657" t="n">
        <v>55.61293</v>
      </c>
      <c r="E7657" t="n">
        <v>37.63187</v>
      </c>
      <c r="F7657" t="inlineStr"/>
      <c r="G7657" t="inlineStr"/>
      <c r="H7657" t="inlineStr"/>
    </row>
    <row r="7658">
      <c r="A7658" t="inlineStr">
        <is>
          <t>4ae347e9-e36f-4e69-a812-05e3e50de008.jpg</t>
        </is>
      </c>
      <c r="B7658">
        <f>HYPERLINK("Объекты недвижимости, не соответствующие градостроительным нормам_00-022_Август/4ae347e9-e36f-4e69-a812-05e3e50de008.jpg","open")</f>
        <v/>
      </c>
      <c r="C7658" t="inlineStr">
        <is>
          <t>685d9054-b74f-49ab-857b-109fd2cec80d</t>
        </is>
      </c>
      <c r="D7658" t="n">
        <v>55.62394</v>
      </c>
      <c r="E7658" t="n">
        <v>37.50484</v>
      </c>
      <c r="F7658" t="inlineStr"/>
      <c r="G7658" t="inlineStr"/>
      <c r="H7658" t="inlineStr"/>
    </row>
    <row r="7659">
      <c r="A7659" t="inlineStr">
        <is>
          <t>faa61b06-f546-4eee-9313-b6264e32c1a0.jpg</t>
        </is>
      </c>
      <c r="B7659">
        <f>HYPERLINK("Объекты недвижимости, не соответствующие градостроительным нормам_00-022_Август/faa61b06-f546-4eee-9313-b6264e32c1a0.jpg","open")</f>
        <v/>
      </c>
      <c r="C7659" t="inlineStr">
        <is>
          <t>8cde1fd0-eca1-4510-86ab-3c743b65fdfc</t>
        </is>
      </c>
      <c r="D7659" t="n">
        <v>55.61289</v>
      </c>
      <c r="E7659" t="n">
        <v>37.63155</v>
      </c>
      <c r="F7659" t="inlineStr"/>
      <c r="G7659" t="inlineStr"/>
      <c r="H7659" t="inlineStr"/>
    </row>
    <row r="7660">
      <c r="A7660" t="inlineStr">
        <is>
          <t>2979bce5-3b37-456a-b26e-9650381651a6.jpg</t>
        </is>
      </c>
      <c r="B7660">
        <f>HYPERLINK("Объекты недвижимости, не соответствующие градостроительным нормам_00-022_Август/2979bce5-3b37-456a-b26e-9650381651a6.jpg","open")</f>
        <v/>
      </c>
      <c r="C7660" t="inlineStr">
        <is>
          <t>12e795ad-2aa7-49de-b2da-2c6aa35a4559</t>
        </is>
      </c>
      <c r="D7660" t="n">
        <v>55.63461</v>
      </c>
      <c r="E7660" t="n">
        <v>37.52639</v>
      </c>
      <c r="F7660" t="inlineStr"/>
      <c r="G7660" t="inlineStr"/>
      <c r="H7660" t="inlineStr"/>
    </row>
    <row r="7661">
      <c r="A7661" t="inlineStr">
        <is>
          <t>c0735037-d463-4261-a693-6c2abbeed76a.jpg</t>
        </is>
      </c>
      <c r="B7661">
        <f>HYPERLINK("Объекты недвижимости, не соответствующие градостроительным нормам_00-022_Август/c0735037-d463-4261-a693-6c2abbeed76a.jpg","open")</f>
        <v/>
      </c>
      <c r="C7661" t="inlineStr">
        <is>
          <t>8cde1fd0-eca1-4510-86ab-3c743b65fdfc</t>
        </is>
      </c>
      <c r="D7661" t="n">
        <v>55.61662</v>
      </c>
      <c r="E7661" t="n">
        <v>37.62674</v>
      </c>
      <c r="F7661" t="inlineStr"/>
      <c r="G7661" t="inlineStr"/>
      <c r="H7661" t="inlineStr"/>
    </row>
    <row r="7662">
      <c r="A7662" t="inlineStr">
        <is>
          <t>cd3eb107-06c7-4a82-a78d-264de485c546.jpg</t>
        </is>
      </c>
      <c r="B7662">
        <f>HYPERLINK("Объекты недвижимости, не соответствующие градостроительным нормам_00-022_Август/cd3eb107-06c7-4a82-a78d-264de485c546.jpg","open")</f>
        <v/>
      </c>
      <c r="C7662" t="inlineStr">
        <is>
          <t>ad64e6b9-1ed5-44d7-a101-4945a1f9dec6</t>
        </is>
      </c>
      <c r="D7662" t="n">
        <v>55.63461</v>
      </c>
      <c r="E7662" t="n">
        <v>37.52638</v>
      </c>
      <c r="F7662" t="inlineStr"/>
      <c r="G7662" t="inlineStr"/>
      <c r="H7662" t="inlineStr"/>
    </row>
    <row r="7663">
      <c r="A7663" t="inlineStr">
        <is>
          <t>115f63e7-6802-4d0e-80eb-c8173e2be563.jpg</t>
        </is>
      </c>
      <c r="B7663">
        <f>HYPERLINK("Объекты недвижимости, не соответствующие градостроительным нормам_00-022_Август/115f63e7-6802-4d0e-80eb-c8173e2be563.jpg","open")</f>
        <v/>
      </c>
      <c r="C7663" t="inlineStr">
        <is>
          <t>685d9054-b74f-49ab-857b-109fd2cec80d</t>
        </is>
      </c>
      <c r="D7663" t="n">
        <v>55.62624</v>
      </c>
      <c r="E7663" t="n">
        <v>37.50538</v>
      </c>
      <c r="F7663" t="inlineStr"/>
      <c r="G7663" t="inlineStr"/>
      <c r="H7663" t="inlineStr"/>
    </row>
    <row r="7664">
      <c r="A7664" t="inlineStr">
        <is>
          <t>87c74b14-e2e8-4a27-8920-5c466fd08f70.jpg</t>
        </is>
      </c>
      <c r="B7664">
        <f>HYPERLINK("Объекты недвижимости, не соответствующие градостроительным нормам_00-022_Август/87c74b14-e2e8-4a27-8920-5c466fd08f70.jpg","open")</f>
        <v/>
      </c>
      <c r="C7664" t="inlineStr">
        <is>
          <t>1231bbc5-e64c-4dc7-9acc-77710f47607a</t>
        </is>
      </c>
      <c r="D7664" t="n">
        <v>55.62624</v>
      </c>
      <c r="E7664" t="n">
        <v>37.50538</v>
      </c>
      <c r="F7664" t="inlineStr"/>
      <c r="G7664" t="inlineStr"/>
      <c r="H7664" t="inlineStr"/>
    </row>
    <row r="7665">
      <c r="A7665" t="inlineStr">
        <is>
          <t>2c5d8246-e41e-4220-ac98-b61a1d7d52ed.jpg</t>
        </is>
      </c>
      <c r="B7665">
        <f>HYPERLINK("Объекты недвижимости, не соответствующие градостроительным нормам_00-022_Август/2c5d8246-e41e-4220-ac98-b61a1d7d52ed.jpg","open")</f>
        <v/>
      </c>
      <c r="C7665" t="inlineStr">
        <is>
          <t>1231bbc5-e64c-4dc7-9acc-77710f47607a</t>
        </is>
      </c>
      <c r="D7665" t="n">
        <v>55.62617</v>
      </c>
      <c r="E7665" t="n">
        <v>37.50496</v>
      </c>
      <c r="F7665" t="inlineStr"/>
      <c r="G7665" t="inlineStr"/>
      <c r="H7665" t="inlineStr"/>
    </row>
    <row r="7666">
      <c r="A7666" t="inlineStr">
        <is>
          <t>f490ad92-2ef1-4d4f-96a4-21334dc03168.jpg</t>
        </is>
      </c>
      <c r="B7666">
        <f>HYPERLINK("Объекты недвижимости, не соответствующие градостроительным нормам_00-022_Август/f490ad92-2ef1-4d4f-96a4-21334dc03168.jpg","open")</f>
        <v/>
      </c>
      <c r="C7666" t="inlineStr">
        <is>
          <t>685d9054-b74f-49ab-857b-109fd2cec80d</t>
        </is>
      </c>
      <c r="D7666" t="n">
        <v>55.62617</v>
      </c>
      <c r="E7666" t="n">
        <v>37.50492</v>
      </c>
      <c r="F7666" t="inlineStr"/>
      <c r="G7666" t="inlineStr"/>
      <c r="H7666" t="inlineStr"/>
    </row>
    <row r="7667">
      <c r="A7667" t="inlineStr">
        <is>
          <t>987f7eb4-6128-4248-9677-ced5831aa02a.jpg</t>
        </is>
      </c>
      <c r="B7667">
        <f>HYPERLINK("Объекты недвижимости, не соответствующие градостроительным нормам_00-022_Август/987f7eb4-6128-4248-9677-ced5831aa02a.jpg","open")</f>
        <v/>
      </c>
      <c r="C7667" t="inlineStr">
        <is>
          <t>ed2bf0f1-3a66-4913-896e-4420a9796c0b</t>
        </is>
      </c>
      <c r="D7667" t="n">
        <v>55.6334</v>
      </c>
      <c r="E7667" t="n">
        <v>37.52005</v>
      </c>
      <c r="F7667" t="inlineStr"/>
      <c r="G7667" t="inlineStr"/>
      <c r="H7667" t="inlineStr"/>
    </row>
    <row r="7668">
      <c r="A7668" t="inlineStr">
        <is>
          <t>ff42e4ef-20e4-4f27-9b85-cae283d249d0.jpg</t>
        </is>
      </c>
      <c r="B7668">
        <f>HYPERLINK("Объекты недвижимости, не соответствующие градостроительным нормам_00-022_Август/ff42e4ef-20e4-4f27-9b85-cae283d249d0.jpg","open")</f>
        <v/>
      </c>
      <c r="C7668" t="inlineStr">
        <is>
          <t>8cde1fd0-eca1-4510-86ab-3c743b65fdfc</t>
        </is>
      </c>
      <c r="D7668" t="n">
        <v>55.61575</v>
      </c>
      <c r="E7668" t="n">
        <v>37.63229</v>
      </c>
      <c r="F7668" t="inlineStr"/>
      <c r="G7668" t="inlineStr"/>
      <c r="H7668" t="inlineStr"/>
    </row>
    <row r="7669">
      <c r="A7669" t="inlineStr">
        <is>
          <t>1736c4e0-33bb-4c20-95c2-692388acba10.jpg</t>
        </is>
      </c>
      <c r="B7669">
        <f>HYPERLINK("Объекты недвижимости, не соответствующие градостроительным нормам_00-022_Август/1736c4e0-33bb-4c20-95c2-692388acba10.jpg","open")</f>
        <v/>
      </c>
      <c r="C7669" t="inlineStr">
        <is>
          <t>1c951e11-4940-43c6-a447-394097e5609a</t>
        </is>
      </c>
      <c r="D7669" t="n">
        <v>55.61575</v>
      </c>
      <c r="E7669" t="n">
        <v>37.63229</v>
      </c>
      <c r="F7669" t="inlineStr"/>
      <c r="G7669" t="inlineStr"/>
      <c r="H7669" t="inlineStr"/>
    </row>
    <row r="7670">
      <c r="A7670" t="inlineStr">
        <is>
          <t>be73355b-2294-491d-8421-23a55f27e424.jpg</t>
        </is>
      </c>
      <c r="B7670">
        <f>HYPERLINK("Объекты недвижимости, не соответствующие градостроительным нормам_00-022_Август/be73355b-2294-491d-8421-23a55f27e424.jpg","open")</f>
        <v/>
      </c>
      <c r="C7670" t="inlineStr">
        <is>
          <t>caa4772d-6278-4484-a046-ee25514bf521</t>
        </is>
      </c>
      <c r="D7670" t="n">
        <v>55.67524</v>
      </c>
      <c r="E7670" t="n">
        <v>37.50143</v>
      </c>
      <c r="F7670" t="inlineStr"/>
      <c r="G7670" t="inlineStr"/>
      <c r="H7670" t="inlineStr"/>
    </row>
    <row r="7671">
      <c r="A7671" t="inlineStr">
        <is>
          <t>cfbf8c5c-76ef-4bdf-9c7d-b97fdfa59688.jpg</t>
        </is>
      </c>
      <c r="B7671">
        <f>HYPERLINK("Объекты недвижимости, не соответствующие градостроительным нормам_00-022_Август/cfbf8c5c-76ef-4bdf-9c7d-b97fdfa59688.jpg","open")</f>
        <v/>
      </c>
      <c r="C7671" t="inlineStr">
        <is>
          <t>8cde1fd0-eca1-4510-86ab-3c743b65fdfc</t>
        </is>
      </c>
      <c r="D7671" t="n">
        <v>55.61891</v>
      </c>
      <c r="E7671" t="n">
        <v>37.62859</v>
      </c>
      <c r="F7671" t="inlineStr"/>
      <c r="G7671" t="inlineStr"/>
      <c r="H7671" t="inlineStr"/>
    </row>
    <row r="7672">
      <c r="A7672" t="inlineStr">
        <is>
          <t>bf5e279b-6e59-40d6-946d-364242bfcfc1.jpg</t>
        </is>
      </c>
      <c r="B7672">
        <f>HYPERLINK("Объекты недвижимости, не соответствующие градостроительным нормам_00-022_Август/bf5e279b-6e59-40d6-946d-364242bfcfc1.jpg","open")</f>
        <v/>
      </c>
      <c r="C7672" t="inlineStr">
        <is>
          <t>93848fc8-17e7-4748-9ebc-c7e379e11d2f</t>
        </is>
      </c>
      <c r="D7672" t="n">
        <v>55.88754</v>
      </c>
      <c r="E7672" t="n">
        <v>37.67068</v>
      </c>
      <c r="F7672" t="inlineStr"/>
      <c r="G7672" t="inlineStr"/>
      <c r="H7672" t="inlineStr"/>
    </row>
    <row r="7673">
      <c r="A7673" t="inlineStr">
        <is>
          <t>622017b3-3575-4b23-b095-3c37e2d8e8af.jpg</t>
        </is>
      </c>
      <c r="B7673">
        <f>HYPERLINK("Объекты недвижимости, не соответствующие градостроительным нормам_00-022_Август/622017b3-3575-4b23-b095-3c37e2d8e8af.jpg","open")</f>
        <v/>
      </c>
      <c r="C7673" t="inlineStr">
        <is>
          <t>cbf95b01-f708-45a3-9ec0-3603469b538e</t>
        </is>
      </c>
      <c r="D7673" t="n">
        <v>55.84622</v>
      </c>
      <c r="E7673" t="n">
        <v>37.56212</v>
      </c>
      <c r="F7673" t="inlineStr"/>
      <c r="G7673" t="inlineStr"/>
      <c r="H7673" t="inlineStr"/>
    </row>
    <row r="7674">
      <c r="A7674" t="inlineStr">
        <is>
          <t>b9c1e1c8-b5dc-461b-bf02-6fb87b5249b6.jpg</t>
        </is>
      </c>
      <c r="B7674">
        <f>HYPERLINK("Объекты недвижимости, не соответствующие градостроительным нормам_00-022_Август/b9c1e1c8-b5dc-461b-bf02-6fb87b5249b6.jpg","open")</f>
        <v/>
      </c>
      <c r="C7674" t="inlineStr">
        <is>
          <t>caa4772d-6278-4484-a046-ee25514bf521</t>
        </is>
      </c>
      <c r="D7674" t="n">
        <v>55.67508</v>
      </c>
      <c r="E7674" t="n">
        <v>37.4857</v>
      </c>
      <c r="F7674" t="inlineStr"/>
      <c r="G7674" t="inlineStr"/>
      <c r="H7674" t="inlineStr"/>
    </row>
    <row r="7675">
      <c r="A7675" t="inlineStr">
        <is>
          <t>f17a4937-b70f-4aa6-b1a0-6dc15123dd67.jpg</t>
        </is>
      </c>
      <c r="B7675">
        <f>HYPERLINK("Объекты недвижимости, не соответствующие градостроительным нормам_00-022_Август/f17a4937-b70f-4aa6-b1a0-6dc15123dd67.jpg","open")</f>
        <v/>
      </c>
      <c r="C7675" t="inlineStr">
        <is>
          <t>797901ad-53b1-41b8-99d1-d59d59c863d5</t>
        </is>
      </c>
      <c r="D7675" t="n">
        <v>55.80153</v>
      </c>
      <c r="E7675" t="n">
        <v>37.74542</v>
      </c>
      <c r="F7675" t="inlineStr"/>
      <c r="G7675" t="inlineStr"/>
      <c r="H7675" t="inlineStr"/>
    </row>
    <row r="7676">
      <c r="A7676" t="inlineStr">
        <is>
          <t>68b7b553-afc0-484d-a8ff-c5e4270110b7.jpg</t>
        </is>
      </c>
      <c r="B7676">
        <f>HYPERLINK("Объекты недвижимости, не соответствующие градостроительным нормам_00-022_Август/68b7b553-afc0-484d-a8ff-c5e4270110b7.jpg","open")</f>
        <v/>
      </c>
      <c r="C7676" t="inlineStr">
        <is>
          <t>b23a39fd-838c-435a-bacd-b4d6bb842c62</t>
        </is>
      </c>
      <c r="D7676" t="n">
        <v>55.74797</v>
      </c>
      <c r="E7676" t="n">
        <v>37.7007</v>
      </c>
      <c r="F7676" t="inlineStr"/>
      <c r="G7676" t="inlineStr"/>
      <c r="H7676" t="inlineStr"/>
    </row>
    <row r="7677">
      <c r="A7677" t="inlineStr">
        <is>
          <t>02be6539-382e-4990-a878-899ec7c2dd4e.jpg</t>
        </is>
      </c>
      <c r="B7677">
        <f>HYPERLINK("Объекты недвижимости, не соответствующие градостроительным нормам_00-022_Август/02be6539-382e-4990-a878-899ec7c2dd4e.jpg","open")</f>
        <v/>
      </c>
      <c r="C7677" t="inlineStr">
        <is>
          <t>50e4626c-a80e-42ab-b999-b5092c2c063f</t>
        </is>
      </c>
      <c r="D7677" t="n">
        <v>55.68974</v>
      </c>
      <c r="E7677" t="n">
        <v>37.71717</v>
      </c>
      <c r="F7677" t="inlineStr"/>
      <c r="G7677" t="inlineStr"/>
      <c r="H7677" t="inlineStr"/>
    </row>
    <row r="7678">
      <c r="A7678" t="inlineStr">
        <is>
          <t>49961a0b-9f98-429b-8fb8-aa7c176309e5.jpg</t>
        </is>
      </c>
      <c r="B7678">
        <f>HYPERLINK("Объекты недвижимости, не соответствующие градостроительным нормам_00-022_Август/49961a0b-9f98-429b-8fb8-aa7c176309e5.jpg","open")</f>
        <v/>
      </c>
      <c r="C7678" t="inlineStr">
        <is>
          <t>56702d00-3d38-4721-8f83-3846a59c1e44</t>
        </is>
      </c>
      <c r="D7678" t="n">
        <v>55.68974</v>
      </c>
      <c r="E7678" t="n">
        <v>37.71717</v>
      </c>
      <c r="F7678" t="inlineStr"/>
      <c r="G7678" t="inlineStr"/>
      <c r="H7678" t="inlineStr"/>
    </row>
    <row r="7679">
      <c r="A7679" t="inlineStr">
        <is>
          <t>50124bcf-ecd3-4d87-aae9-556b6fafba5a.jpg</t>
        </is>
      </c>
      <c r="B7679">
        <f>HYPERLINK("Объекты недвижимости, не соответствующие градостроительным нормам_00-022_Август/50124bcf-ecd3-4d87-aae9-556b6fafba5a.jpg","open")</f>
        <v/>
      </c>
      <c r="C7679" t="inlineStr">
        <is>
          <t>0dd30d74-4dbc-46a8-b638-91e1431bb398</t>
        </is>
      </c>
      <c r="D7679" t="n">
        <v>55.88832</v>
      </c>
      <c r="E7679" t="n">
        <v>37.6428</v>
      </c>
      <c r="F7679" t="inlineStr"/>
      <c r="G7679" t="inlineStr"/>
      <c r="H7679" t="inlineStr"/>
    </row>
    <row r="7680">
      <c r="A7680" t="inlineStr">
        <is>
          <t>42aa4f91-4ca7-4bb4-bd70-77091d241709.jpg</t>
        </is>
      </c>
      <c r="B7680">
        <f>HYPERLINK("Объекты недвижимости, не соответствующие градостроительным нормам_00-022_Август/42aa4f91-4ca7-4bb4-bd70-77091d241709.jpg","open")</f>
        <v/>
      </c>
      <c r="C7680" t="inlineStr">
        <is>
          <t>93848fc8-17e7-4748-9ebc-c7e379e11d2f</t>
        </is>
      </c>
      <c r="D7680" t="n">
        <v>55.88832</v>
      </c>
      <c r="E7680" t="n">
        <v>37.64286</v>
      </c>
      <c r="F7680" t="inlineStr"/>
      <c r="G7680" t="inlineStr"/>
      <c r="H7680" t="inlineStr"/>
    </row>
    <row r="7681">
      <c r="A7681" t="inlineStr">
        <is>
          <t>fc25e624-c35e-4c41-ab2e-94e0586c771b.jpg</t>
        </is>
      </c>
      <c r="B7681">
        <f>HYPERLINK("Объекты недвижимости, не соответствующие градостроительным нормам_00-022_Август/fc25e624-c35e-4c41-ab2e-94e0586c771b.jpg","open")</f>
        <v/>
      </c>
      <c r="C7681" t="inlineStr">
        <is>
          <t>936502dd-24a4-4256-9fdf-0d8fb72af3ed</t>
        </is>
      </c>
      <c r="D7681" t="n">
        <v>55.64714</v>
      </c>
      <c r="E7681" t="n">
        <v>37.66759</v>
      </c>
      <c r="F7681" t="inlineStr"/>
      <c r="G7681" t="inlineStr"/>
      <c r="H7681" t="inlineStr"/>
    </row>
    <row r="7682">
      <c r="A7682" t="inlineStr">
        <is>
          <t>b3ffff1b-a9cd-4103-97df-d761cd3cf2aa.jpg</t>
        </is>
      </c>
      <c r="B7682">
        <f>HYPERLINK("Объекты недвижимости, не соответствующие градостроительным нормам_00-022_Август/b3ffff1b-a9cd-4103-97df-d761cd3cf2aa.jpg","open")</f>
        <v/>
      </c>
      <c r="C7682" t="inlineStr">
        <is>
          <t>93848fc8-17e7-4748-9ebc-c7e379e11d2f</t>
        </is>
      </c>
      <c r="D7682" t="n">
        <v>55.88834</v>
      </c>
      <c r="E7682" t="n">
        <v>37.64256</v>
      </c>
      <c r="F7682" t="inlineStr"/>
      <c r="G7682" t="inlineStr"/>
      <c r="H7682" t="inlineStr"/>
    </row>
    <row r="7683">
      <c r="A7683" t="inlineStr">
        <is>
          <t>19a43852-8162-4ee8-9472-54f006d82fea.jpg</t>
        </is>
      </c>
      <c r="B7683">
        <f>HYPERLINK("Объекты недвижимости, не соответствующие градостроительным нормам_00-022_Август/19a43852-8162-4ee8-9472-54f006d82fea.jpg","open")</f>
        <v/>
      </c>
      <c r="C7683" t="inlineStr">
        <is>
          <t>93848fc8-17e7-4748-9ebc-c7e379e11d2f</t>
        </is>
      </c>
      <c r="D7683" t="n">
        <v>55.88831</v>
      </c>
      <c r="E7683" t="n">
        <v>37.64257</v>
      </c>
      <c r="F7683" t="inlineStr"/>
      <c r="G7683" t="inlineStr"/>
      <c r="H7683" t="inlineStr"/>
    </row>
    <row r="7684">
      <c r="A7684" t="inlineStr">
        <is>
          <t>4d9f2c98-9b49-4e21-a79d-5fe4646b0a8e.jpg</t>
        </is>
      </c>
      <c r="B7684">
        <f>HYPERLINK("Объекты недвижимости, не соответствующие градостроительным нормам_00-022_Август/4d9f2c98-9b49-4e21-a79d-5fe4646b0a8e.jpg","open")</f>
        <v/>
      </c>
      <c r="C7684" t="inlineStr">
        <is>
          <t>acedacc2-0d8b-4fc1-9622-25621a89d071</t>
        </is>
      </c>
      <c r="D7684" t="n">
        <v>55.80838</v>
      </c>
      <c r="E7684" t="n">
        <v>37.79301</v>
      </c>
      <c r="F7684" t="inlineStr"/>
      <c r="G7684" t="inlineStr"/>
      <c r="H7684" t="inlineStr"/>
    </row>
    <row r="7685">
      <c r="A7685" t="inlineStr">
        <is>
          <t>35b6b439-9634-4d48-ac1a-7edbb54c28f7.jpg</t>
        </is>
      </c>
      <c r="B7685">
        <f>HYPERLINK("Объекты недвижимости, не соответствующие градостроительным нормам_00-022_Август/35b6b439-9634-4d48-ac1a-7edbb54c28f7.jpg","open")</f>
        <v/>
      </c>
      <c r="C7685" t="inlineStr">
        <is>
          <t>ed2bf0f1-3a66-4913-896e-4420a9796c0b</t>
        </is>
      </c>
      <c r="D7685" t="n">
        <v>55.64375</v>
      </c>
      <c r="E7685" t="n">
        <v>37.55832</v>
      </c>
      <c r="F7685" t="inlineStr"/>
      <c r="G7685" t="inlineStr"/>
      <c r="H7685" t="inlineStr"/>
    </row>
    <row r="7686">
      <c r="A7686" t="inlineStr">
        <is>
          <t>a91dea79-c388-4db0-b5c2-51af2dcd0648.jpg</t>
        </is>
      </c>
      <c r="B7686">
        <f>HYPERLINK("Объекты недвижимости, не соответствующие градостроительным нормам_00-022_Август/a91dea79-c388-4db0-b5c2-51af2dcd0648.jpg","open")</f>
        <v/>
      </c>
      <c r="C7686" t="inlineStr">
        <is>
          <t>31a713a9-b910-424b-b847-e0eaa2f70c70</t>
        </is>
      </c>
      <c r="D7686" t="n">
        <v>55.74001</v>
      </c>
      <c r="E7686" t="n">
        <v>37.41489</v>
      </c>
      <c r="F7686" t="inlineStr"/>
      <c r="G7686" t="inlineStr"/>
      <c r="H7686" t="inlineStr"/>
    </row>
    <row r="7687">
      <c r="A7687" t="inlineStr">
        <is>
          <t>9cc99548-a878-4b05-a006-460126da69d7.jpg</t>
        </is>
      </c>
      <c r="B7687">
        <f>HYPERLINK("Объекты недвижимости, не соответствующие градостроительным нормам_00-022_Август/9cc99548-a878-4b05-a006-460126da69d7.jpg","open")</f>
        <v/>
      </c>
      <c r="C7687" t="inlineStr">
        <is>
          <t>1a55986c-2c3f-40c0-b3d1-014dce77832e</t>
        </is>
      </c>
      <c r="D7687" t="n">
        <v>55.64665</v>
      </c>
      <c r="E7687" t="n">
        <v>37.56184</v>
      </c>
      <c r="F7687" t="inlineStr"/>
      <c r="G7687" t="inlineStr"/>
      <c r="H7687" t="inlineStr"/>
    </row>
    <row r="7688">
      <c r="A7688" t="inlineStr">
        <is>
          <t>51457a08-cb5a-471b-bcb5-029d417bcf2c.jpg</t>
        </is>
      </c>
      <c r="B7688">
        <f>HYPERLINK("Объекты недвижимости, не соответствующие градостроительным нормам_00-022_Август/51457a08-cb5a-471b-bcb5-029d417bcf2c.jpg","open")</f>
        <v/>
      </c>
      <c r="C7688" t="inlineStr">
        <is>
          <t>ed2bf0f1-3a66-4913-896e-4420a9796c0b</t>
        </is>
      </c>
      <c r="D7688" t="n">
        <v>55.64669</v>
      </c>
      <c r="E7688" t="n">
        <v>37.56187</v>
      </c>
      <c r="F7688" t="inlineStr"/>
      <c r="G7688" t="inlineStr"/>
      <c r="H7688" t="inlineStr"/>
    </row>
    <row r="7689">
      <c r="A7689" t="inlineStr">
        <is>
          <t>05d5ab04-6de2-446d-920b-ccbc4466edeb.jpg</t>
        </is>
      </c>
      <c r="B7689">
        <f>HYPERLINK("Объекты недвижимости, не соответствующие градостроительным нормам_00-022_Август/05d5ab04-6de2-446d-920b-ccbc4466edeb.jpg","open")</f>
        <v/>
      </c>
      <c r="C7689" t="inlineStr">
        <is>
          <t>8cde1fd0-eca1-4510-86ab-3c743b65fdfc</t>
        </is>
      </c>
      <c r="D7689" t="n">
        <v>55.60892</v>
      </c>
      <c r="E7689" t="n">
        <v>37.61714</v>
      </c>
      <c r="F7689" t="inlineStr"/>
      <c r="G7689" t="inlineStr"/>
      <c r="H7689" t="inlineStr"/>
    </row>
    <row r="7690">
      <c r="A7690" t="inlineStr">
        <is>
          <t>8781bcdc-d5ea-4bd0-bc8e-ec03c61f4d90.jpg</t>
        </is>
      </c>
      <c r="B7690">
        <f>HYPERLINK("Объекты недвижимости, не соответствующие градостроительным нормам_00-022_Август/8781bcdc-d5ea-4bd0-bc8e-ec03c61f4d90.jpg","open")</f>
        <v/>
      </c>
      <c r="C7690" t="inlineStr">
        <is>
          <t>93848fc8-17e7-4748-9ebc-c7e379e11d2f</t>
        </is>
      </c>
      <c r="D7690" t="n">
        <v>55.88882</v>
      </c>
      <c r="E7690" t="n">
        <v>37.63726</v>
      </c>
      <c r="F7690" t="inlineStr"/>
      <c r="G7690" t="inlineStr"/>
      <c r="H7690" t="inlineStr"/>
    </row>
    <row r="7691">
      <c r="A7691" t="inlineStr">
        <is>
          <t>02505ccc-7fcf-4acb-aced-0d691d9864e0.jpg</t>
        </is>
      </c>
      <c r="B7691">
        <f>HYPERLINK("Объекты недвижимости, не соответствующие градостроительным нормам_00-022_Август/02505ccc-7fcf-4acb-aced-0d691d9864e0.jpg","open")</f>
        <v/>
      </c>
      <c r="C7691" t="inlineStr">
        <is>
          <t>1a55986c-2c3f-40c0-b3d1-014dce77832e</t>
        </is>
      </c>
      <c r="D7691" t="n">
        <v>55.64535</v>
      </c>
      <c r="E7691" t="n">
        <v>37.55798</v>
      </c>
      <c r="F7691" t="inlineStr"/>
      <c r="G7691" t="inlineStr"/>
      <c r="H7691" t="inlineStr"/>
    </row>
    <row r="7692">
      <c r="A7692" t="inlineStr">
        <is>
          <t>0ebadee5-84d4-4ca9-9c84-3c73c4336bc6.jpg</t>
        </is>
      </c>
      <c r="B7692">
        <f>HYPERLINK("Объекты недвижимости, не соответствующие градостроительным нормам_00-022_Август/0ebadee5-84d4-4ca9-9c84-3c73c4336bc6.jpg","open")</f>
        <v/>
      </c>
      <c r="C7692" t="inlineStr">
        <is>
          <t>ed2bf0f1-3a66-4913-896e-4420a9796c0b</t>
        </is>
      </c>
      <c r="D7692" t="n">
        <v>55.64532</v>
      </c>
      <c r="E7692" t="n">
        <v>37.55814</v>
      </c>
      <c r="F7692" t="inlineStr"/>
      <c r="G7692" t="inlineStr"/>
      <c r="H7692" t="inlineStr"/>
    </row>
    <row r="7693">
      <c r="A7693" t="inlineStr">
        <is>
          <t>6f95088e-7ca6-4266-b114-f25e93ce677e.jpg</t>
        </is>
      </c>
      <c r="B7693">
        <f>HYPERLINK("Объекты недвижимости, не соответствующие градостроительным нормам_00-022_Август/6f95088e-7ca6-4266-b114-f25e93ce677e.jpg","open")</f>
        <v/>
      </c>
      <c r="C7693" t="inlineStr">
        <is>
          <t>1a55986c-2c3f-40c0-b3d1-014dce77832e</t>
        </is>
      </c>
      <c r="D7693" t="n">
        <v>55.64531</v>
      </c>
      <c r="E7693" t="n">
        <v>37.55817</v>
      </c>
      <c r="F7693" t="inlineStr"/>
      <c r="G7693" t="inlineStr"/>
      <c r="H7693" t="inlineStr"/>
    </row>
    <row r="7694">
      <c r="A7694" t="inlineStr">
        <is>
          <t>487fdb4a-73ea-4cac-b2b8-b49e1a29e79b.jpg</t>
        </is>
      </c>
      <c r="B7694">
        <f>HYPERLINK("Объекты недвижимости, не соответствующие градостроительным нормам_00-022_Август/487fdb4a-73ea-4cac-b2b8-b49e1a29e79b.jpg","open")</f>
        <v/>
      </c>
      <c r="C7694" t="inlineStr">
        <is>
          <t>052a5a2b-f222-4b50-b2cc-21612f1f234a</t>
        </is>
      </c>
      <c r="D7694" t="n">
        <v>55.74626</v>
      </c>
      <c r="E7694" t="n">
        <v>37.41881</v>
      </c>
      <c r="F7694" t="inlineStr"/>
      <c r="G7694" t="inlineStr"/>
      <c r="H7694" t="inlineStr"/>
    </row>
    <row r="7695">
      <c r="A7695" t="inlineStr">
        <is>
          <t>63e936a4-78b1-4999-b74d-fd45e349a636.jpg</t>
        </is>
      </c>
      <c r="B7695">
        <f>HYPERLINK("Объекты недвижимости, не соответствующие градостроительным нормам_00-022_Август/63e936a4-78b1-4999-b74d-fd45e349a636.jpg","open")</f>
        <v/>
      </c>
      <c r="C7695" t="inlineStr">
        <is>
          <t>8cde1fd0-eca1-4510-86ab-3c743b65fdfc</t>
        </is>
      </c>
      <c r="D7695" t="n">
        <v>55.61398</v>
      </c>
      <c r="E7695" t="n">
        <v>37.62458</v>
      </c>
      <c r="F7695" t="inlineStr"/>
      <c r="G7695" t="inlineStr"/>
      <c r="H7695" t="inlineStr"/>
    </row>
    <row r="7696">
      <c r="A7696" t="inlineStr">
        <is>
          <t>185782ba-919f-4977-94c2-e0ec5a574372.jpg</t>
        </is>
      </c>
      <c r="B7696">
        <f>HYPERLINK("Объекты недвижимости, не соответствующие градостроительным нормам_00-022_Август/185782ba-919f-4977-94c2-e0ec5a574372.jpg","open")</f>
        <v/>
      </c>
      <c r="C7696" t="inlineStr">
        <is>
          <t>8cde1fd0-eca1-4510-86ab-3c743b65fdfc</t>
        </is>
      </c>
      <c r="D7696" t="n">
        <v>55.61466</v>
      </c>
      <c r="E7696" t="n">
        <v>37.62012</v>
      </c>
      <c r="F7696" t="inlineStr"/>
      <c r="G7696" t="inlineStr"/>
      <c r="H7696" t="inlineStr"/>
    </row>
    <row r="7697">
      <c r="A7697" t="inlineStr">
        <is>
          <t>bd5a9967-729f-438f-b3f6-95466efe2ad6.jpg</t>
        </is>
      </c>
      <c r="B7697">
        <f>HYPERLINK("Объекты недвижимости, не соответствующие градостроительным нормам_00-022_Август/bd5a9967-729f-438f-b3f6-95466efe2ad6.jpg","open")</f>
        <v/>
      </c>
      <c r="C7697" t="inlineStr">
        <is>
          <t>1a55986c-2c3f-40c0-b3d1-014dce77832e</t>
        </is>
      </c>
      <c r="D7697" t="n">
        <v>55.64373</v>
      </c>
      <c r="E7697" t="n">
        <v>37.54817</v>
      </c>
      <c r="F7697" t="inlineStr"/>
      <c r="G7697" t="inlineStr"/>
      <c r="H7697" t="inlineStr"/>
    </row>
    <row r="7698">
      <c r="A7698" t="inlineStr">
        <is>
          <t>d0049ae7-7467-4eee-8aaf-dc0b9223b888.jpg</t>
        </is>
      </c>
      <c r="B7698">
        <f>HYPERLINK("Объекты недвижимости, не соответствующие градостроительным нормам_00-022_Август/d0049ae7-7467-4eee-8aaf-dc0b9223b888.jpg","open")</f>
        <v/>
      </c>
      <c r="C7698" t="inlineStr">
        <is>
          <t>8cde1fd0-eca1-4510-86ab-3c743b65fdfc</t>
        </is>
      </c>
      <c r="D7698" t="n">
        <v>55.61209</v>
      </c>
      <c r="E7698" t="n">
        <v>37.6177</v>
      </c>
      <c r="F7698" t="inlineStr"/>
      <c r="G7698" t="inlineStr"/>
      <c r="H7698" t="inlineStr"/>
    </row>
    <row r="7699">
      <c r="A7699" t="inlineStr">
        <is>
          <t>8bab9063-d274-4ae1-9ddb-e414a09fb267.jpg</t>
        </is>
      </c>
      <c r="B7699">
        <f>HYPERLINK("Объекты недвижимости, не соответствующие градостроительным нормам_00-022_Август/8bab9063-d274-4ae1-9ddb-e414a09fb267.jpg","open")</f>
        <v/>
      </c>
      <c r="C7699" t="inlineStr">
        <is>
          <t>036c664f-5408-4fd0-b479-342c00468eeb</t>
        </is>
      </c>
      <c r="D7699" t="n">
        <v>55.73208</v>
      </c>
      <c r="E7699" t="n">
        <v>37.43774</v>
      </c>
      <c r="F7699" t="inlineStr"/>
      <c r="G7699" t="inlineStr"/>
      <c r="H7699" t="inlineStr"/>
    </row>
    <row r="7700">
      <c r="A7700" t="inlineStr">
        <is>
          <t>d31a98e6-fbda-4cb7-b09f-fac80e046e53.jpg</t>
        </is>
      </c>
      <c r="B7700">
        <f>HYPERLINK("Объекты недвижимости, не соответствующие градостроительным нормам_00-022_Август/d31a98e6-fbda-4cb7-b09f-fac80e046e53.jpg","open")</f>
        <v/>
      </c>
      <c r="C7700" t="inlineStr">
        <is>
          <t>dd48f742-b338-42e2-bbaf-b3a9701b437c</t>
        </is>
      </c>
      <c r="D7700" t="n">
        <v>55.77859</v>
      </c>
      <c r="E7700" t="n">
        <v>37.69072</v>
      </c>
      <c r="F7700" t="inlineStr"/>
      <c r="G7700" t="inlineStr"/>
      <c r="H7700" t="inlineStr"/>
    </row>
    <row r="7701">
      <c r="A7701" t="inlineStr">
        <is>
          <t>f9a8edc1-7f74-49e7-823a-2b5a42e53e9f.jpg</t>
        </is>
      </c>
      <c r="B7701">
        <f>HYPERLINK("Объекты недвижимости, не соответствующие градостроительным нормам_00-022_Август/f9a8edc1-7f74-49e7-823a-2b5a42e53e9f.jpg","open")</f>
        <v/>
      </c>
      <c r="C7701" t="inlineStr">
        <is>
          <t>dd48f742-b338-42e2-bbaf-b3a9701b437c</t>
        </is>
      </c>
      <c r="D7701" t="n">
        <v>55.77859</v>
      </c>
      <c r="E7701" t="n">
        <v>37.69073</v>
      </c>
      <c r="F7701" t="inlineStr"/>
      <c r="G7701" t="inlineStr"/>
      <c r="H7701" t="inlineStr"/>
    </row>
    <row r="7702">
      <c r="A7702" t="inlineStr">
        <is>
          <t>eafbce47-ebdc-47d5-91b9-4820c8cae7f0.jpg</t>
        </is>
      </c>
      <c r="B7702">
        <f>HYPERLINK("Объекты недвижимости, не соответствующие градостроительным нормам_00-022_Август/eafbce47-ebdc-47d5-91b9-4820c8cae7f0.jpg","open")</f>
        <v/>
      </c>
      <c r="C7702" t="inlineStr">
        <is>
          <t>8cde1fd0-eca1-4510-86ab-3c743b65fdfc</t>
        </is>
      </c>
      <c r="D7702" t="n">
        <v>55.61323</v>
      </c>
      <c r="E7702" t="n">
        <v>37.61421</v>
      </c>
      <c r="F7702" t="inlineStr"/>
      <c r="G7702" t="inlineStr"/>
      <c r="H7702" t="inlineStr"/>
    </row>
    <row r="7703">
      <c r="A7703" t="inlineStr">
        <is>
          <t>f21ae9f4-8bbf-4000-a32b-11a39924e569.jpg</t>
        </is>
      </c>
      <c r="B7703">
        <f>HYPERLINK("Объекты недвижимости, не соответствующие градостроительным нормам_00-022_Август/f21ae9f4-8bbf-4000-a32b-11a39924e569.jpg","open")</f>
        <v/>
      </c>
      <c r="C7703" t="inlineStr">
        <is>
          <t>5e5b9944-4f9e-4223-bf96-0bc0c8a93dfa</t>
        </is>
      </c>
      <c r="D7703" t="n">
        <v>55.61096</v>
      </c>
      <c r="E7703" t="n">
        <v>37.7178</v>
      </c>
      <c r="F7703" t="inlineStr"/>
      <c r="G7703" t="inlineStr"/>
      <c r="H7703" t="inlineStr"/>
    </row>
    <row r="7704">
      <c r="A7704" t="inlineStr">
        <is>
          <t>4b01462d-c727-4a6a-96c8-c0ca48b83638.jpg</t>
        </is>
      </c>
      <c r="B7704">
        <f>HYPERLINK("Объекты недвижимости, не соответствующие градостроительным нормам_00-022_Август/4b01462d-c727-4a6a-96c8-c0ca48b83638.jpg","open")</f>
        <v/>
      </c>
      <c r="C7704" t="inlineStr">
        <is>
          <t>1a55986c-2c3f-40c0-b3d1-014dce77832e</t>
        </is>
      </c>
      <c r="D7704" t="n">
        <v>55.64841</v>
      </c>
      <c r="E7704" t="n">
        <v>37.53844</v>
      </c>
      <c r="F7704" t="inlineStr"/>
      <c r="G7704" t="inlineStr"/>
      <c r="H7704" t="inlineStr"/>
    </row>
    <row r="7705">
      <c r="A7705" t="inlineStr">
        <is>
          <t>efc53963-0b52-406c-854b-95aa57b2acc4.jpg</t>
        </is>
      </c>
      <c r="B7705">
        <f>HYPERLINK("Объекты недвижимости, не соответствующие градостроительным нормам_00-022_Август/efc53963-0b52-406c-854b-95aa57b2acc4.jpg","open")</f>
        <v/>
      </c>
      <c r="C7705" t="inlineStr">
        <is>
          <t>1c951e11-4940-43c6-a447-394097e5609a</t>
        </is>
      </c>
      <c r="D7705" t="n">
        <v>55.61369</v>
      </c>
      <c r="E7705" t="n">
        <v>37.61439</v>
      </c>
      <c r="F7705" t="inlineStr"/>
      <c r="G7705" t="inlineStr"/>
      <c r="H7705" t="inlineStr"/>
    </row>
    <row r="7706">
      <c r="A7706" t="inlineStr">
        <is>
          <t>2c94d9aa-4de1-4238-8c47-b4f9cb51612d.jpg</t>
        </is>
      </c>
      <c r="B7706">
        <f>HYPERLINK("Объекты недвижимости, не соответствующие градостроительным нормам_00-022_Август/2c94d9aa-4de1-4238-8c47-b4f9cb51612d.jpg","open")</f>
        <v/>
      </c>
      <c r="C7706" t="inlineStr">
        <is>
          <t>8cde1fd0-eca1-4510-86ab-3c743b65fdfc</t>
        </is>
      </c>
      <c r="D7706" t="n">
        <v>55.61385</v>
      </c>
      <c r="E7706" t="n">
        <v>37.61445</v>
      </c>
      <c r="F7706" t="inlineStr"/>
      <c r="G7706" t="inlineStr"/>
      <c r="H7706" t="inlineStr"/>
    </row>
    <row r="7707">
      <c r="A7707" t="inlineStr">
        <is>
          <t>0e73c270-e215-4e3f-b4c0-9183174f70aa.jpg</t>
        </is>
      </c>
      <c r="B7707">
        <f>HYPERLINK("Объекты недвижимости, не соответствующие градостроительным нормам_00-022_Август/0e73c270-e215-4e3f-b4c0-9183174f70aa.jpg","open")</f>
        <v/>
      </c>
      <c r="C7707" t="inlineStr">
        <is>
          <t>5adecbcf-6742-48b8-951f-8e3abc9509e4</t>
        </is>
      </c>
      <c r="D7707" t="n">
        <v>55.61174</v>
      </c>
      <c r="E7707" t="n">
        <v>37.72191</v>
      </c>
      <c r="F7707" t="inlineStr"/>
      <c r="G7707" t="inlineStr"/>
      <c r="H7707" t="inlineStr"/>
    </row>
    <row r="7708">
      <c r="A7708" t="inlineStr">
        <is>
          <t>8b6256d0-9002-445c-80d9-77544d9b9c16.jpg</t>
        </is>
      </c>
      <c r="B7708">
        <f>HYPERLINK("Объекты недвижимости, не соответствующие градостроительным нормам_00-022_Август/8b6256d0-9002-445c-80d9-77544d9b9c16.jpg","open")</f>
        <v/>
      </c>
      <c r="C7708" t="inlineStr">
        <is>
          <t>5e5b9944-4f9e-4223-bf96-0bc0c8a93dfa</t>
        </is>
      </c>
      <c r="D7708" t="n">
        <v>55.61179</v>
      </c>
      <c r="E7708" t="n">
        <v>37.72192</v>
      </c>
      <c r="F7708" t="inlineStr"/>
      <c r="G7708" t="inlineStr"/>
      <c r="H7708" t="inlineStr"/>
    </row>
    <row r="7709">
      <c r="A7709" t="inlineStr">
        <is>
          <t>b35a9012-9059-48af-b9c6-a1d214fcc9b7.jpg</t>
        </is>
      </c>
      <c r="B7709">
        <f>HYPERLINK("Объекты недвижимости, не соответствующие градостроительным нормам_00-022_Август/b35a9012-9059-48af-b9c6-a1d214fcc9b7.jpg","open")</f>
        <v/>
      </c>
      <c r="C7709" t="inlineStr">
        <is>
          <t>99f3abba-c55b-49f0-9de5-9f88e9597cc0</t>
        </is>
      </c>
      <c r="D7709" t="n">
        <v>55.59449</v>
      </c>
      <c r="E7709" t="n">
        <v>37.60547</v>
      </c>
      <c r="F7709" t="inlineStr"/>
      <c r="G7709" t="inlineStr"/>
      <c r="H7709" t="inlineStr"/>
    </row>
    <row r="7710">
      <c r="A7710" t="inlineStr">
        <is>
          <t>e799ceab-01e6-49db-aea3-d777c4d72ba3.jpg</t>
        </is>
      </c>
      <c r="B7710">
        <f>HYPERLINK("Объекты недвижимости, не соответствующие градостроительным нормам_00-022_Август/e799ceab-01e6-49db-aea3-d777c4d72ba3.jpg","open")</f>
        <v/>
      </c>
      <c r="C7710" t="inlineStr">
        <is>
          <t>1a55986c-2c3f-40c0-b3d1-014dce77832e</t>
        </is>
      </c>
      <c r="D7710" t="n">
        <v>55.64931</v>
      </c>
      <c r="E7710" t="n">
        <v>37.53564</v>
      </c>
      <c r="F7710" t="inlineStr"/>
      <c r="G7710" t="inlineStr"/>
      <c r="H7710" t="inlineStr"/>
    </row>
    <row r="7711">
      <c r="A7711" t="inlineStr">
        <is>
          <t>663dceb0-5a69-4656-ad0c-461c1479152b.jpg</t>
        </is>
      </c>
      <c r="B7711">
        <f>HYPERLINK("Объекты недвижимости, не соответствующие градостроительным нормам_00-022_Август/663dceb0-5a69-4656-ad0c-461c1479152b.jpg","open")</f>
        <v/>
      </c>
      <c r="C7711" t="inlineStr">
        <is>
          <t>12e795ad-2aa7-49de-b2da-2c6aa35a4559</t>
        </is>
      </c>
      <c r="D7711" t="n">
        <v>55.63393</v>
      </c>
      <c r="E7711" t="n">
        <v>37.53975</v>
      </c>
      <c r="F7711" t="inlineStr"/>
      <c r="G7711" t="inlineStr"/>
      <c r="H7711" t="inlineStr"/>
    </row>
    <row r="7712">
      <c r="A7712" t="inlineStr">
        <is>
          <t>43bc8c12-ff0f-42fe-b757-0418eb34c0c0.jpg</t>
        </is>
      </c>
      <c r="B7712">
        <f>HYPERLINK("Объекты недвижимости, не соответствующие градостроительным нормам_00-022_Август/43bc8c12-ff0f-42fe-b757-0418eb34c0c0.jpg","open")</f>
        <v/>
      </c>
      <c r="C7712" t="inlineStr">
        <is>
          <t>ad64e6b9-1ed5-44d7-a101-4945a1f9dec6</t>
        </is>
      </c>
      <c r="D7712" t="n">
        <v>55.63393</v>
      </c>
      <c r="E7712" t="n">
        <v>37.53975</v>
      </c>
      <c r="F7712" t="inlineStr"/>
      <c r="G7712" t="inlineStr"/>
      <c r="H7712" t="inlineStr"/>
    </row>
    <row r="7713">
      <c r="A7713" t="inlineStr">
        <is>
          <t>fe4b1c8e-f109-4706-878a-7f7abd8c6c75.jpg</t>
        </is>
      </c>
      <c r="B7713">
        <f>HYPERLINK("Объекты недвижимости, не соответствующие градостроительным нормам_00-022_Август/fe4b1c8e-f109-4706-878a-7f7abd8c6c75.jpg","open")</f>
        <v/>
      </c>
      <c r="C7713" t="inlineStr">
        <is>
          <t>685d9054-b74f-49ab-857b-109fd2cec80d</t>
        </is>
      </c>
      <c r="D7713" t="n">
        <v>55.62688</v>
      </c>
      <c r="E7713" t="n">
        <v>37.51226</v>
      </c>
      <c r="F7713" t="inlineStr"/>
      <c r="G7713" t="inlineStr"/>
      <c r="H7713" t="inlineStr"/>
    </row>
    <row r="7714">
      <c r="A7714" t="inlineStr">
        <is>
          <t>4787c19a-e6a9-47bb-a123-ac23a0e7f83f.jpg</t>
        </is>
      </c>
      <c r="B7714">
        <f>HYPERLINK("Объекты недвижимости, не соответствующие градостроительным нормам_00-022_Август/4787c19a-e6a9-47bb-a123-ac23a0e7f83f.jpg","open")</f>
        <v/>
      </c>
      <c r="C7714" t="inlineStr">
        <is>
          <t>ed2bf0f1-3a66-4913-896e-4420a9796c0b</t>
        </is>
      </c>
      <c r="D7714" t="n">
        <v>55.64993</v>
      </c>
      <c r="E7714" t="n">
        <v>37.53529</v>
      </c>
      <c r="F7714" t="inlineStr"/>
      <c r="G7714" t="inlineStr"/>
      <c r="H7714" t="inlineStr"/>
    </row>
    <row r="7715">
      <c r="A7715" t="inlineStr">
        <is>
          <t>a472a2f5-fd53-4a99-8a63-4f24de55f3a5.jpg</t>
        </is>
      </c>
      <c r="B7715">
        <f>HYPERLINK("Объекты недвижимости, не соответствующие градостроительным нормам_00-022_Август/a472a2f5-fd53-4a99-8a63-4f24de55f3a5.jpg","open")</f>
        <v/>
      </c>
      <c r="C7715" t="inlineStr">
        <is>
          <t>1a55986c-2c3f-40c0-b3d1-014dce77832e</t>
        </is>
      </c>
      <c r="D7715" t="n">
        <v>55.64957</v>
      </c>
      <c r="E7715" t="n">
        <v>37.53796</v>
      </c>
      <c r="F7715" t="inlineStr"/>
      <c r="G7715" t="inlineStr"/>
      <c r="H7715" t="inlineStr"/>
    </row>
    <row r="7716">
      <c r="A7716" t="inlineStr">
        <is>
          <t>3c8982b6-6336-417a-80e6-f4522128341d.jpg</t>
        </is>
      </c>
      <c r="B7716">
        <f>HYPERLINK("Объекты недвижимости, не соответствующие градостроительным нормам_00-022_Август/3c8982b6-6336-417a-80e6-f4522128341d.jpg","open")</f>
        <v/>
      </c>
      <c r="C7716" t="inlineStr">
        <is>
          <t>1a55986c-2c3f-40c0-b3d1-014dce77832e</t>
        </is>
      </c>
      <c r="D7716" t="n">
        <v>55.64986</v>
      </c>
      <c r="E7716" t="n">
        <v>37.53839</v>
      </c>
      <c r="F7716" t="inlineStr"/>
      <c r="G7716" t="inlineStr"/>
      <c r="H7716" t="inlineStr"/>
    </row>
    <row r="7717">
      <c r="A7717" t="inlineStr">
        <is>
          <t>465fe9fb-66a5-4c38-be12-c6873c40f01c.jpg</t>
        </is>
      </c>
      <c r="B7717">
        <f>HYPERLINK("Объекты недвижимости, не соответствующие градостроительным нормам_00-022_Август/465fe9fb-66a5-4c38-be12-c6873c40f01c.jpg","open")</f>
        <v/>
      </c>
      <c r="C7717" t="inlineStr">
        <is>
          <t>8cde1fd0-eca1-4510-86ab-3c743b65fdfc</t>
        </is>
      </c>
      <c r="D7717" t="n">
        <v>55.61639</v>
      </c>
      <c r="E7717" t="n">
        <v>37.61568</v>
      </c>
      <c r="F7717" t="inlineStr"/>
      <c r="G7717" t="inlineStr"/>
      <c r="H7717" t="inlineStr"/>
    </row>
    <row r="7718">
      <c r="A7718" t="inlineStr">
        <is>
          <t>de135b64-f654-4687-bab8-e19d81a8c999.jpg</t>
        </is>
      </c>
      <c r="B7718">
        <f>HYPERLINK("Объекты недвижимости, не соответствующие градостроительным нормам_00-022_Август/de135b64-f654-4687-bab8-e19d81a8c999.jpg","open")</f>
        <v/>
      </c>
      <c r="C7718" t="inlineStr">
        <is>
          <t>8b2675e2-7f40-47a9-a462-7c9feecd299c</t>
        </is>
      </c>
      <c r="D7718" t="n">
        <v>55.72552</v>
      </c>
      <c r="E7718" t="n">
        <v>37.57999</v>
      </c>
      <c r="F7718" t="inlineStr"/>
      <c r="G7718" t="inlineStr"/>
      <c r="H7718" t="inlineStr"/>
    </row>
    <row r="7719">
      <c r="A7719" t="inlineStr">
        <is>
          <t>728877b0-e331-4011-b85e-c982ad96f8ee.jpg</t>
        </is>
      </c>
      <c r="B7719">
        <f>HYPERLINK("Объекты недвижимости, не соответствующие градостроительным нормам_00-022_Август/728877b0-e331-4011-b85e-c982ad96f8ee.jpg","open")</f>
        <v/>
      </c>
      <c r="C7719" t="inlineStr">
        <is>
          <t>1a55986c-2c3f-40c0-b3d1-014dce77832e</t>
        </is>
      </c>
      <c r="D7719" t="n">
        <v>55.65073</v>
      </c>
      <c r="E7719" t="n">
        <v>37.54586</v>
      </c>
      <c r="F7719" t="inlineStr"/>
      <c r="G7719" t="inlineStr"/>
      <c r="H7719" t="inlineStr"/>
    </row>
    <row r="7720">
      <c r="A7720" t="inlineStr">
        <is>
          <t>2ca4a7eb-589a-42af-9d0c-dfbec04feb31.jpg</t>
        </is>
      </c>
      <c r="B7720">
        <f>HYPERLINK("Объекты недвижимости, не соответствующие градостроительным нормам_00-022_Август/2ca4a7eb-589a-42af-9d0c-dfbec04feb31.jpg","open")</f>
        <v/>
      </c>
      <c r="C7720" t="inlineStr">
        <is>
          <t>9ca2abb7-5978-4e19-b2b4-4d185fa6739e</t>
        </is>
      </c>
      <c r="D7720" t="n">
        <v>55.96668</v>
      </c>
      <c r="E7720" t="n">
        <v>37.42575</v>
      </c>
      <c r="F7720" t="inlineStr"/>
      <c r="G7720" t="inlineStr"/>
      <c r="H7720" t="inlineStr"/>
    </row>
    <row r="7721">
      <c r="A7721" t="inlineStr">
        <is>
          <t>7897d63b-e4a9-4af0-b2e6-1d33056ee76c.jpg</t>
        </is>
      </c>
      <c r="B7721">
        <f>HYPERLINK("Объекты недвижимости, не соответствующие градостроительным нормам_00-022_Август/7897d63b-e4a9-4af0-b2e6-1d33056ee76c.jpg","open")</f>
        <v/>
      </c>
      <c r="C7721" t="inlineStr">
        <is>
          <t>ad64e6b9-1ed5-44d7-a101-4945a1f9dec6</t>
        </is>
      </c>
      <c r="D7721" t="n">
        <v>55.63521</v>
      </c>
      <c r="E7721" t="n">
        <v>37.53835</v>
      </c>
      <c r="F7721" t="inlineStr"/>
      <c r="G7721" t="inlineStr"/>
      <c r="H7721" t="inlineStr"/>
    </row>
    <row r="7722">
      <c r="A7722" t="inlineStr">
        <is>
          <t>4947476d-8109-407e-a971-90ce3621be89.jpg</t>
        </is>
      </c>
      <c r="B7722">
        <f>HYPERLINK("Объекты недвижимости, не соответствующие градостроительным нормам_00-022_Август/4947476d-8109-407e-a971-90ce3621be89.jpg","open")</f>
        <v/>
      </c>
      <c r="C7722" t="inlineStr">
        <is>
          <t>fb9a37cc-57a6-447c-98bb-0b299f09c809</t>
        </is>
      </c>
      <c r="D7722" t="n">
        <v>55.83374</v>
      </c>
      <c r="E7722" t="n">
        <v>37.57293</v>
      </c>
      <c r="F7722" t="inlineStr"/>
      <c r="G7722" t="inlineStr"/>
      <c r="H7722" t="inlineStr"/>
    </row>
    <row r="7723">
      <c r="A7723" t="inlineStr">
        <is>
          <t>d20ac533-fecd-4145-83c5-1dbffc4f3175.jpg</t>
        </is>
      </c>
      <c r="B7723">
        <f>HYPERLINK("Объекты недвижимости, не соответствующие градостроительным нормам_00-022_Август/d20ac533-fecd-4145-83c5-1dbffc4f3175.jpg","open")</f>
        <v/>
      </c>
      <c r="C7723" t="inlineStr">
        <is>
          <t>b0429a31-0c70-4b9f-8ea5-73929d82f89e</t>
        </is>
      </c>
      <c r="D7723" t="n">
        <v>55.59436</v>
      </c>
      <c r="E7723" t="n">
        <v>37.60569</v>
      </c>
      <c r="F7723" t="inlineStr"/>
      <c r="G7723" t="inlineStr"/>
      <c r="H7723" t="inlineStr"/>
    </row>
    <row r="7724">
      <c r="A7724" t="inlineStr">
        <is>
          <t>be1fe66d-5b47-43e8-870c-bec9905f6069.jpg</t>
        </is>
      </c>
      <c r="B7724">
        <f>HYPERLINK("Объекты недвижимости, не соответствующие градостроительным нормам_00-022_Август/be1fe66d-5b47-43e8-870c-bec9905f6069.jpg","open")</f>
        <v/>
      </c>
      <c r="C7724" t="inlineStr">
        <is>
          <t>a28f597e-d1cd-4d3b-b572-c86d033412e9</t>
        </is>
      </c>
      <c r="D7724" t="n">
        <v>55.73603</v>
      </c>
      <c r="E7724" t="n">
        <v>37.43593</v>
      </c>
      <c r="F7724" t="inlineStr"/>
      <c r="G7724" t="inlineStr"/>
      <c r="H7724" t="inlineStr"/>
    </row>
    <row r="7725">
      <c r="A7725" t="inlineStr">
        <is>
          <t>78035095-f5dd-409a-9fa5-b5b2eafd6b37.jpg</t>
        </is>
      </c>
      <c r="B7725">
        <f>HYPERLINK("Объекты недвижимости, не соответствующие градостроительным нормам_00-022_Август/78035095-f5dd-409a-9fa5-b5b2eafd6b37.jpg","open")</f>
        <v/>
      </c>
      <c r="C7725" t="inlineStr">
        <is>
          <t>036c664f-5408-4fd0-b479-342c00468eeb</t>
        </is>
      </c>
      <c r="D7725" t="n">
        <v>55.73603</v>
      </c>
      <c r="E7725" t="n">
        <v>37.43593</v>
      </c>
      <c r="F7725" t="inlineStr"/>
      <c r="G7725" t="inlineStr"/>
      <c r="H7725" t="inlineStr"/>
    </row>
    <row r="7726">
      <c r="A7726" t="inlineStr">
        <is>
          <t>05d315cb-c1e1-411c-a7af-ee9f4cc0132f.jpg</t>
        </is>
      </c>
      <c r="B7726">
        <f>HYPERLINK("Объекты недвижимости, не соответствующие градостроительным нормам_00-022_Август/05d315cb-c1e1-411c-a7af-ee9f4cc0132f.jpg","open")</f>
        <v/>
      </c>
      <c r="C7726" t="inlineStr">
        <is>
          <t>8996eb30-6497-4318-8a0e-b95314b8172e</t>
        </is>
      </c>
      <c r="D7726" t="n">
        <v>55.68568</v>
      </c>
      <c r="E7726" t="n">
        <v>37.75912</v>
      </c>
      <c r="F7726" t="inlineStr"/>
      <c r="G7726" t="inlineStr"/>
      <c r="H7726" t="inlineStr"/>
    </row>
    <row r="7727">
      <c r="A7727" t="inlineStr">
        <is>
          <t>689b35fb-bf26-429d-a119-f477b2db2d39.jpg</t>
        </is>
      </c>
      <c r="B7727">
        <f>HYPERLINK("Объекты недвижимости, не соответствующие градостроительным нормам_00-022_Август/689b35fb-bf26-429d-a119-f477b2db2d39.jpg","open")</f>
        <v/>
      </c>
      <c r="C7727" t="inlineStr">
        <is>
          <t>8b2675e2-7f40-47a9-a462-7c9feecd299c</t>
        </is>
      </c>
      <c r="D7727" t="n">
        <v>55.72279</v>
      </c>
      <c r="E7727" t="n">
        <v>37.55558</v>
      </c>
      <c r="F7727" t="inlineStr"/>
      <c r="G7727" t="inlineStr"/>
      <c r="H7727" t="inlineStr"/>
    </row>
    <row r="7728">
      <c r="A7728" t="inlineStr">
        <is>
          <t>ea51ddec-67bf-46a0-8e3e-bed711926c08.jpg</t>
        </is>
      </c>
      <c r="B7728">
        <f>HYPERLINK("Объекты недвижимости, не соответствующие градостроительным нормам_00-022_Август/ea51ddec-67bf-46a0-8e3e-bed711926c08.jpg","open")</f>
        <v/>
      </c>
      <c r="C7728" t="inlineStr">
        <is>
          <t>685d9054-b74f-49ab-857b-109fd2cec80d</t>
        </is>
      </c>
      <c r="D7728" t="n">
        <v>55.63037</v>
      </c>
      <c r="E7728" t="n">
        <v>37.51425</v>
      </c>
      <c r="F7728" t="inlineStr"/>
      <c r="G7728" t="inlineStr"/>
      <c r="H7728" t="inlineStr"/>
    </row>
    <row r="7729">
      <c r="A7729" t="inlineStr">
        <is>
          <t>91ab9a25-a371-4f71-8e99-d887b5fa6e3f.jpg</t>
        </is>
      </c>
      <c r="B7729">
        <f>HYPERLINK("Объекты недвижимости, не соответствующие градостроительным нормам_00-022_Август/91ab9a25-a371-4f71-8e99-d887b5fa6e3f.jpg","open")</f>
        <v/>
      </c>
      <c r="C7729" t="inlineStr">
        <is>
          <t>1231bbc5-e64c-4dc7-9acc-77710f47607a</t>
        </is>
      </c>
      <c r="D7729" t="n">
        <v>55.63039</v>
      </c>
      <c r="E7729" t="n">
        <v>37.51428</v>
      </c>
      <c r="F7729" t="inlineStr"/>
      <c r="G7729" t="inlineStr"/>
      <c r="H7729" t="inlineStr"/>
    </row>
    <row r="7730">
      <c r="A7730" t="inlineStr">
        <is>
          <t>242a17d0-bfbb-4532-a6ec-9634d74b310b.jpg</t>
        </is>
      </c>
      <c r="B7730">
        <f>HYPERLINK("Объекты недвижимости, не соответствующие градостроительным нормам_00-022_Август/242a17d0-bfbb-4532-a6ec-9634d74b310b.jpg","open")</f>
        <v/>
      </c>
      <c r="C7730" t="inlineStr">
        <is>
          <t>cbf95b01-f708-45a3-9ec0-3603469b538e</t>
        </is>
      </c>
      <c r="D7730" t="n">
        <v>55.75003</v>
      </c>
      <c r="E7730" t="n">
        <v>37.66642</v>
      </c>
      <c r="F7730" t="inlineStr"/>
      <c r="G7730" t="inlineStr"/>
      <c r="H7730" t="inlineStr"/>
    </row>
    <row r="7731">
      <c r="A7731" t="inlineStr">
        <is>
          <t>f3ab2dc4-e4c9-4400-ab23-500ef4dc2153.jpg</t>
        </is>
      </c>
      <c r="B7731">
        <f>HYPERLINK("Объекты недвижимости, не соответствующие градостроительным нормам_00-022_Август/f3ab2dc4-e4c9-4400-ab23-500ef4dc2153.jpg","open")</f>
        <v/>
      </c>
      <c r="C7731" t="inlineStr">
        <is>
          <t>1231bbc5-e64c-4dc7-9acc-77710f47607a</t>
        </is>
      </c>
      <c r="D7731" t="n">
        <v>55.63085</v>
      </c>
      <c r="E7731" t="n">
        <v>37.51525</v>
      </c>
      <c r="F7731" t="inlineStr"/>
      <c r="G7731" t="inlineStr"/>
      <c r="H7731" t="inlineStr"/>
    </row>
    <row r="7732">
      <c r="A7732" t="inlineStr">
        <is>
          <t>15a89900-e6f8-4ef4-9510-99926aeee913.jpg</t>
        </is>
      </c>
      <c r="B7732">
        <f>HYPERLINK("Объекты недвижимости, не соответствующие градостроительным нормам_00-022_Август/15a89900-e6f8-4ef4-9510-99926aeee913.jpg","open")</f>
        <v/>
      </c>
      <c r="C7732" t="inlineStr">
        <is>
          <t>1231bbc5-e64c-4dc7-9acc-77710f47607a</t>
        </is>
      </c>
      <c r="D7732" t="n">
        <v>55.63052</v>
      </c>
      <c r="E7732" t="n">
        <v>37.515</v>
      </c>
      <c r="F7732" t="inlineStr"/>
      <c r="G7732" t="inlineStr"/>
      <c r="H7732" t="inlineStr"/>
    </row>
    <row r="7733">
      <c r="A7733" t="inlineStr">
        <is>
          <t>f3d1431e-2e64-4459-84e4-76132a2c302c.jpg</t>
        </is>
      </c>
      <c r="B7733">
        <f>HYPERLINK("Объекты недвижимости, не соответствующие градостроительным нормам_00-022_Август/f3d1431e-2e64-4459-84e4-76132a2c302c.jpg","open")</f>
        <v/>
      </c>
      <c r="C7733" t="inlineStr">
        <is>
          <t>a1a9db89-3f74-42ef-8fad-ad69705102cd</t>
        </is>
      </c>
      <c r="D7733" t="n">
        <v>55.75207</v>
      </c>
      <c r="E7733" t="n">
        <v>37.66082</v>
      </c>
      <c r="F7733" t="inlineStr"/>
      <c r="G7733" t="inlineStr"/>
      <c r="H7733" t="inlineStr"/>
    </row>
    <row r="7734">
      <c r="A7734" t="inlineStr">
        <is>
          <t>c74a4985-264a-4bcb-a3d1-05b203491761.jpg</t>
        </is>
      </c>
      <c r="B7734">
        <f>HYPERLINK("Объекты недвижимости, не соответствующие градостроительным нормам_00-022_Август/c74a4985-264a-4bcb-a3d1-05b203491761.jpg","open")</f>
        <v/>
      </c>
      <c r="C7734" t="inlineStr">
        <is>
          <t>cbf95b01-f708-45a3-9ec0-3603469b538e</t>
        </is>
      </c>
      <c r="D7734" t="n">
        <v>55.75207</v>
      </c>
      <c r="E7734" t="n">
        <v>37.66082</v>
      </c>
      <c r="F7734" t="inlineStr"/>
      <c r="G7734" t="inlineStr"/>
      <c r="H7734" t="inlineStr"/>
    </row>
    <row r="7735">
      <c r="A7735" t="inlineStr">
        <is>
          <t>131fbdfc-d784-4df6-90cd-42c7a48d81db.jpg</t>
        </is>
      </c>
      <c r="B7735">
        <f>HYPERLINK("Объекты недвижимости, не соответствующие градостроительным нормам_00-022_Август/131fbdfc-d784-4df6-90cd-42c7a48d81db.jpg","open")</f>
        <v/>
      </c>
      <c r="C7735" t="inlineStr">
        <is>
          <t>cbf95b01-f708-45a3-9ec0-3603469b538e</t>
        </is>
      </c>
      <c r="D7735" t="n">
        <v>55.75207</v>
      </c>
      <c r="E7735" t="n">
        <v>37.66082</v>
      </c>
      <c r="F7735" t="inlineStr"/>
      <c r="G7735" t="inlineStr"/>
      <c r="H7735" t="inlineStr"/>
    </row>
    <row r="7736">
      <c r="A7736" t="inlineStr">
        <is>
          <t>cdc0002b-f375-4c74-b970-6169519fa9b7.jpg</t>
        </is>
      </c>
      <c r="B7736">
        <f>HYPERLINK("Объекты недвижимости, не соответствующие градостроительным нормам_00-022_Август/cdc0002b-f375-4c74-b970-6169519fa9b7.jpg","open")</f>
        <v/>
      </c>
      <c r="C7736" t="inlineStr">
        <is>
          <t>cbf95b01-f708-45a3-9ec0-3603469b538e</t>
        </is>
      </c>
      <c r="D7736" t="n">
        <v>55.75207</v>
      </c>
      <c r="E7736" t="n">
        <v>37.66082</v>
      </c>
      <c r="F7736" t="inlineStr"/>
      <c r="G7736" t="inlineStr"/>
      <c r="H7736" t="inlineStr"/>
    </row>
    <row r="7737">
      <c r="A7737" t="inlineStr">
        <is>
          <t>ca498b4f-8ceb-45e9-b605-4ba5aec9fbf4.jpg</t>
        </is>
      </c>
      <c r="B7737">
        <f>HYPERLINK("Объекты недвижимости, не соответствующие градостроительным нормам_00-022_Август/ca498b4f-8ceb-45e9-b605-4ba5aec9fbf4.jpg","open")</f>
        <v/>
      </c>
      <c r="C7737" t="inlineStr">
        <is>
          <t>1231bbc5-e64c-4dc7-9acc-77710f47607a</t>
        </is>
      </c>
      <c r="D7737" t="n">
        <v>55.63117</v>
      </c>
      <c r="E7737" t="n">
        <v>37.51521</v>
      </c>
      <c r="F7737" t="inlineStr"/>
      <c r="G7737" t="inlineStr"/>
      <c r="H7737" t="inlineStr"/>
    </row>
    <row r="7738">
      <c r="A7738" t="inlineStr">
        <is>
          <t>faaac750-b53f-4930-b01a-9bd08132bdc4.jpg</t>
        </is>
      </c>
      <c r="B7738">
        <f>HYPERLINK("Объекты недвижимости, не соответствующие градостроительным нормам_00-022_Август/faaac750-b53f-4930-b01a-9bd08132bdc4.jpg","open")</f>
        <v/>
      </c>
      <c r="C7738" t="inlineStr">
        <is>
          <t>685d9054-b74f-49ab-857b-109fd2cec80d</t>
        </is>
      </c>
      <c r="D7738" t="n">
        <v>55.63119</v>
      </c>
      <c r="E7738" t="n">
        <v>37.51519</v>
      </c>
      <c r="F7738" t="inlineStr"/>
      <c r="G7738" t="inlineStr"/>
      <c r="H7738" t="inlineStr"/>
    </row>
    <row r="7739">
      <c r="A7739" t="inlineStr">
        <is>
          <t>f4a3237f-1c67-4ee8-b3c6-7462a64c42f9.jpg</t>
        </is>
      </c>
      <c r="B7739">
        <f>HYPERLINK("Объекты недвижимости, не соответствующие градостроительным нормам_00-022_Август/f4a3237f-1c67-4ee8-b3c6-7462a64c42f9.jpg","open")</f>
        <v/>
      </c>
      <c r="C7739" t="inlineStr">
        <is>
          <t>1231bbc5-e64c-4dc7-9acc-77710f47607a</t>
        </is>
      </c>
      <c r="D7739" t="n">
        <v>55.63117</v>
      </c>
      <c r="E7739" t="n">
        <v>37.51517</v>
      </c>
      <c r="F7739" t="inlineStr"/>
      <c r="G7739" t="inlineStr"/>
      <c r="H7739" t="inlineStr"/>
    </row>
    <row r="7740">
      <c r="A7740" t="inlineStr">
        <is>
          <t>51b7a0fe-00e3-4060-9165-952f5992e68a.jpg</t>
        </is>
      </c>
      <c r="B7740">
        <f>HYPERLINK("Объекты недвижимости, не соответствующие градостроительным нормам_00-022_Август/51b7a0fe-00e3-4060-9165-952f5992e68a.jpg","open")</f>
        <v/>
      </c>
      <c r="C7740" t="inlineStr">
        <is>
          <t>cbf95b01-f708-45a3-9ec0-3603469b538e</t>
        </is>
      </c>
      <c r="D7740" t="n">
        <v>55.75207</v>
      </c>
      <c r="E7740" t="n">
        <v>37.66082</v>
      </c>
      <c r="F7740" t="inlineStr"/>
      <c r="G7740" t="inlineStr"/>
      <c r="H7740" t="inlineStr"/>
    </row>
    <row r="7741">
      <c r="A7741" t="inlineStr">
        <is>
          <t>474c7f8a-ccca-4c5f-94cb-22996d1a191c.jpg</t>
        </is>
      </c>
      <c r="B7741">
        <f>HYPERLINK("Объекты недвижимости, не соответствующие градостроительным нормам_00-022_Август/474c7f8a-ccca-4c5f-94cb-22996d1a191c.jpg","open")</f>
        <v/>
      </c>
      <c r="C7741" t="inlineStr">
        <is>
          <t>50e4626c-a80e-42ab-b999-b5092c2c063f</t>
        </is>
      </c>
      <c r="D7741" t="n">
        <v>55.71861</v>
      </c>
      <c r="E7741" t="n">
        <v>37.78162</v>
      </c>
      <c r="F7741" t="inlineStr"/>
      <c r="G7741" t="inlineStr"/>
      <c r="H7741" t="inlineStr"/>
    </row>
    <row r="7742">
      <c r="A7742" t="inlineStr">
        <is>
          <t>ff459712-fcfc-4d3f-8a31-9b34e4f019c3.jpg</t>
        </is>
      </c>
      <c r="B7742">
        <f>HYPERLINK("Объекты недвижимости, не соответствующие градостроительным нормам_00-022_Август/ff459712-fcfc-4d3f-8a31-9b34e4f019c3.jpg","open")</f>
        <v/>
      </c>
      <c r="C7742" t="inlineStr">
        <is>
          <t>9ca2abb7-5978-4e19-b2b4-4d185fa6739e</t>
        </is>
      </c>
      <c r="D7742" t="n">
        <v>55.68742</v>
      </c>
      <c r="E7742" t="n">
        <v>37.4211</v>
      </c>
      <c r="F7742" t="inlineStr"/>
      <c r="G7742" t="inlineStr"/>
      <c r="H7742" t="inlineStr"/>
    </row>
    <row r="7743">
      <c r="A7743" t="inlineStr">
        <is>
          <t>7b9a0927-5bae-4df5-bda4-78c8b48d39e0.jpg</t>
        </is>
      </c>
      <c r="B7743">
        <f>HYPERLINK("Объекты недвижимости, не соответствующие градостроительным нормам_00-022_Август/7b9a0927-5bae-4df5-bda4-78c8b48d39e0.jpg","open")</f>
        <v/>
      </c>
      <c r="C7743" t="inlineStr">
        <is>
          <t>ad64e6b9-1ed5-44d7-a101-4945a1f9dec6</t>
        </is>
      </c>
      <c r="D7743" t="n">
        <v>55.63863</v>
      </c>
      <c r="E7743" t="n">
        <v>37.53992</v>
      </c>
      <c r="F7743" t="inlineStr"/>
      <c r="G7743" t="inlineStr"/>
      <c r="H7743" t="inlineStr"/>
    </row>
    <row r="7744">
      <c r="A7744" t="inlineStr">
        <is>
          <t>b7d88de9-3077-470d-b1e0-87dc993d87b2.jpg</t>
        </is>
      </c>
      <c r="B7744">
        <f>HYPERLINK("Объекты недвижимости, не соответствующие градостроительным нормам_00-022_Август/b7d88de9-3077-470d-b1e0-87dc993d87b2.jpg","open")</f>
        <v/>
      </c>
      <c r="C7744" t="inlineStr">
        <is>
          <t>1c951e11-4940-43c6-a447-394097e5609a</t>
        </is>
      </c>
      <c r="D7744" t="n">
        <v>55.61969</v>
      </c>
      <c r="E7744" t="n">
        <v>37.62169</v>
      </c>
      <c r="F7744" t="inlineStr"/>
      <c r="G7744" t="inlineStr"/>
      <c r="H7744" t="inlineStr"/>
    </row>
    <row r="7745">
      <c r="A7745" t="inlineStr">
        <is>
          <t>850fd93f-f030-45a8-abd9-4d5e148d8cbe.jpg</t>
        </is>
      </c>
      <c r="B7745">
        <f>HYPERLINK("Объекты недвижимости, не соответствующие градостроительным нормам_00-022_Август/850fd93f-f030-45a8-abd9-4d5e148d8cbe.jpg","open")</f>
        <v/>
      </c>
      <c r="C7745" t="inlineStr">
        <is>
          <t>cbf95b01-f708-45a3-9ec0-3603469b538e</t>
        </is>
      </c>
      <c r="D7745" t="n">
        <v>55.78334</v>
      </c>
      <c r="E7745" t="n">
        <v>37.53604</v>
      </c>
      <c r="F7745" t="inlineStr"/>
      <c r="G7745" t="inlineStr"/>
      <c r="H7745" t="inlineStr"/>
    </row>
    <row r="7746">
      <c r="A7746" t="inlineStr">
        <is>
          <t>c85f7e8d-d226-4b9c-8004-278d7c6d5659.jpg</t>
        </is>
      </c>
      <c r="B7746">
        <f>HYPERLINK("Объекты недвижимости, не соответствующие градостроительным нормам_00-022_Август/c85f7e8d-d226-4b9c-8004-278d7c6d5659.jpg","open")</f>
        <v/>
      </c>
      <c r="C7746" t="inlineStr">
        <is>
          <t>fb9a37cc-57a6-447c-98bb-0b299f09c809</t>
        </is>
      </c>
      <c r="D7746" t="n">
        <v>55.85328</v>
      </c>
      <c r="E7746" t="n">
        <v>37.54321</v>
      </c>
      <c r="F7746" t="inlineStr"/>
      <c r="G7746" t="inlineStr"/>
      <c r="H7746" t="inlineStr"/>
    </row>
    <row r="7747">
      <c r="A7747" t="inlineStr">
        <is>
          <t>7206c822-e6d8-4b86-8fe5-1b484545c138.jpg</t>
        </is>
      </c>
      <c r="B7747">
        <f>HYPERLINK("Объекты недвижимости, не соответствующие градостроительным нормам_00-022_Август/7206c822-e6d8-4b86-8fe5-1b484545c138.jpg","open")</f>
        <v/>
      </c>
      <c r="C7747" t="inlineStr">
        <is>
          <t>fb9a37cc-57a6-447c-98bb-0b299f09c809</t>
        </is>
      </c>
      <c r="D7747" t="n">
        <v>55.85329</v>
      </c>
      <c r="E7747" t="n">
        <v>37.54323</v>
      </c>
      <c r="F7747" t="inlineStr"/>
      <c r="G7747" t="inlineStr"/>
      <c r="H7747" t="inlineStr"/>
    </row>
    <row r="7748">
      <c r="A7748" t="inlineStr">
        <is>
          <t>07192865-94a5-4bd7-88c3-ef42ef29abd9.jpg</t>
        </is>
      </c>
      <c r="B7748">
        <f>HYPERLINK("Объекты недвижимости, не соответствующие градостроительным нормам_00-022_Август/07192865-94a5-4bd7-88c3-ef42ef29abd9.jpg","open")</f>
        <v/>
      </c>
      <c r="C7748" t="inlineStr">
        <is>
          <t>8cde1fd0-eca1-4510-86ab-3c743b65fdfc</t>
        </is>
      </c>
      <c r="D7748" t="n">
        <v>55.62162</v>
      </c>
      <c r="E7748" t="n">
        <v>37.61964</v>
      </c>
      <c r="F7748" t="inlineStr"/>
      <c r="G7748" t="inlineStr"/>
      <c r="H7748" t="inlineStr"/>
    </row>
    <row r="7749">
      <c r="A7749" t="inlineStr">
        <is>
          <t>a5c45998-0dba-4edb-a9f8-d096a690638b.jpg</t>
        </is>
      </c>
      <c r="B7749">
        <f>HYPERLINK("Объекты недвижимости, не соответствующие градостроительным нормам_00-022_Август/a5c45998-0dba-4edb-a9f8-d096a690638b.jpg","open")</f>
        <v/>
      </c>
      <c r="C7749" t="inlineStr">
        <is>
          <t>57aae8a4-582b-4309-8045-c8127a9f86ae</t>
        </is>
      </c>
      <c r="D7749" t="n">
        <v>55.80759</v>
      </c>
      <c r="E7749" t="n">
        <v>37.81171</v>
      </c>
      <c r="F7749" t="inlineStr"/>
      <c r="G7749" t="inlineStr"/>
      <c r="H7749" t="inlineStr"/>
    </row>
    <row r="7750">
      <c r="A7750" t="inlineStr">
        <is>
          <t>6c3e280d-8db5-44ad-a623-3412970d1fb7.jpg</t>
        </is>
      </c>
      <c r="B7750">
        <f>HYPERLINK("Объекты недвижимости, не соответствующие градостроительным нормам_00-022_Август/6c3e280d-8db5-44ad-a623-3412970d1fb7.jpg","open")</f>
        <v/>
      </c>
      <c r="C7750" t="inlineStr">
        <is>
          <t>acedacc2-0d8b-4fc1-9622-25621a89d071</t>
        </is>
      </c>
      <c r="D7750" t="n">
        <v>55.80759</v>
      </c>
      <c r="E7750" t="n">
        <v>37.8117</v>
      </c>
      <c r="F7750" t="inlineStr"/>
      <c r="G7750" t="inlineStr"/>
      <c r="H7750" t="inlineStr"/>
    </row>
    <row r="7751">
      <c r="A7751" t="inlineStr">
        <is>
          <t>70b8af91-eff8-4534-901a-4ada43160377.jpg</t>
        </is>
      </c>
      <c r="B7751">
        <f>HYPERLINK("Объекты недвижимости, не соответствующие градостроительным нормам_00-022_Август/70b8af91-eff8-4534-901a-4ada43160377.jpg","open")</f>
        <v/>
      </c>
      <c r="C7751" t="inlineStr">
        <is>
          <t>db8b536c-32f2-4d9a-ae08-679d227e61f1</t>
        </is>
      </c>
      <c r="D7751" t="n">
        <v>55.6637</v>
      </c>
      <c r="E7751" t="n">
        <v>37.71921</v>
      </c>
      <c r="F7751" t="inlineStr"/>
      <c r="G7751" t="inlineStr"/>
      <c r="H7751" t="inlineStr"/>
    </row>
    <row r="7752">
      <c r="A7752" t="inlineStr">
        <is>
          <t>31566d0b-519f-4bf4-ba11-9809bdb5ede9.jpg</t>
        </is>
      </c>
      <c r="B7752">
        <f>HYPERLINK("Объекты недвижимости, не соответствующие градостроительным нормам_00-022_Август/31566d0b-519f-4bf4-ba11-9809bdb5ede9.jpg","open")</f>
        <v/>
      </c>
      <c r="C7752" t="inlineStr">
        <is>
          <t>b0b7ea82-53be-40d0-b992-e2fd18611d5c</t>
        </is>
      </c>
      <c r="D7752" t="n">
        <v>55.6835</v>
      </c>
      <c r="E7752" t="n">
        <v>37.85098</v>
      </c>
      <c r="F7752" t="inlineStr"/>
      <c r="G7752" t="inlineStr"/>
      <c r="H7752" t="inlineStr"/>
    </row>
    <row r="7753">
      <c r="A7753" t="inlineStr">
        <is>
          <t>3883a10e-bc9d-450d-84ac-b5e79beb0017.jpg</t>
        </is>
      </c>
      <c r="B7753">
        <f>HYPERLINK("Объекты недвижимости, не соответствующие градостроительным нормам_00-022_Август/3883a10e-bc9d-450d-84ac-b5e79beb0017.jpg","open")</f>
        <v/>
      </c>
      <c r="C7753" t="inlineStr">
        <is>
          <t>18a5c468-d9e6-4814-8477-1caf4a2e1fe9</t>
        </is>
      </c>
      <c r="D7753" t="n">
        <v>55.75885</v>
      </c>
      <c r="E7753" t="n">
        <v>37.55925</v>
      </c>
      <c r="F7753" t="inlineStr"/>
      <c r="G7753" t="inlineStr"/>
      <c r="H7753" t="inlineStr"/>
    </row>
    <row r="7754">
      <c r="A7754" t="inlineStr">
        <is>
          <t>7b62fde3-0c25-4944-b747-ae0316cef9f9.jpg</t>
        </is>
      </c>
      <c r="B7754">
        <f>HYPERLINK("Объекты недвижимости, не соответствующие градостроительным нормам_00-022_Август/7b62fde3-0c25-4944-b747-ae0316cef9f9.jpg","open")</f>
        <v/>
      </c>
      <c r="C7754" t="inlineStr">
        <is>
          <t>d2c4eccd-3e4b-406c-a903-0f5e43d0be35</t>
        </is>
      </c>
      <c r="D7754" t="n">
        <v>55.75885</v>
      </c>
      <c r="E7754" t="n">
        <v>37.55925</v>
      </c>
      <c r="F7754" t="inlineStr"/>
      <c r="G7754" t="inlineStr"/>
      <c r="H7754" t="inlineStr"/>
    </row>
    <row r="7755">
      <c r="A7755" t="inlineStr">
        <is>
          <t>db928b2f-db10-4027-81e3-87eb3dc174f5.jpg</t>
        </is>
      </c>
      <c r="B7755">
        <f>HYPERLINK("Объекты недвижимости, не соответствующие градостроительным нормам_00-022_Август/db928b2f-db10-4027-81e3-87eb3dc174f5.jpg","open")</f>
        <v/>
      </c>
      <c r="C7755" t="inlineStr">
        <is>
          <t>18a5c468-d9e6-4814-8477-1caf4a2e1fe9</t>
        </is>
      </c>
      <c r="D7755" t="n">
        <v>55.75885</v>
      </c>
      <c r="E7755" t="n">
        <v>37.55925</v>
      </c>
      <c r="F7755" t="inlineStr"/>
      <c r="G7755" t="inlineStr"/>
      <c r="H7755" t="inlineStr"/>
    </row>
    <row r="7756">
      <c r="A7756" t="inlineStr">
        <is>
          <t>c36893f0-df0a-4680-8795-a305d0ef7706.jpg</t>
        </is>
      </c>
      <c r="B7756">
        <f>HYPERLINK("Объекты недвижимости, не соответствующие градостроительным нормам_00-022_Август/c36893f0-df0a-4680-8795-a305d0ef7706.jpg","open")</f>
        <v/>
      </c>
      <c r="C7756" t="inlineStr">
        <is>
          <t>685d9054-b74f-49ab-857b-109fd2cec80d</t>
        </is>
      </c>
      <c r="D7756" t="n">
        <v>55.62268</v>
      </c>
      <c r="E7756" t="n">
        <v>37.5061</v>
      </c>
      <c r="F7756" t="inlineStr"/>
      <c r="G7756" t="inlineStr"/>
      <c r="H7756" t="inlineStr"/>
    </row>
    <row r="7757">
      <c r="A7757" t="inlineStr">
        <is>
          <t>019b696a-8413-4efb-adcc-f57b976ba87b.jpg</t>
        </is>
      </c>
      <c r="B7757">
        <f>HYPERLINK("Объекты недвижимости, не соответствующие градостроительным нормам_00-022_Август/019b696a-8413-4efb-adcc-f57b976ba87b.jpg","open")</f>
        <v/>
      </c>
      <c r="C7757" t="inlineStr">
        <is>
          <t>db8b536c-32f2-4d9a-ae08-679d227e61f1</t>
        </is>
      </c>
      <c r="D7757" t="n">
        <v>55.70292</v>
      </c>
      <c r="E7757" t="n">
        <v>37.75089</v>
      </c>
      <c r="F7757" t="inlineStr"/>
      <c r="G7757" t="inlineStr"/>
      <c r="H7757" t="inlineStr"/>
    </row>
    <row r="7758">
      <c r="A7758" t="inlineStr">
        <is>
          <t>267de077-12b7-4018-9fdd-2d0ff4fe30dc.jpg</t>
        </is>
      </c>
      <c r="B7758">
        <f>HYPERLINK("Объекты недвижимости, не соответствующие градостроительным нормам_00-022_Август/267de077-12b7-4018-9fdd-2d0ff4fe30dc.jpg","open")</f>
        <v/>
      </c>
      <c r="C7758" t="inlineStr">
        <is>
          <t>e90a3ac0-5b70-4ede-abeb-382371713306</t>
        </is>
      </c>
      <c r="D7758" t="n">
        <v>55.70316</v>
      </c>
      <c r="E7758" t="n">
        <v>37.75075</v>
      </c>
      <c r="F7758" t="inlineStr"/>
      <c r="G7758" t="inlineStr"/>
      <c r="H7758" t="inlineStr"/>
    </row>
    <row r="7759">
      <c r="A7759" t="inlineStr">
        <is>
          <t>5d56580e-af85-405a-94ad-22c8e3ce7c19.jpg</t>
        </is>
      </c>
      <c r="B7759">
        <f>HYPERLINK("Объекты недвижимости, не соответствующие градостроительным нормам_00-022_Август/5d56580e-af85-405a-94ad-22c8e3ce7c19.jpg","open")</f>
        <v/>
      </c>
      <c r="C7759" t="inlineStr">
        <is>
          <t>a1a9db89-3f74-42ef-8fad-ad69705102cd</t>
        </is>
      </c>
      <c r="D7759" t="n">
        <v>55.78334</v>
      </c>
      <c r="E7759" t="n">
        <v>37.53604</v>
      </c>
      <c r="F7759" t="inlineStr"/>
      <c r="G7759" t="inlineStr"/>
      <c r="H7759" t="inlineStr"/>
    </row>
    <row r="7760">
      <c r="A7760" t="inlineStr">
        <is>
          <t>2636f945-f0e7-4d68-a838-e8920909383a.jpg</t>
        </is>
      </c>
      <c r="B7760">
        <f>HYPERLINK("Объекты недвижимости, не соответствующие градостроительным нормам_00-022_Август/2636f945-f0e7-4d68-a838-e8920909383a.jpg","open")</f>
        <v/>
      </c>
      <c r="C7760" t="inlineStr">
        <is>
          <t>cbf95b01-f708-45a3-9ec0-3603469b538e</t>
        </is>
      </c>
      <c r="D7760" t="n">
        <v>55.78334</v>
      </c>
      <c r="E7760" t="n">
        <v>37.53604</v>
      </c>
      <c r="F7760" t="inlineStr"/>
      <c r="G7760" t="inlineStr"/>
      <c r="H7760" t="inlineStr"/>
    </row>
    <row r="7761">
      <c r="A7761" t="inlineStr">
        <is>
          <t>ef995cb7-c4fc-4550-a58e-84a082c13197.jpg</t>
        </is>
      </c>
      <c r="B7761">
        <f>HYPERLINK("Объекты недвижимости, не соответствующие градостроительным нормам_00-022_Август/ef995cb7-c4fc-4550-a58e-84a082c13197.jpg","open")</f>
        <v/>
      </c>
      <c r="C7761" t="inlineStr">
        <is>
          <t>8996eb30-6497-4318-8a0e-b95314b8172e</t>
        </is>
      </c>
      <c r="D7761" t="n">
        <v>55.68357</v>
      </c>
      <c r="E7761" t="n">
        <v>37.7446</v>
      </c>
      <c r="F7761" t="inlineStr"/>
      <c r="G7761" t="inlineStr"/>
      <c r="H7761" t="inlineStr"/>
    </row>
    <row r="7762">
      <c r="A7762" t="inlineStr">
        <is>
          <t>481ad076-1f46-45ec-963e-b1514bd33826.jpg</t>
        </is>
      </c>
      <c r="B7762">
        <f>HYPERLINK("Объекты недвижимости, не соответствующие градостроительным нормам_00-022_Август/481ad076-1f46-45ec-963e-b1514bd33826.jpg","open")</f>
        <v/>
      </c>
      <c r="C7762" t="inlineStr">
        <is>
          <t>a1a9db89-3f74-42ef-8fad-ad69705102cd</t>
        </is>
      </c>
      <c r="D7762" t="n">
        <v>55.78334</v>
      </c>
      <c r="E7762" t="n">
        <v>37.53604</v>
      </c>
      <c r="F7762" t="inlineStr"/>
      <c r="G7762" t="inlineStr"/>
      <c r="H7762" t="inlineStr"/>
    </row>
    <row r="7763">
      <c r="A7763" t="inlineStr">
        <is>
          <t>4e3bc478-7a16-4ee8-8fac-209eff665159.jpg</t>
        </is>
      </c>
      <c r="B7763">
        <f>HYPERLINK("Объекты недвижимости, не соответствующие градостроительным нормам_00-022_Август/4e3bc478-7a16-4ee8-8fac-209eff665159.jpg","open")</f>
        <v/>
      </c>
      <c r="C7763" t="inlineStr">
        <is>
          <t>a1a9db89-3f74-42ef-8fad-ad69705102cd</t>
        </is>
      </c>
      <c r="D7763" t="n">
        <v>55.78334</v>
      </c>
      <c r="E7763" t="n">
        <v>37.53604</v>
      </c>
      <c r="F7763" t="inlineStr"/>
      <c r="G7763" t="inlineStr"/>
      <c r="H7763" t="inlineStr"/>
    </row>
    <row r="7764">
      <c r="A7764" t="inlineStr">
        <is>
          <t>043eb44d-82df-4962-bc06-1628204c3d90.jpg</t>
        </is>
      </c>
      <c r="B7764">
        <f>HYPERLINK("Объекты недвижимости, не соответствующие градостроительным нормам_00-022_Август/043eb44d-82df-4962-bc06-1628204c3d90.jpg","open")</f>
        <v/>
      </c>
      <c r="C7764" t="inlineStr">
        <is>
          <t>1c951e11-4940-43c6-a447-394097e5609a</t>
        </is>
      </c>
      <c r="D7764" t="n">
        <v>55.60337</v>
      </c>
      <c r="E7764" t="n">
        <v>37.60372</v>
      </c>
      <c r="F7764" t="inlineStr"/>
      <c r="G7764" t="inlineStr"/>
      <c r="H7764" t="inlineStr"/>
    </row>
    <row r="7765">
      <c r="A7765" t="inlineStr">
        <is>
          <t>f2d35895-214e-4f21-92e0-f7c072fdd006.jpg</t>
        </is>
      </c>
      <c r="B7765">
        <f>HYPERLINK("Объекты недвижимости, не соответствующие градостроительным нормам_00-022_Август/f2d35895-214e-4f21-92e0-f7c072fdd006.jpg","open")</f>
        <v/>
      </c>
      <c r="C7765" t="inlineStr">
        <is>
          <t>8996eb30-6497-4318-8a0e-b95314b8172e</t>
        </is>
      </c>
      <c r="D7765" t="n">
        <v>55.68396</v>
      </c>
      <c r="E7765" t="n">
        <v>37.73446</v>
      </c>
      <c r="F7765" t="inlineStr"/>
      <c r="G7765" t="inlineStr"/>
      <c r="H7765" t="inlineStr"/>
    </row>
    <row r="7766">
      <c r="A7766" t="inlineStr">
        <is>
          <t>f6f8c4f9-9bcd-419c-b5dc-7f6f4056fea2.jpg</t>
        </is>
      </c>
      <c r="B7766">
        <f>HYPERLINK("Объекты недвижимости, не соответствующие градостроительным нормам_00-022_Август/f6f8c4f9-9bcd-419c-b5dc-7f6f4056fea2.jpg","open")</f>
        <v/>
      </c>
      <c r="C7766" t="inlineStr">
        <is>
          <t>685d9054-b74f-49ab-857b-109fd2cec80d</t>
        </is>
      </c>
      <c r="D7766" t="n">
        <v>55.62243</v>
      </c>
      <c r="E7766" t="n">
        <v>37.50568</v>
      </c>
      <c r="F7766" t="inlineStr"/>
      <c r="G7766" t="inlineStr"/>
      <c r="H7766" t="inlineStr"/>
    </row>
    <row r="7767">
      <c r="A7767" t="inlineStr">
        <is>
          <t>a00ae79e-aca1-43b8-89c5-87718db422b4.jpg</t>
        </is>
      </c>
      <c r="B7767">
        <f>HYPERLINK("Объекты недвижимости, не соответствующие градостроительным нормам_00-022_Август/a00ae79e-aca1-43b8-89c5-87718db422b4.jpg","open")</f>
        <v/>
      </c>
      <c r="C7767" t="inlineStr">
        <is>
          <t>a1a9db89-3f74-42ef-8fad-ad69705102cd</t>
        </is>
      </c>
      <c r="D7767" t="n">
        <v>55.78334</v>
      </c>
      <c r="E7767" t="n">
        <v>37.53604</v>
      </c>
      <c r="F7767" t="inlineStr"/>
      <c r="G7767" t="inlineStr"/>
      <c r="H7767" t="inlineStr"/>
    </row>
    <row r="7768">
      <c r="A7768" t="inlineStr">
        <is>
          <t>5ea31ce5-fc55-4c61-be8e-e7f240c1c223.jpg</t>
        </is>
      </c>
      <c r="B7768">
        <f>HYPERLINK("Объекты недвижимости, не соответствующие градостроительным нормам_00-022_Август/5ea31ce5-fc55-4c61-be8e-e7f240c1c223.jpg","open")</f>
        <v/>
      </c>
      <c r="C7768" t="inlineStr">
        <is>
          <t>cbf95b01-f708-45a3-9ec0-3603469b538e</t>
        </is>
      </c>
      <c r="D7768" t="n">
        <v>55.78334</v>
      </c>
      <c r="E7768" t="n">
        <v>37.53604</v>
      </c>
      <c r="F7768" t="inlineStr"/>
      <c r="G7768" t="inlineStr"/>
      <c r="H7768" t="inlineStr"/>
    </row>
    <row r="7769">
      <c r="A7769" t="inlineStr">
        <is>
          <t>01f2e099-9bd5-4e77-a325-1e1e755433f7.jpg</t>
        </is>
      </c>
      <c r="B7769">
        <f>HYPERLINK("Объекты недвижимости, не соответствующие градостроительным нормам_00-022_Август/01f2e099-9bd5-4e77-a325-1e1e755433f7.jpg","open")</f>
        <v/>
      </c>
      <c r="C7769" t="inlineStr">
        <is>
          <t>cbf95b01-f708-45a3-9ec0-3603469b538e</t>
        </is>
      </c>
      <c r="D7769" t="n">
        <v>55.78334</v>
      </c>
      <c r="E7769" t="n">
        <v>37.53604</v>
      </c>
      <c r="F7769" t="inlineStr"/>
      <c r="G7769" t="inlineStr"/>
      <c r="H7769" t="inlineStr"/>
    </row>
    <row r="7770">
      <c r="A7770" t="inlineStr">
        <is>
          <t>e96c0316-6258-4e88-b3aa-2c7a525b063a.jpg</t>
        </is>
      </c>
      <c r="B7770">
        <f>HYPERLINK("Объекты недвижимости, не соответствующие градостроительным нормам_00-022_Август/e96c0316-6258-4e88-b3aa-2c7a525b063a.jpg","open")</f>
        <v/>
      </c>
      <c r="C7770" t="inlineStr">
        <is>
          <t>a1a9db89-3f74-42ef-8fad-ad69705102cd</t>
        </is>
      </c>
      <c r="D7770" t="n">
        <v>55.78334</v>
      </c>
      <c r="E7770" t="n">
        <v>37.53604</v>
      </c>
      <c r="F7770" t="inlineStr"/>
      <c r="G7770" t="inlineStr"/>
      <c r="H7770" t="inlineStr"/>
    </row>
    <row r="7771">
      <c r="A7771" t="inlineStr">
        <is>
          <t>39f9b756-6309-4c86-8353-149dfe7c0d99.jpg</t>
        </is>
      </c>
      <c r="B7771">
        <f>HYPERLINK("Объекты недвижимости, не соответствующие градостроительным нормам_00-022_Август/39f9b756-6309-4c86-8353-149dfe7c0d99.jpg","open")</f>
        <v/>
      </c>
      <c r="C7771" t="inlineStr">
        <is>
          <t>cbf95b01-f708-45a3-9ec0-3603469b538e</t>
        </is>
      </c>
      <c r="D7771" t="n">
        <v>55.78334</v>
      </c>
      <c r="E7771" t="n">
        <v>37.53604</v>
      </c>
      <c r="F7771" t="inlineStr"/>
      <c r="G7771" t="inlineStr"/>
      <c r="H7771" t="inlineStr"/>
    </row>
    <row r="7772">
      <c r="A7772" t="inlineStr">
        <is>
          <t>dd514202-8a52-4d21-934f-f1174cd21d63.jpg</t>
        </is>
      </c>
      <c r="B7772">
        <f>HYPERLINK("Объекты недвижимости, не соответствующие градостроительным нормам_00-022_Август/dd514202-8a52-4d21-934f-f1174cd21d63.jpg","open")</f>
        <v/>
      </c>
      <c r="C7772" t="inlineStr">
        <is>
          <t>cbf95b01-f708-45a3-9ec0-3603469b538e</t>
        </is>
      </c>
      <c r="D7772" t="n">
        <v>55.78334</v>
      </c>
      <c r="E7772" t="n">
        <v>37.53604</v>
      </c>
      <c r="F7772" t="inlineStr"/>
      <c r="G7772" t="inlineStr"/>
      <c r="H7772" t="inlineStr"/>
    </row>
    <row r="7773">
      <c r="A7773" t="inlineStr">
        <is>
          <t>46df623c-45e9-4e62-8570-4cff14697682.jpg</t>
        </is>
      </c>
      <c r="B7773">
        <f>HYPERLINK("Объекты недвижимости, не соответствующие градостроительным нормам_00-022_Август/46df623c-45e9-4e62-8570-4cff14697682.jpg","open")</f>
        <v/>
      </c>
      <c r="C7773" t="inlineStr">
        <is>
          <t>cbf95b01-f708-45a3-9ec0-3603469b538e</t>
        </is>
      </c>
      <c r="D7773" t="n">
        <v>55.78334</v>
      </c>
      <c r="E7773" t="n">
        <v>37.53604</v>
      </c>
      <c r="F7773" t="inlineStr"/>
      <c r="G7773" t="inlineStr"/>
      <c r="H7773" t="inlineStr"/>
    </row>
    <row r="7774">
      <c r="A7774" t="inlineStr">
        <is>
          <t>7bc0258a-cd35-4dce-adbe-2a923d33d23e.jpg</t>
        </is>
      </c>
      <c r="B7774">
        <f>HYPERLINK("Объекты недвижимости, не соответствующие градостроительным нормам_00-022_Август/7bc0258a-cd35-4dce-adbe-2a923d33d23e.jpg","open")</f>
        <v/>
      </c>
      <c r="C7774" t="inlineStr">
        <is>
          <t>1231bbc5-e64c-4dc7-9acc-77710f47607a</t>
        </is>
      </c>
      <c r="D7774" t="n">
        <v>55.62221</v>
      </c>
      <c r="E7774" t="n">
        <v>37.50543</v>
      </c>
      <c r="F7774" t="inlineStr"/>
      <c r="G7774" t="inlineStr"/>
      <c r="H7774" t="inlineStr"/>
    </row>
    <row r="7775">
      <c r="A7775" t="inlineStr">
        <is>
          <t>ecdfbfd0-b870-4069-ba93-74cf52760d29.jpg</t>
        </is>
      </c>
      <c r="B7775">
        <f>HYPERLINK("Объекты недвижимости, не соответствующие градостроительным нормам_00-022_Август/ecdfbfd0-b870-4069-ba93-74cf52760d29.jpg","open")</f>
        <v/>
      </c>
      <c r="C7775" t="inlineStr">
        <is>
          <t>cbf95b01-f708-45a3-9ec0-3603469b538e</t>
        </is>
      </c>
      <c r="D7775" t="n">
        <v>55.78334</v>
      </c>
      <c r="E7775" t="n">
        <v>37.53604</v>
      </c>
      <c r="F7775" t="inlineStr"/>
      <c r="G7775" t="inlineStr"/>
      <c r="H7775" t="inlineStr"/>
    </row>
    <row r="7776">
      <c r="A7776" t="inlineStr">
        <is>
          <t>fdde5081-86a5-4a7f-b77b-a2654793db15.jpg</t>
        </is>
      </c>
      <c r="B7776">
        <f>HYPERLINK("Объекты недвижимости, не соответствующие градостроительным нормам_00-022_Август/fdde5081-86a5-4a7f-b77b-a2654793db15.jpg","open")</f>
        <v/>
      </c>
      <c r="C7776" t="inlineStr">
        <is>
          <t>1231bbc5-e64c-4dc7-9acc-77710f47607a</t>
        </is>
      </c>
      <c r="D7776" t="n">
        <v>55.62247</v>
      </c>
      <c r="E7776" t="n">
        <v>37.50569</v>
      </c>
      <c r="F7776" t="inlineStr"/>
      <c r="G7776" t="inlineStr"/>
      <c r="H7776" t="inlineStr"/>
    </row>
    <row r="7777">
      <c r="A7777" t="inlineStr">
        <is>
          <t>9b6cf507-cf36-4265-a22c-f9e3f466bdeb.jpg</t>
        </is>
      </c>
      <c r="B7777">
        <f>HYPERLINK("Объекты недвижимости, не соответствующие градостроительным нормам_00-022_Август/9b6cf507-cf36-4265-a22c-f9e3f466bdeb.jpg","open")</f>
        <v/>
      </c>
      <c r="C7777" t="inlineStr">
        <is>
          <t>8996eb30-6497-4318-8a0e-b95314b8172e</t>
        </is>
      </c>
      <c r="D7777" t="n">
        <v>55.67413</v>
      </c>
      <c r="E7777" t="n">
        <v>37.7346</v>
      </c>
      <c r="F7777" t="inlineStr"/>
      <c r="G7777" t="inlineStr"/>
      <c r="H7777" t="inlineStr"/>
    </row>
    <row r="7778">
      <c r="A7778" t="inlineStr">
        <is>
          <t>d0b44f67-b10c-4700-85b8-a3769d02fd3d.jpg</t>
        </is>
      </c>
      <c r="B7778">
        <f>HYPERLINK("Объекты недвижимости, не соответствующие градостроительным нормам_00-022_Август/d0b44f67-b10c-4700-85b8-a3769d02fd3d.jpg","open")</f>
        <v/>
      </c>
      <c r="C7778" t="inlineStr">
        <is>
          <t>1231bbc5-e64c-4dc7-9acc-77710f47607a</t>
        </is>
      </c>
      <c r="D7778" t="n">
        <v>55.6213</v>
      </c>
      <c r="E7778" t="n">
        <v>37.50631</v>
      </c>
      <c r="F7778" t="inlineStr"/>
      <c r="G7778" t="inlineStr"/>
      <c r="H7778" t="inlineStr"/>
    </row>
    <row r="7779">
      <c r="A7779" t="inlineStr">
        <is>
          <t>093d37ac-3d29-4d72-a75d-bd1929c5b468.jpg</t>
        </is>
      </c>
      <c r="B7779">
        <f>HYPERLINK("Объекты недвижимости, не соответствующие градостроительным нормам_00-022_Август/093d37ac-3d29-4d72-a75d-bd1929c5b468.jpg","open")</f>
        <v/>
      </c>
      <c r="C7779" t="inlineStr">
        <is>
          <t>8996eb30-6497-4318-8a0e-b95314b8172e</t>
        </is>
      </c>
      <c r="D7779" t="n">
        <v>55.67899</v>
      </c>
      <c r="E7779" t="n">
        <v>37.7336</v>
      </c>
      <c r="F7779" t="inlineStr"/>
      <c r="G7779" t="inlineStr"/>
      <c r="H7779" t="inlineStr"/>
    </row>
    <row r="7780">
      <c r="A7780" t="inlineStr">
        <is>
          <t>00430613-fa40-47dd-80dd-4e3627ffdf5b.jpg</t>
        </is>
      </c>
      <c r="B7780">
        <f>HYPERLINK("Объекты недвижимости, не соответствующие градостроительным нормам_00-022_Август/00430613-fa40-47dd-80dd-4e3627ffdf5b.jpg","open")</f>
        <v/>
      </c>
      <c r="C7780" t="inlineStr">
        <is>
          <t>036c664f-5408-4fd0-b479-342c00468eeb</t>
        </is>
      </c>
      <c r="D7780" t="n">
        <v>55.96687</v>
      </c>
      <c r="E7780" t="n">
        <v>37.42578</v>
      </c>
      <c r="F7780" t="inlineStr"/>
      <c r="G7780" t="inlineStr"/>
      <c r="H7780" t="inlineStr"/>
    </row>
    <row r="7781">
      <c r="A7781" t="inlineStr">
        <is>
          <t>e3c63192-3523-4e2a-9880-6d0199362b67.jpg</t>
        </is>
      </c>
      <c r="B7781">
        <f>HYPERLINK("Объекты недвижимости, не соответствующие градостроительным нормам_00-022_Август/e3c63192-3523-4e2a-9880-6d0199362b67.jpg","open")</f>
        <v/>
      </c>
      <c r="C7781" t="inlineStr">
        <is>
          <t>91248771-2c4d-44f3-b3cf-d536bd4ae73c</t>
        </is>
      </c>
      <c r="D7781" t="n">
        <v>55.77229</v>
      </c>
      <c r="E7781" t="n">
        <v>37.71272</v>
      </c>
      <c r="F7781" t="inlineStr"/>
      <c r="G7781" t="inlineStr"/>
      <c r="H7781" t="inlineStr"/>
    </row>
    <row r="7782">
      <c r="A7782" t="inlineStr">
        <is>
          <t>fa7e45b6-5b77-4c9d-a4e0-90425d50298a.jpg</t>
        </is>
      </c>
      <c r="B7782">
        <f>HYPERLINK("Объекты недвижимости, не соответствующие градостроительным нормам_00-022_Август/fa7e45b6-5b77-4c9d-a4e0-90425d50298a.jpg","open")</f>
        <v/>
      </c>
      <c r="C7782" t="inlineStr">
        <is>
          <t>50e4626c-a80e-42ab-b999-b5092c2c063f</t>
        </is>
      </c>
      <c r="D7782" t="n">
        <v>55.74344</v>
      </c>
      <c r="E7782" t="n">
        <v>37.70758</v>
      </c>
      <c r="F7782" t="inlineStr"/>
      <c r="G7782" t="inlineStr"/>
      <c r="H7782" t="inlineStr"/>
    </row>
    <row r="7783">
      <c r="A7783" t="inlineStr">
        <is>
          <t>04b93ebd-18e3-489a-afef-e8eddfebccb1.jpg</t>
        </is>
      </c>
      <c r="B7783">
        <f>HYPERLINK("Объекты недвижимости, не соответствующие градостроительным нормам_00-022_Август/04b93ebd-18e3-489a-afef-e8eddfebccb1.jpg","open")</f>
        <v/>
      </c>
      <c r="C7783" t="inlineStr">
        <is>
          <t>caa4772d-6278-4484-a046-ee25514bf521</t>
        </is>
      </c>
      <c r="D7783" t="n">
        <v>55.6853</v>
      </c>
      <c r="E7783" t="n">
        <v>37.47863</v>
      </c>
      <c r="F7783" t="inlineStr"/>
      <c r="G7783" t="inlineStr"/>
      <c r="H7783" t="inlineStr"/>
    </row>
    <row r="7784">
      <c r="A7784" t="inlineStr">
        <is>
          <t>63bf9ff5-fdab-4909-9a1b-c40aac46e58a.jpg</t>
        </is>
      </c>
      <c r="B7784">
        <f>HYPERLINK("Объекты недвижимости, не соответствующие градостроительным нормам_00-022_Август/63bf9ff5-fdab-4909-9a1b-c40aac46e58a.jpg","open")</f>
        <v/>
      </c>
      <c r="C7784" t="inlineStr">
        <is>
          <t>8996eb30-6497-4318-8a0e-b95314b8172e</t>
        </is>
      </c>
      <c r="D7784" t="n">
        <v>55.67318</v>
      </c>
      <c r="E7784" t="n">
        <v>37.73565</v>
      </c>
      <c r="F7784" t="inlineStr"/>
      <c r="G7784" t="inlineStr"/>
      <c r="H7784" t="inlineStr"/>
    </row>
    <row r="7785">
      <c r="A7785" t="inlineStr">
        <is>
          <t>e4b51710-ef52-43dd-8e35-e2d8ad82cc7a.jpg</t>
        </is>
      </c>
      <c r="B7785">
        <f>HYPERLINK("Объекты недвижимости, не соответствующие градостроительным нормам_00-022_Август/e4b51710-ef52-43dd-8e35-e2d8ad82cc7a.jpg","open")</f>
        <v/>
      </c>
      <c r="C7785" t="inlineStr">
        <is>
          <t>a1a9db89-3f74-42ef-8fad-ad69705102cd</t>
        </is>
      </c>
      <c r="D7785" t="n">
        <v>55.78334</v>
      </c>
      <c r="E7785" t="n">
        <v>37.53604</v>
      </c>
      <c r="F7785" t="inlineStr"/>
      <c r="G7785" t="inlineStr"/>
      <c r="H7785" t="inlineStr"/>
    </row>
    <row r="7786">
      <c r="A7786" t="inlineStr">
        <is>
          <t>5885b2e8-84af-4b04-a188-f044687a6716.jpg</t>
        </is>
      </c>
      <c r="B7786">
        <f>HYPERLINK("Объекты недвижимости, не соответствующие градостроительным нормам_00-022_Август/5885b2e8-84af-4b04-a188-f044687a6716.jpg","open")</f>
        <v/>
      </c>
      <c r="C7786" t="inlineStr">
        <is>
          <t>a1a9db89-3f74-42ef-8fad-ad69705102cd</t>
        </is>
      </c>
      <c r="D7786" t="n">
        <v>55.78334</v>
      </c>
      <c r="E7786" t="n">
        <v>37.53604</v>
      </c>
      <c r="F7786" t="inlineStr"/>
      <c r="G7786" t="inlineStr"/>
      <c r="H7786" t="inlineStr"/>
    </row>
    <row r="7787">
      <c r="A7787" t="inlineStr">
        <is>
          <t>d440e6b3-8cab-4a4a-b8ac-51fc4c28287f.jpg</t>
        </is>
      </c>
      <c r="B7787">
        <f>HYPERLINK("Объекты недвижимости, не соответствующие градостроительным нормам_00-022_Август/d440e6b3-8cab-4a4a-b8ac-51fc4c28287f.jpg","open")</f>
        <v/>
      </c>
      <c r="C7787" t="inlineStr">
        <is>
          <t>a1a9db89-3f74-42ef-8fad-ad69705102cd</t>
        </is>
      </c>
      <c r="D7787" t="n">
        <v>55.78334</v>
      </c>
      <c r="E7787" t="n">
        <v>37.53604</v>
      </c>
      <c r="F7787" t="inlineStr"/>
      <c r="G7787" t="inlineStr"/>
      <c r="H7787" t="inlineStr"/>
    </row>
    <row r="7788">
      <c r="A7788" t="inlineStr">
        <is>
          <t>141ae5aa-e13f-41af-8300-b8b0a6fe37c3.jpg</t>
        </is>
      </c>
      <c r="B7788">
        <f>HYPERLINK("Объекты недвижимости, не соответствующие градостроительным нормам_00-022_Август/141ae5aa-e13f-41af-8300-b8b0a6fe37c3.jpg","open")</f>
        <v/>
      </c>
      <c r="C7788" t="inlineStr">
        <is>
          <t>cbf95b01-f708-45a3-9ec0-3603469b538e</t>
        </is>
      </c>
      <c r="D7788" t="n">
        <v>55.78334</v>
      </c>
      <c r="E7788" t="n">
        <v>37.53604</v>
      </c>
      <c r="F7788" t="inlineStr"/>
      <c r="G7788" t="inlineStr"/>
      <c r="H7788" t="inlineStr"/>
    </row>
    <row r="7789">
      <c r="A7789" t="inlineStr">
        <is>
          <t>dc1f230a-611b-495b-9d87-19a89f3f9d63.jpg</t>
        </is>
      </c>
      <c r="B7789">
        <f>HYPERLINK("Объекты недвижимости, не соответствующие градостроительным нормам_00-022_Август/dc1f230a-611b-495b-9d87-19a89f3f9d63.jpg","open")</f>
        <v/>
      </c>
      <c r="C7789" t="inlineStr">
        <is>
          <t>a1a9db89-3f74-42ef-8fad-ad69705102cd</t>
        </is>
      </c>
      <c r="D7789" t="n">
        <v>55.78334</v>
      </c>
      <c r="E7789" t="n">
        <v>37.53604</v>
      </c>
      <c r="F7789" t="inlineStr"/>
      <c r="G7789" t="inlineStr"/>
      <c r="H7789" t="inlineStr"/>
    </row>
    <row r="7790">
      <c r="A7790" t="inlineStr">
        <is>
          <t>060f4499-a6c1-4420-ae21-efd3f9781672.jpg</t>
        </is>
      </c>
      <c r="B7790">
        <f>HYPERLINK("Объекты недвижимости, не соответствующие градостроительным нормам_00-022_Август/060f4499-a6c1-4420-ae21-efd3f9781672.jpg","open")</f>
        <v/>
      </c>
      <c r="C7790" t="inlineStr">
        <is>
          <t>cbf95b01-f708-45a3-9ec0-3603469b538e</t>
        </is>
      </c>
      <c r="D7790" t="n">
        <v>55.78334</v>
      </c>
      <c r="E7790" t="n">
        <v>37.53604</v>
      </c>
      <c r="F7790" t="inlineStr"/>
      <c r="G7790" t="inlineStr"/>
      <c r="H7790" t="inlineStr"/>
    </row>
    <row r="7791">
      <c r="A7791" t="inlineStr">
        <is>
          <t>282ab910-c872-46db-8cc1-3c494f917cfb.jpg</t>
        </is>
      </c>
      <c r="B7791">
        <f>HYPERLINK("Объекты недвижимости, не соответствующие градостроительным нормам_00-022_Август/282ab910-c872-46db-8cc1-3c494f917cfb.jpg","open")</f>
        <v/>
      </c>
      <c r="C7791" t="inlineStr">
        <is>
          <t>a1a9db89-3f74-42ef-8fad-ad69705102cd</t>
        </is>
      </c>
      <c r="D7791" t="n">
        <v>55.78334</v>
      </c>
      <c r="E7791" t="n">
        <v>37.53604</v>
      </c>
      <c r="F7791" t="inlineStr"/>
      <c r="G7791" t="inlineStr"/>
      <c r="H7791" t="inlineStr"/>
    </row>
    <row r="7792">
      <c r="A7792" t="inlineStr">
        <is>
          <t>d8ced163-3dfa-4d93-8efe-fffc776aa612.jpg</t>
        </is>
      </c>
      <c r="B7792">
        <f>HYPERLINK("Объекты недвижимости, не соответствующие градостроительным нормам_00-022_Август/d8ced163-3dfa-4d93-8efe-fffc776aa612.jpg","open")</f>
        <v/>
      </c>
      <c r="C7792" t="inlineStr">
        <is>
          <t>a1a9db89-3f74-42ef-8fad-ad69705102cd</t>
        </is>
      </c>
      <c r="D7792" t="n">
        <v>55.78334</v>
      </c>
      <c r="E7792" t="n">
        <v>37.53604</v>
      </c>
      <c r="F7792" t="inlineStr"/>
      <c r="G7792" t="inlineStr"/>
      <c r="H7792" t="inlineStr"/>
    </row>
    <row r="7793">
      <c r="A7793" t="inlineStr">
        <is>
          <t>f14def93-4ae7-481a-be7f-0dde578b711e.jpg</t>
        </is>
      </c>
      <c r="B7793">
        <f>HYPERLINK("Объекты недвижимости, не соответствующие градостроительным нормам_00-022_Август/f14def93-4ae7-481a-be7f-0dde578b711e.jpg","open")</f>
        <v/>
      </c>
      <c r="C7793" t="inlineStr">
        <is>
          <t>cbf95b01-f708-45a3-9ec0-3603469b538e</t>
        </is>
      </c>
      <c r="D7793" t="n">
        <v>55.78334</v>
      </c>
      <c r="E7793" t="n">
        <v>37.53604</v>
      </c>
      <c r="F7793" t="inlineStr"/>
      <c r="G7793" t="inlineStr"/>
      <c r="H7793" t="inlineStr"/>
    </row>
    <row r="7794">
      <c r="A7794" t="inlineStr">
        <is>
          <t>91fe182b-f554-45e5-9ae9-ae01f0cfeef5.jpg</t>
        </is>
      </c>
      <c r="B7794">
        <f>HYPERLINK("Объекты недвижимости, не соответствующие градостроительным нормам_00-022_Август/91fe182b-f554-45e5-9ae9-ae01f0cfeef5.jpg","open")</f>
        <v/>
      </c>
      <c r="C7794" t="inlineStr">
        <is>
          <t>cbf95b01-f708-45a3-9ec0-3603469b538e</t>
        </is>
      </c>
      <c r="D7794" t="n">
        <v>55.78334</v>
      </c>
      <c r="E7794" t="n">
        <v>37.53604</v>
      </c>
      <c r="F7794" t="inlineStr"/>
      <c r="G7794" t="inlineStr"/>
      <c r="H7794" t="inlineStr"/>
    </row>
    <row r="7795">
      <c r="A7795" t="inlineStr">
        <is>
          <t>f1de600e-c3ea-49a0-828a-c93c3b607fea.jpg</t>
        </is>
      </c>
      <c r="B7795">
        <f>HYPERLINK("Объекты недвижимости, не соответствующие градостроительным нормам_00-022_Август/f1de600e-c3ea-49a0-828a-c93c3b607fea.jpg","open")</f>
        <v/>
      </c>
      <c r="C7795" t="inlineStr">
        <is>
          <t>a1a9db89-3f74-42ef-8fad-ad69705102cd</t>
        </is>
      </c>
      <c r="D7795" t="n">
        <v>55.78334</v>
      </c>
      <c r="E7795" t="n">
        <v>37.53604</v>
      </c>
      <c r="F7795" t="inlineStr"/>
      <c r="G7795" t="inlineStr"/>
      <c r="H7795" t="inlineStr"/>
    </row>
    <row r="7796">
      <c r="A7796" t="inlineStr">
        <is>
          <t>6347b3ff-c1c5-49f7-bd67-3fc3cf26f89f.jpg</t>
        </is>
      </c>
      <c r="B7796">
        <f>HYPERLINK("Объекты недвижимости, не соответствующие градостроительным нормам_00-022_Август/6347b3ff-c1c5-49f7-bd67-3fc3cf26f89f.jpg","open")</f>
        <v/>
      </c>
      <c r="C7796" t="inlineStr">
        <is>
          <t>a1a9db89-3f74-42ef-8fad-ad69705102cd</t>
        </is>
      </c>
      <c r="D7796" t="n">
        <v>55.78334</v>
      </c>
      <c r="E7796" t="n">
        <v>37.53604</v>
      </c>
      <c r="F7796" t="inlineStr"/>
      <c r="G7796" t="inlineStr"/>
      <c r="H7796" t="inlineStr"/>
    </row>
    <row r="7797">
      <c r="A7797" t="inlineStr">
        <is>
          <t>35783825-8724-4f31-91b3-f6a5fc17506e.jpg</t>
        </is>
      </c>
      <c r="B7797">
        <f>HYPERLINK("Объекты недвижимости, не соответствующие градостроительным нормам_00-022_Август/35783825-8724-4f31-91b3-f6a5fc17506e.jpg","open")</f>
        <v/>
      </c>
      <c r="C7797" t="inlineStr">
        <is>
          <t>a1a9db89-3f74-42ef-8fad-ad69705102cd</t>
        </is>
      </c>
      <c r="D7797" t="n">
        <v>55.78334</v>
      </c>
      <c r="E7797" t="n">
        <v>37.53604</v>
      </c>
      <c r="F7797" t="inlineStr"/>
      <c r="G7797" t="inlineStr"/>
      <c r="H7797" t="inlineStr"/>
    </row>
    <row r="7798">
      <c r="A7798" t="inlineStr">
        <is>
          <t>7b5827dc-73ca-4b5d-9abf-8e46378deae0.jpg</t>
        </is>
      </c>
      <c r="B7798">
        <f>HYPERLINK("Объекты недвижимости, не соответствующие градостроительным нормам_00-022_Август/7b5827dc-73ca-4b5d-9abf-8e46378deae0.jpg","open")</f>
        <v/>
      </c>
      <c r="C7798" t="inlineStr">
        <is>
          <t>a1a9db89-3f74-42ef-8fad-ad69705102cd</t>
        </is>
      </c>
      <c r="D7798" t="n">
        <v>55.78334</v>
      </c>
      <c r="E7798" t="n">
        <v>37.53604</v>
      </c>
      <c r="F7798" t="inlineStr"/>
      <c r="G7798" t="inlineStr"/>
      <c r="H7798" t="inlineStr"/>
    </row>
    <row r="7799">
      <c r="A7799" t="inlineStr">
        <is>
          <t>f9030c3e-2a7b-488b-b14f-69a42753c4de.jpg</t>
        </is>
      </c>
      <c r="B7799">
        <f>HYPERLINK("Объекты недвижимости, не соответствующие градостроительным нормам_00-022_Август/f9030c3e-2a7b-488b-b14f-69a42753c4de.jpg","open")</f>
        <v/>
      </c>
      <c r="C7799" t="inlineStr">
        <is>
          <t>cbf95b01-f708-45a3-9ec0-3603469b538e</t>
        </is>
      </c>
      <c r="D7799" t="n">
        <v>55.78334</v>
      </c>
      <c r="E7799" t="n">
        <v>37.53604</v>
      </c>
      <c r="F7799" t="inlineStr"/>
      <c r="G7799" t="inlineStr"/>
      <c r="H7799" t="inlineStr"/>
    </row>
    <row r="7800">
      <c r="A7800" t="inlineStr">
        <is>
          <t>c6279ed9-5638-4783-a554-52b409725dc2.jpg</t>
        </is>
      </c>
      <c r="B7800">
        <f>HYPERLINK("Объекты недвижимости, не соответствующие градостроительным нормам_00-022_Август/c6279ed9-5638-4783-a554-52b409725dc2.jpg","open")</f>
        <v/>
      </c>
      <c r="C7800" t="inlineStr">
        <is>
          <t>cbf95b01-f708-45a3-9ec0-3603469b538e</t>
        </is>
      </c>
      <c r="D7800" t="n">
        <v>55.78334</v>
      </c>
      <c r="E7800" t="n">
        <v>37.53604</v>
      </c>
      <c r="F7800" t="inlineStr"/>
      <c r="G7800" t="inlineStr"/>
      <c r="H7800" t="inlineStr"/>
    </row>
    <row r="7801">
      <c r="A7801" t="inlineStr">
        <is>
          <t>b787f493-a73b-4d79-8350-ca44e9d488a8.jpg</t>
        </is>
      </c>
      <c r="B7801">
        <f>HYPERLINK("Объекты недвижимости, не соответствующие градостроительным нормам_00-022_Август/b787f493-a73b-4d79-8350-ca44e9d488a8.jpg","open")</f>
        <v/>
      </c>
      <c r="C7801" t="inlineStr">
        <is>
          <t>cbf95b01-f708-45a3-9ec0-3603469b538e</t>
        </is>
      </c>
      <c r="D7801" t="n">
        <v>55.78334</v>
      </c>
      <c r="E7801" t="n">
        <v>37.53604</v>
      </c>
      <c r="F7801" t="inlineStr"/>
      <c r="G7801" t="inlineStr"/>
      <c r="H7801" t="inlineStr"/>
    </row>
    <row r="7802">
      <c r="A7802" t="inlineStr">
        <is>
          <t>60d6fee8-8f57-42a2-917c-be14a4652714.jpg</t>
        </is>
      </c>
      <c r="B7802">
        <f>HYPERLINK("Объекты недвижимости, не соответствующие градостроительным нормам_00-022_Август/60d6fee8-8f57-42a2-917c-be14a4652714.jpg","open")</f>
        <v/>
      </c>
      <c r="C7802" t="inlineStr">
        <is>
          <t>cbf95b01-f708-45a3-9ec0-3603469b538e</t>
        </is>
      </c>
      <c r="D7802" t="n">
        <v>55.78334</v>
      </c>
      <c r="E7802" t="n">
        <v>37.53604</v>
      </c>
      <c r="F7802" t="inlineStr"/>
      <c r="G7802" t="inlineStr"/>
      <c r="H7802" t="inlineStr"/>
    </row>
    <row r="7803">
      <c r="A7803" t="inlineStr">
        <is>
          <t>80cb9c98-7281-4d45-b63f-1bae803bf013.jpg</t>
        </is>
      </c>
      <c r="B7803">
        <f>HYPERLINK("Объекты недвижимости, не соответствующие градостроительным нормам_00-022_Август/80cb9c98-7281-4d45-b63f-1bae803bf013.jpg","open")</f>
        <v/>
      </c>
      <c r="C7803" t="inlineStr">
        <is>
          <t>cbf95b01-f708-45a3-9ec0-3603469b538e</t>
        </is>
      </c>
      <c r="D7803" t="n">
        <v>55.78334</v>
      </c>
      <c r="E7803" t="n">
        <v>37.53604</v>
      </c>
      <c r="F7803" t="inlineStr"/>
      <c r="G7803" t="inlineStr"/>
      <c r="H7803" t="inlineStr"/>
    </row>
    <row r="7804">
      <c r="A7804" t="inlineStr">
        <is>
          <t>dae7e556-94a4-4fce-951e-cd7b60858daf.jpg</t>
        </is>
      </c>
      <c r="B7804">
        <f>HYPERLINK("Объекты недвижимости, не соответствующие градостроительным нормам_00-022_Август/dae7e556-94a4-4fce-951e-cd7b60858daf.jpg","open")</f>
        <v/>
      </c>
      <c r="C7804" t="inlineStr">
        <is>
          <t>a1a9db89-3f74-42ef-8fad-ad69705102cd</t>
        </is>
      </c>
      <c r="D7804" t="n">
        <v>55.78334</v>
      </c>
      <c r="E7804" t="n">
        <v>37.53604</v>
      </c>
      <c r="F7804" t="inlineStr"/>
      <c r="G7804" t="inlineStr"/>
      <c r="H7804" t="inlineStr"/>
    </row>
    <row r="7805">
      <c r="A7805" t="inlineStr">
        <is>
          <t>d19d2066-3f0a-4f77-9fe5-159df7d10647.jpg</t>
        </is>
      </c>
      <c r="B7805">
        <f>HYPERLINK("Объекты недвижимости, не соответствующие градостроительным нормам_00-022_Август/d19d2066-3f0a-4f77-9fe5-159df7d10647.jpg","open")</f>
        <v/>
      </c>
      <c r="C7805" t="inlineStr">
        <is>
          <t>cbf95b01-f708-45a3-9ec0-3603469b538e</t>
        </is>
      </c>
      <c r="D7805" t="n">
        <v>55.78334</v>
      </c>
      <c r="E7805" t="n">
        <v>37.53604</v>
      </c>
      <c r="F7805" t="inlineStr"/>
      <c r="G7805" t="inlineStr"/>
      <c r="H7805" t="inlineStr"/>
    </row>
    <row r="7806">
      <c r="A7806" t="inlineStr">
        <is>
          <t>1908f558-697a-4512-b4ce-126505f180a0.jpg</t>
        </is>
      </c>
      <c r="B7806">
        <f>HYPERLINK("Объекты недвижимости, не соответствующие градостроительным нормам_00-022_Август/1908f558-697a-4512-b4ce-126505f180a0.jpg","open")</f>
        <v/>
      </c>
      <c r="C7806" t="inlineStr">
        <is>
          <t>a1a9db89-3f74-42ef-8fad-ad69705102cd</t>
        </is>
      </c>
      <c r="D7806" t="n">
        <v>55.78334</v>
      </c>
      <c r="E7806" t="n">
        <v>37.53604</v>
      </c>
      <c r="F7806" t="inlineStr"/>
      <c r="G7806" t="inlineStr"/>
      <c r="H7806" t="inlineStr"/>
    </row>
    <row r="7807">
      <c r="A7807" t="inlineStr">
        <is>
          <t>5f180534-c39f-4d79-bcd3-e96b0fd2f50d.jpg</t>
        </is>
      </c>
      <c r="B7807">
        <f>HYPERLINK("Объекты недвижимости, не соответствующие градостроительным нормам_00-022_Август/5f180534-c39f-4d79-bcd3-e96b0fd2f50d.jpg","open")</f>
        <v/>
      </c>
      <c r="C7807" t="inlineStr">
        <is>
          <t>cbf95b01-f708-45a3-9ec0-3603469b538e</t>
        </is>
      </c>
      <c r="D7807" t="n">
        <v>55.78334</v>
      </c>
      <c r="E7807" t="n">
        <v>37.53604</v>
      </c>
      <c r="F7807" t="inlineStr"/>
      <c r="G7807" t="inlineStr"/>
      <c r="H7807" t="inlineStr"/>
    </row>
    <row r="7808">
      <c r="A7808" t="inlineStr">
        <is>
          <t>3ef1ed29-3337-4231-8dcf-60aa2a2361cb.jpg</t>
        </is>
      </c>
      <c r="B7808">
        <f>HYPERLINK("Объекты недвижимости, не соответствующие градостроительным нормам_00-022_Август/3ef1ed29-3337-4231-8dcf-60aa2a2361cb.jpg","open")</f>
        <v/>
      </c>
      <c r="C7808" t="inlineStr">
        <is>
          <t>cbf95b01-f708-45a3-9ec0-3603469b538e</t>
        </is>
      </c>
      <c r="D7808" t="n">
        <v>55.78334</v>
      </c>
      <c r="E7808" t="n">
        <v>37.53604</v>
      </c>
      <c r="F7808" t="inlineStr"/>
      <c r="G7808" t="inlineStr"/>
      <c r="H7808" t="inlineStr"/>
    </row>
    <row r="7809">
      <c r="A7809" t="inlineStr">
        <is>
          <t>7f1ce35b-e43c-4fcd-8f91-f4e4b7a808d1.jpg</t>
        </is>
      </c>
      <c r="B7809">
        <f>HYPERLINK("Объекты недвижимости, не соответствующие градостроительным нормам_00-022_Август/7f1ce35b-e43c-4fcd-8f91-f4e4b7a808d1.jpg","open")</f>
        <v/>
      </c>
      <c r="C7809" t="inlineStr">
        <is>
          <t>cbf95b01-f708-45a3-9ec0-3603469b538e</t>
        </is>
      </c>
      <c r="D7809" t="n">
        <v>55.78334</v>
      </c>
      <c r="E7809" t="n">
        <v>37.53604</v>
      </c>
      <c r="F7809" t="inlineStr"/>
      <c r="G7809" t="inlineStr"/>
      <c r="H7809" t="inlineStr"/>
    </row>
    <row r="7810">
      <c r="A7810" t="inlineStr">
        <is>
          <t>16fb2fb2-e7db-4cc8-99de-2e2c9d944dcb.jpg</t>
        </is>
      </c>
      <c r="B7810">
        <f>HYPERLINK("Объекты недвижимости, не соответствующие градостроительным нормам_00-022_Август/16fb2fb2-e7db-4cc8-99de-2e2c9d944dcb.jpg","open")</f>
        <v/>
      </c>
      <c r="C7810" t="inlineStr">
        <is>
          <t>cbf95b01-f708-45a3-9ec0-3603469b538e</t>
        </is>
      </c>
      <c r="D7810" t="n">
        <v>55.78334</v>
      </c>
      <c r="E7810" t="n">
        <v>37.53604</v>
      </c>
      <c r="F7810" t="inlineStr"/>
      <c r="G7810" t="inlineStr"/>
      <c r="H7810" t="inlineStr"/>
    </row>
    <row r="7811">
      <c r="A7811" t="inlineStr">
        <is>
          <t>be5e7b07-1f40-462d-906c-92519436ce95.jpg</t>
        </is>
      </c>
      <c r="B7811">
        <f>HYPERLINK("Объекты недвижимости, не соответствующие градостроительным нормам_00-022_Август/be5e7b07-1f40-462d-906c-92519436ce95.jpg","open")</f>
        <v/>
      </c>
      <c r="C7811" t="inlineStr">
        <is>
          <t>cbf95b01-f708-45a3-9ec0-3603469b538e</t>
        </is>
      </c>
      <c r="D7811" t="n">
        <v>55.78334</v>
      </c>
      <c r="E7811" t="n">
        <v>37.53604</v>
      </c>
      <c r="F7811" t="inlineStr"/>
      <c r="G7811" t="inlineStr"/>
      <c r="H7811" t="inlineStr"/>
    </row>
    <row r="7812">
      <c r="A7812" t="inlineStr">
        <is>
          <t>b1c3ba2a-ebdf-45c3-b8a4-2a0d11701caf.jpg</t>
        </is>
      </c>
      <c r="B7812">
        <f>HYPERLINK("Объекты недвижимости, не соответствующие градостроительным нормам_00-022_Август/b1c3ba2a-ebdf-45c3-b8a4-2a0d11701caf.jpg","open")</f>
        <v/>
      </c>
      <c r="C7812" t="inlineStr">
        <is>
          <t>cbf95b01-f708-45a3-9ec0-3603469b538e</t>
        </is>
      </c>
      <c r="D7812" t="n">
        <v>55.78334</v>
      </c>
      <c r="E7812" t="n">
        <v>37.53604</v>
      </c>
      <c r="F7812" t="inlineStr"/>
      <c r="G7812" t="inlineStr"/>
      <c r="H7812" t="inlineStr"/>
    </row>
    <row r="7813">
      <c r="A7813" t="inlineStr">
        <is>
          <t>20be5036-acd0-46b7-990a-287e45771a4d.jpg</t>
        </is>
      </c>
      <c r="B7813">
        <f>HYPERLINK("Объекты недвижимости, не соответствующие градостроительным нормам_00-022_Август/20be5036-acd0-46b7-990a-287e45771a4d.jpg","open")</f>
        <v/>
      </c>
      <c r="C7813" t="inlineStr">
        <is>
          <t>cbf95b01-f708-45a3-9ec0-3603469b538e</t>
        </is>
      </c>
      <c r="D7813" t="n">
        <v>55.78334</v>
      </c>
      <c r="E7813" t="n">
        <v>37.53604</v>
      </c>
      <c r="F7813" t="inlineStr"/>
      <c r="G7813" t="inlineStr"/>
      <c r="H7813" t="inlineStr"/>
    </row>
    <row r="7814">
      <c r="A7814" t="inlineStr">
        <is>
          <t>eb535481-5f89-49da-91ef-7532873f4c2c.jpg</t>
        </is>
      </c>
      <c r="B7814">
        <f>HYPERLINK("Объекты недвижимости, не соответствующие градостроительным нормам_00-022_Август/eb535481-5f89-49da-91ef-7532873f4c2c.jpg","open")</f>
        <v/>
      </c>
      <c r="C7814" t="inlineStr">
        <is>
          <t>a1a9db89-3f74-42ef-8fad-ad69705102cd</t>
        </is>
      </c>
      <c r="D7814" t="n">
        <v>55.78334</v>
      </c>
      <c r="E7814" t="n">
        <v>37.53604</v>
      </c>
      <c r="F7814" t="inlineStr"/>
      <c r="G7814" t="inlineStr"/>
      <c r="H7814" t="inlineStr"/>
    </row>
    <row r="7815">
      <c r="A7815" t="inlineStr">
        <is>
          <t>94bea1fe-ebd6-400d-92d0-e9d669c92354.jpg</t>
        </is>
      </c>
      <c r="B7815">
        <f>HYPERLINK("Объекты недвижимости, не соответствующие градостроительным нормам_00-022_Август/94bea1fe-ebd6-400d-92d0-e9d669c92354.jpg","open")</f>
        <v/>
      </c>
      <c r="C7815" t="inlineStr">
        <is>
          <t>cbf95b01-f708-45a3-9ec0-3603469b538e</t>
        </is>
      </c>
      <c r="D7815" t="n">
        <v>55.78334</v>
      </c>
      <c r="E7815" t="n">
        <v>37.53604</v>
      </c>
      <c r="F7815" t="inlineStr"/>
      <c r="G7815" t="inlineStr"/>
      <c r="H7815" t="inlineStr"/>
    </row>
    <row r="7816">
      <c r="A7816" t="inlineStr">
        <is>
          <t>0be6bc6e-39d7-43d7-90e8-ad81e62befbb.jpg</t>
        </is>
      </c>
      <c r="B7816">
        <f>HYPERLINK("Объекты недвижимости, не соответствующие градостроительным нормам_00-022_Август/0be6bc6e-39d7-43d7-90e8-ad81e62befbb.jpg","open")</f>
        <v/>
      </c>
      <c r="C7816" t="inlineStr">
        <is>
          <t>8996eb30-6497-4318-8a0e-b95314b8172e</t>
        </is>
      </c>
      <c r="D7816" t="n">
        <v>55.66915</v>
      </c>
      <c r="E7816" t="n">
        <v>37.73373</v>
      </c>
      <c r="F7816" t="inlineStr"/>
      <c r="G7816" t="inlineStr"/>
      <c r="H7816" t="inlineStr"/>
    </row>
    <row r="7817">
      <c r="A7817" t="inlineStr">
        <is>
          <t>9acc720b-ab1d-4090-ab9a-ac7f8f8332be.jpg</t>
        </is>
      </c>
      <c r="B7817">
        <f>HYPERLINK("Объекты недвижимости, не соответствующие градостроительным нормам_00-022_Август/9acc720b-ab1d-4090-ab9a-ac7f8f8332be.jpg","open")</f>
        <v/>
      </c>
      <c r="C7817" t="inlineStr">
        <is>
          <t>a1a9db89-3f74-42ef-8fad-ad69705102cd</t>
        </is>
      </c>
      <c r="D7817" t="n">
        <v>55.78334</v>
      </c>
      <c r="E7817" t="n">
        <v>37.53604</v>
      </c>
      <c r="F7817" t="inlineStr"/>
      <c r="G7817" t="inlineStr"/>
      <c r="H7817" t="inlineStr"/>
    </row>
    <row r="7818">
      <c r="A7818" t="inlineStr">
        <is>
          <t>8980c1e9-6aa8-4f81-8abf-8ea46e0da177.jpg</t>
        </is>
      </c>
      <c r="B7818">
        <f>HYPERLINK("Объекты недвижимости, не соответствующие градостроительным нормам_00-022_Август/8980c1e9-6aa8-4f81-8abf-8ea46e0da177.jpg","open")</f>
        <v/>
      </c>
      <c r="C7818" t="inlineStr">
        <is>
          <t>cbf95b01-f708-45a3-9ec0-3603469b538e</t>
        </is>
      </c>
      <c r="D7818" t="n">
        <v>55.78334</v>
      </c>
      <c r="E7818" t="n">
        <v>37.53604</v>
      </c>
      <c r="F7818" t="inlineStr"/>
      <c r="G7818" t="inlineStr"/>
      <c r="H7818" t="inlineStr"/>
    </row>
    <row r="7819">
      <c r="A7819" t="inlineStr">
        <is>
          <t>be923000-9dd7-4983-b8fc-2fa9a5cb2e4e.jpg</t>
        </is>
      </c>
      <c r="B7819">
        <f>HYPERLINK("Объекты недвижимости, не соответствующие градостроительным нормам_00-022_Август/be923000-9dd7-4983-b8fc-2fa9a5cb2e4e.jpg","open")</f>
        <v/>
      </c>
      <c r="C7819" t="inlineStr">
        <is>
          <t>cbf95b01-f708-45a3-9ec0-3603469b538e</t>
        </is>
      </c>
      <c r="D7819" t="n">
        <v>55.78334</v>
      </c>
      <c r="E7819" t="n">
        <v>37.53604</v>
      </c>
      <c r="F7819" t="inlineStr"/>
      <c r="G7819" t="inlineStr"/>
      <c r="H7819" t="inlineStr"/>
    </row>
    <row r="7820">
      <c r="A7820" t="inlineStr">
        <is>
          <t>d4d16cb7-f48a-4e82-8948-1f03b1604891.jpg</t>
        </is>
      </c>
      <c r="B7820">
        <f>HYPERLINK("Объекты недвижимости, не соответствующие градостроительным нормам_00-022_Август/d4d16cb7-f48a-4e82-8948-1f03b1604891.jpg","open")</f>
        <v/>
      </c>
      <c r="C7820" t="inlineStr">
        <is>
          <t>cbf95b01-f708-45a3-9ec0-3603469b538e</t>
        </is>
      </c>
      <c r="D7820" t="n">
        <v>55.78334</v>
      </c>
      <c r="E7820" t="n">
        <v>37.53604</v>
      </c>
      <c r="F7820" t="inlineStr"/>
      <c r="G7820" t="inlineStr"/>
      <c r="H7820" t="inlineStr"/>
    </row>
    <row r="7821">
      <c r="A7821" t="inlineStr">
        <is>
          <t>245efe79-700d-4205-8554-72f596688dcd.jpg</t>
        </is>
      </c>
      <c r="B7821">
        <f>HYPERLINK("Объекты недвижимости, не соответствующие градостроительным нормам_00-022_Август/245efe79-700d-4205-8554-72f596688dcd.jpg","open")</f>
        <v/>
      </c>
      <c r="C7821" t="inlineStr">
        <is>
          <t>685d9054-b74f-49ab-857b-109fd2cec80d</t>
        </is>
      </c>
      <c r="D7821" t="n">
        <v>55.61958</v>
      </c>
      <c r="E7821" t="n">
        <v>37.50184</v>
      </c>
      <c r="F7821" t="inlineStr"/>
      <c r="G7821" t="inlineStr"/>
      <c r="H7821" t="inlineStr"/>
    </row>
    <row r="7822">
      <c r="A7822" t="inlineStr">
        <is>
          <t>55a2f86d-0473-4995-bbab-3e920ba41e70.jpg</t>
        </is>
      </c>
      <c r="B7822">
        <f>HYPERLINK("Объекты недвижимости, не соответствующие градостроительным нормам_00-022_Август/55a2f86d-0473-4995-bbab-3e920ba41e70.jpg","open")</f>
        <v/>
      </c>
      <c r="C7822" t="inlineStr">
        <is>
          <t>a1a9db89-3f74-42ef-8fad-ad69705102cd</t>
        </is>
      </c>
      <c r="D7822" t="n">
        <v>55.78334</v>
      </c>
      <c r="E7822" t="n">
        <v>37.53604</v>
      </c>
      <c r="F7822" t="inlineStr"/>
      <c r="G7822" t="inlineStr"/>
      <c r="H7822" t="inlineStr"/>
    </row>
    <row r="7823">
      <c r="A7823" t="inlineStr">
        <is>
          <t>adb61570-c760-423e-afba-63749778e23c.jpg</t>
        </is>
      </c>
      <c r="B7823">
        <f>HYPERLINK("Объекты недвижимости, не соответствующие градостроительным нормам_00-022_Август/adb61570-c760-423e-afba-63749778e23c.jpg","open")</f>
        <v/>
      </c>
      <c r="C7823" t="inlineStr">
        <is>
          <t>cbf95b01-f708-45a3-9ec0-3603469b538e</t>
        </is>
      </c>
      <c r="D7823" t="n">
        <v>55.78334</v>
      </c>
      <c r="E7823" t="n">
        <v>37.53604</v>
      </c>
      <c r="F7823" t="inlineStr"/>
      <c r="G7823" t="inlineStr"/>
      <c r="H7823" t="inlineStr"/>
    </row>
    <row r="7824">
      <c r="A7824" t="inlineStr">
        <is>
          <t>dcc3f134-07d9-412f-a5c5-2238036a7edc.jpg</t>
        </is>
      </c>
      <c r="B7824">
        <f>HYPERLINK("Объекты недвижимости, не соответствующие градостроительным нормам_00-022_Август/dcc3f134-07d9-412f-a5c5-2238036a7edc.jpg","open")</f>
        <v/>
      </c>
      <c r="C7824" t="inlineStr">
        <is>
          <t>685d9054-b74f-49ab-857b-109fd2cec80d</t>
        </is>
      </c>
      <c r="D7824" t="n">
        <v>55.61957</v>
      </c>
      <c r="E7824" t="n">
        <v>37.50189</v>
      </c>
      <c r="F7824" t="inlineStr"/>
      <c r="G7824" t="inlineStr"/>
      <c r="H7824" t="inlineStr"/>
    </row>
    <row r="7825">
      <c r="A7825" t="inlineStr">
        <is>
          <t>19c5d2f7-7de9-4e31-8cff-7014870d526c.jpg</t>
        </is>
      </c>
      <c r="B7825">
        <f>HYPERLINK("Объекты недвижимости, не соответствующие градостроительным нормам_00-022_Август/19c5d2f7-7de9-4e31-8cff-7014870d526c.jpg","open")</f>
        <v/>
      </c>
      <c r="C7825" t="inlineStr">
        <is>
          <t>1231bbc5-e64c-4dc7-9acc-77710f47607a</t>
        </is>
      </c>
      <c r="D7825" t="n">
        <v>55.61957</v>
      </c>
      <c r="E7825" t="n">
        <v>37.50186</v>
      </c>
      <c r="F7825" t="inlineStr"/>
      <c r="G7825" t="inlineStr"/>
      <c r="H7825" t="inlineStr"/>
    </row>
    <row r="7826">
      <c r="A7826" t="inlineStr">
        <is>
          <t>cfd6febb-3cd8-41a7-af64-87c5309c6fea.jpg</t>
        </is>
      </c>
      <c r="B7826">
        <f>HYPERLINK("Объекты недвижимости, не соответствующие градостроительным нормам_00-022_Август/cfd6febb-3cd8-41a7-af64-87c5309c6fea.jpg","open")</f>
        <v/>
      </c>
      <c r="C7826" t="inlineStr">
        <is>
          <t>cbf95b01-f708-45a3-9ec0-3603469b538e</t>
        </is>
      </c>
      <c r="D7826" t="n">
        <v>55.78334</v>
      </c>
      <c r="E7826" t="n">
        <v>37.53604</v>
      </c>
      <c r="F7826" t="inlineStr"/>
      <c r="G7826" t="inlineStr"/>
      <c r="H7826" t="inlineStr"/>
    </row>
    <row r="7827">
      <c r="A7827" t="inlineStr">
        <is>
          <t>b129bc6e-c7e7-43fa-913e-c985d32c5b44.jpg</t>
        </is>
      </c>
      <c r="B7827">
        <f>HYPERLINK("Объекты недвижимости, не соответствующие градостроительным нормам_00-022_Август/b129bc6e-c7e7-43fa-913e-c985d32c5b44.jpg","open")</f>
        <v/>
      </c>
      <c r="C7827" t="inlineStr">
        <is>
          <t>55da50d9-6d31-4c29-a85b-6a228578c6de</t>
        </is>
      </c>
      <c r="D7827" t="n">
        <v>55.7079</v>
      </c>
      <c r="E7827" t="n">
        <v>37.65876</v>
      </c>
      <c r="F7827" t="inlineStr"/>
      <c r="G7827" t="inlineStr"/>
      <c r="H7827" t="inlineStr"/>
    </row>
    <row r="7828">
      <c r="A7828" t="inlineStr">
        <is>
          <t>dd2295ef-29b7-4338-9ea0-fd81dc59c830.jpg</t>
        </is>
      </c>
      <c r="B7828">
        <f>HYPERLINK("Объекты недвижимости, не соответствующие градостроительным нормам_00-022_Август/dd2295ef-29b7-4338-9ea0-fd81dc59c830.jpg","open")</f>
        <v/>
      </c>
      <c r="C7828" t="inlineStr">
        <is>
          <t>8996eb30-6497-4318-8a0e-b95314b8172e</t>
        </is>
      </c>
      <c r="D7828" t="n">
        <v>55.67107</v>
      </c>
      <c r="E7828" t="n">
        <v>37.73989</v>
      </c>
      <c r="F7828" t="inlineStr"/>
      <c r="G7828" t="inlineStr"/>
      <c r="H7828" t="inlineStr"/>
    </row>
    <row r="7829">
      <c r="A7829" t="inlineStr">
        <is>
          <t>e22e5a64-d2dc-451a-833e-b152c427691c.jpg</t>
        </is>
      </c>
      <c r="B7829">
        <f>HYPERLINK("Объекты недвижимости, не соответствующие градостроительным нормам_00-022_Август/e22e5a64-d2dc-451a-833e-b152c427691c.jpg","open")</f>
        <v/>
      </c>
      <c r="C7829" t="inlineStr">
        <is>
          <t>8cde1fd0-eca1-4510-86ab-3c743b65fdfc</t>
        </is>
      </c>
      <c r="D7829" t="n">
        <v>55.5956</v>
      </c>
      <c r="E7829" t="n">
        <v>37.58025</v>
      </c>
      <c r="F7829" t="inlineStr"/>
      <c r="G7829" t="inlineStr"/>
      <c r="H7829" t="inlineStr"/>
    </row>
    <row r="7830">
      <c r="A7830" t="inlineStr">
        <is>
          <t>a8b1bee0-87ed-4e07-868b-836501511986.jpg</t>
        </is>
      </c>
      <c r="B7830">
        <f>HYPERLINK("Объекты недвижимости, не соответствующие градостроительным нормам_00-022_Август/a8b1bee0-87ed-4e07-868b-836501511986.jpg","open")</f>
        <v/>
      </c>
      <c r="C7830" t="inlineStr">
        <is>
          <t>f6f80c84-5569-48fd-b627-6f41ce4c61c4</t>
        </is>
      </c>
      <c r="D7830" t="n">
        <v>55.72755</v>
      </c>
      <c r="E7830" t="n">
        <v>37.44801</v>
      </c>
      <c r="F7830" t="inlineStr"/>
      <c r="G7830" t="inlineStr"/>
      <c r="H7830" t="inlineStr"/>
    </row>
    <row r="7831">
      <c r="A7831" t="inlineStr">
        <is>
          <t>0976765e-35f5-4464-85cc-9af81dbff80b.jpg</t>
        </is>
      </c>
      <c r="B7831">
        <f>HYPERLINK("Объекты недвижимости, не соответствующие градостроительным нормам_00-022_Август/0976765e-35f5-4464-85cc-9af81dbff80b.jpg","open")</f>
        <v/>
      </c>
      <c r="C7831" t="inlineStr">
        <is>
          <t>12e795ad-2aa7-49de-b2da-2c6aa35a4559</t>
        </is>
      </c>
      <c r="D7831" t="n">
        <v>55.63774</v>
      </c>
      <c r="E7831" t="n">
        <v>37.54219</v>
      </c>
      <c r="F7831" t="inlineStr"/>
      <c r="G7831" t="inlineStr"/>
      <c r="H7831" t="inlineStr"/>
    </row>
    <row r="7832">
      <c r="A7832" t="inlineStr">
        <is>
          <t>2bb95e61-27d1-4d95-9cf8-231e08d025e3.jpg</t>
        </is>
      </c>
      <c r="B7832">
        <f>HYPERLINK("Объекты недвижимости, не соответствующие градостроительным нормам_00-022_Август/2bb95e61-27d1-4d95-9cf8-231e08d025e3.jpg","open")</f>
        <v/>
      </c>
      <c r="C7832" t="inlineStr">
        <is>
          <t>6e2567a0-1fb9-40d5-a0e7-0adb480d2965</t>
        </is>
      </c>
      <c r="D7832" t="n">
        <v>55.75077</v>
      </c>
      <c r="E7832" t="n">
        <v>37.658</v>
      </c>
      <c r="F7832" t="inlineStr"/>
      <c r="G7832" t="inlineStr"/>
      <c r="H7832" t="inlineStr"/>
    </row>
    <row r="7833">
      <c r="A7833" t="inlineStr">
        <is>
          <t>3c0283e7-7e3b-4731-acc4-bc3c7d6821d8.jpg</t>
        </is>
      </c>
      <c r="B7833">
        <f>HYPERLINK("Объекты недвижимости, не соответствующие градостроительным нормам_00-022_Август/3c0283e7-7e3b-4731-acc4-bc3c7d6821d8.jpg","open")</f>
        <v/>
      </c>
      <c r="C7833" t="inlineStr">
        <is>
          <t>1c951e11-4940-43c6-a447-394097e5609a</t>
        </is>
      </c>
      <c r="D7833" t="n">
        <v>55.60484</v>
      </c>
      <c r="E7833" t="n">
        <v>37.59273</v>
      </c>
      <c r="F7833" t="inlineStr"/>
      <c r="G7833" t="inlineStr"/>
      <c r="H7833" t="inlineStr"/>
    </row>
    <row r="7834">
      <c r="A7834" t="inlineStr">
        <is>
          <t>78a0a730-2b23-46ff-b069-b14ea2107fae.jpg</t>
        </is>
      </c>
      <c r="B7834">
        <f>HYPERLINK("Объекты недвижимости, не соответствующие градостроительным нормам_00-022_Август/78a0a730-2b23-46ff-b069-b14ea2107fae.jpg","open")</f>
        <v/>
      </c>
      <c r="C7834" t="inlineStr">
        <is>
          <t>8cde1fd0-eca1-4510-86ab-3c743b65fdfc</t>
        </is>
      </c>
      <c r="D7834" t="n">
        <v>55.60483</v>
      </c>
      <c r="E7834" t="n">
        <v>37.59288</v>
      </c>
      <c r="F7834" t="inlineStr"/>
      <c r="G7834" t="inlineStr"/>
      <c r="H7834" t="inlineStr"/>
    </row>
    <row r="7835">
      <c r="A7835" t="inlineStr">
        <is>
          <t>818e7c62-d97f-4768-820f-965228edf97d.jpg</t>
        </is>
      </c>
      <c r="B7835">
        <f>HYPERLINK("Объекты недвижимости, не соответствующие градостроительным нормам_00-022_Август/818e7c62-d97f-4768-820f-965228edf97d.jpg","open")</f>
        <v/>
      </c>
      <c r="C7835" t="inlineStr">
        <is>
          <t>caa4772d-6278-4484-a046-ee25514bf521</t>
        </is>
      </c>
      <c r="D7835" t="n">
        <v>55.7092</v>
      </c>
      <c r="E7835" t="n">
        <v>37.45397</v>
      </c>
      <c r="F7835" t="inlineStr"/>
      <c r="G7835" t="inlineStr"/>
      <c r="H7835" t="inlineStr"/>
    </row>
    <row r="7836">
      <c r="A7836" t="inlineStr">
        <is>
          <t>6e05c410-6bf9-4cad-9fc2-0507a689f0d3.jpg</t>
        </is>
      </c>
      <c r="B7836">
        <f>HYPERLINK("Объекты недвижимости, не соответствующие градостроительным нормам_00-022_Август/6e05c410-6bf9-4cad-9fc2-0507a689f0d3.jpg","open")</f>
        <v/>
      </c>
      <c r="C7836" t="inlineStr">
        <is>
          <t>cbf95b01-f708-45a3-9ec0-3603469b538e</t>
        </is>
      </c>
      <c r="D7836" t="n">
        <v>55.78334</v>
      </c>
      <c r="E7836" t="n">
        <v>37.53604</v>
      </c>
      <c r="F7836" t="inlineStr"/>
      <c r="G7836" t="inlineStr"/>
      <c r="H7836" t="inlineStr"/>
    </row>
    <row r="7837">
      <c r="A7837" t="inlineStr">
        <is>
          <t>535ced21-91a0-41f4-a2e2-06849de11d3c.jpg</t>
        </is>
      </c>
      <c r="B7837">
        <f>HYPERLINK("Объекты недвижимости, не соответствующие градостроительным нормам_00-022_Август/535ced21-91a0-41f4-a2e2-06849de11d3c.jpg","open")</f>
        <v/>
      </c>
      <c r="C7837" t="inlineStr">
        <is>
          <t>caa4772d-6278-4484-a046-ee25514bf521</t>
        </is>
      </c>
      <c r="D7837" t="n">
        <v>55.70934</v>
      </c>
      <c r="E7837" t="n">
        <v>37.45208</v>
      </c>
      <c r="F7837" t="inlineStr"/>
      <c r="G7837" t="inlineStr"/>
      <c r="H7837" t="inlineStr"/>
    </row>
    <row r="7838">
      <c r="A7838" t="inlineStr">
        <is>
          <t>f1a5f1ec-e3cd-4058-93e5-a634843632b3.jpg</t>
        </is>
      </c>
      <c r="B7838">
        <f>HYPERLINK("Объекты недвижимости, не соответствующие градостроительным нормам_00-022_Август/f1a5f1ec-e3cd-4058-93e5-a634843632b3.jpg","open")</f>
        <v/>
      </c>
      <c r="C7838" t="inlineStr">
        <is>
          <t>cbf95b01-f708-45a3-9ec0-3603469b538e</t>
        </is>
      </c>
      <c r="D7838" t="n">
        <v>55.78334</v>
      </c>
      <c r="E7838" t="n">
        <v>37.53604</v>
      </c>
      <c r="F7838" t="inlineStr"/>
      <c r="G7838" t="inlineStr"/>
      <c r="H7838" t="inlineStr"/>
    </row>
    <row r="7839">
      <c r="A7839" t="inlineStr">
        <is>
          <t>56177c61-af9a-4fbc-93dc-cfece54de41c.jpg</t>
        </is>
      </c>
      <c r="B7839">
        <f>HYPERLINK("Объекты недвижимости, не соответствующие градостроительным нормам_00-022_Август/56177c61-af9a-4fbc-93dc-cfece54de41c.jpg","open")</f>
        <v/>
      </c>
      <c r="C7839" t="inlineStr">
        <is>
          <t>29ad9edb-d533-4272-a986-be24eb004851</t>
        </is>
      </c>
      <c r="D7839" t="n">
        <v>55.7799</v>
      </c>
      <c r="E7839" t="n">
        <v>37.66668</v>
      </c>
      <c r="F7839" t="inlineStr"/>
      <c r="G7839" t="inlineStr"/>
      <c r="H7839" t="inlineStr"/>
    </row>
    <row r="7840">
      <c r="A7840" t="inlineStr">
        <is>
          <t>0b2ba165-e424-4448-aa8b-a685670875fb.jpg</t>
        </is>
      </c>
      <c r="B7840">
        <f>HYPERLINK("Объекты недвижимости, не соответствующие градостроительным нормам_00-022_Август/0b2ba165-e424-4448-aa8b-a685670875fb.jpg","open")</f>
        <v/>
      </c>
      <c r="C7840" t="inlineStr">
        <is>
          <t>cbf95b01-f708-45a3-9ec0-3603469b538e</t>
        </is>
      </c>
      <c r="D7840" t="n">
        <v>55.78334</v>
      </c>
      <c r="E7840" t="n">
        <v>37.53604</v>
      </c>
      <c r="F7840" t="inlineStr"/>
      <c r="G7840" t="inlineStr"/>
      <c r="H7840" t="inlineStr"/>
    </row>
    <row r="7841">
      <c r="A7841" t="inlineStr">
        <is>
          <t>11eef3f2-02e0-455e-934d-6d5921be5aa4.jpg</t>
        </is>
      </c>
      <c r="B7841">
        <f>HYPERLINK("Объекты недвижимости, не соответствующие градостроительным нормам_00-022_Август/11eef3f2-02e0-455e-934d-6d5921be5aa4.jpg","open")</f>
        <v/>
      </c>
      <c r="C7841" t="inlineStr">
        <is>
          <t>cbf95b01-f708-45a3-9ec0-3603469b538e</t>
        </is>
      </c>
      <c r="D7841" t="n">
        <v>55.78334</v>
      </c>
      <c r="E7841" t="n">
        <v>37.53604</v>
      </c>
      <c r="F7841" t="inlineStr"/>
      <c r="G7841" t="inlineStr"/>
      <c r="H7841" t="inlineStr"/>
    </row>
    <row r="7842">
      <c r="A7842" t="inlineStr">
        <is>
          <t>402e9952-7d84-40cc-849d-88493406b9d8.jpg</t>
        </is>
      </c>
      <c r="B7842">
        <f>HYPERLINK("Объекты недвижимости, не соответствующие градостроительным нормам_00-022_Август/402e9952-7d84-40cc-849d-88493406b9d8.jpg","open")</f>
        <v/>
      </c>
      <c r="C7842" t="inlineStr">
        <is>
          <t>a1a9db89-3f74-42ef-8fad-ad69705102cd</t>
        </is>
      </c>
      <c r="D7842" t="n">
        <v>55.78334</v>
      </c>
      <c r="E7842" t="n">
        <v>37.53604</v>
      </c>
      <c r="F7842" t="inlineStr"/>
      <c r="G7842" t="inlineStr"/>
      <c r="H7842" t="inlineStr"/>
    </row>
    <row r="7843">
      <c r="A7843" t="inlineStr">
        <is>
          <t>7ee7b001-5d29-4de9-b728-22de8bbd10e0.jpg</t>
        </is>
      </c>
      <c r="B7843">
        <f>HYPERLINK("Объекты недвижимости, не соответствующие градостроительным нормам_00-022_Август/7ee7b001-5d29-4de9-b728-22de8bbd10e0.jpg","open")</f>
        <v/>
      </c>
      <c r="C7843" t="inlineStr">
        <is>
          <t>cbf95b01-f708-45a3-9ec0-3603469b538e</t>
        </is>
      </c>
      <c r="D7843" t="n">
        <v>55.78334</v>
      </c>
      <c r="E7843" t="n">
        <v>37.53604</v>
      </c>
      <c r="F7843" t="inlineStr"/>
      <c r="G7843" t="inlineStr"/>
      <c r="H7843" t="inlineStr"/>
    </row>
    <row r="7844">
      <c r="A7844" t="inlineStr">
        <is>
          <t>c1277055-2796-44d1-9d43-0734f3e7c652.jpg</t>
        </is>
      </c>
      <c r="B7844">
        <f>HYPERLINK("Объекты недвижимости, не соответствующие градостроительным нормам_00-022_Август/c1277055-2796-44d1-9d43-0734f3e7c652.jpg","open")</f>
        <v/>
      </c>
      <c r="C7844" t="inlineStr">
        <is>
          <t>cbf95b01-f708-45a3-9ec0-3603469b538e</t>
        </is>
      </c>
      <c r="D7844" t="n">
        <v>55.78334</v>
      </c>
      <c r="E7844" t="n">
        <v>37.53604</v>
      </c>
      <c r="F7844" t="inlineStr"/>
      <c r="G7844" t="inlineStr"/>
      <c r="H7844" t="inlineStr"/>
    </row>
    <row r="7845">
      <c r="A7845" t="inlineStr">
        <is>
          <t>7a8adfde-25be-4778-85c7-9671d0064530.jpg</t>
        </is>
      </c>
      <c r="B7845">
        <f>HYPERLINK("Объекты недвижимости, не соответствующие градостроительным нормам_00-022_Август/7a8adfde-25be-4778-85c7-9671d0064530.jpg","open")</f>
        <v/>
      </c>
      <c r="C7845" t="inlineStr">
        <is>
          <t>1a55986c-2c3f-40c0-b3d1-014dce77832e</t>
        </is>
      </c>
      <c r="D7845" t="n">
        <v>55.6517</v>
      </c>
      <c r="E7845" t="n">
        <v>37.54897</v>
      </c>
      <c r="F7845" t="inlineStr"/>
      <c r="G7845" t="inlineStr"/>
      <c r="H7845" t="inlineStr"/>
    </row>
    <row r="7846">
      <c r="A7846" t="inlineStr">
        <is>
          <t>83605794-d5fd-43ef-9db1-00b50c467d97.jpg</t>
        </is>
      </c>
      <c r="B7846">
        <f>HYPERLINK("Объекты недвижимости, не соответствующие градостроительным нормам_00-022_Август/83605794-d5fd-43ef-9db1-00b50c467d97.jpg","open")</f>
        <v/>
      </c>
      <c r="C7846" t="inlineStr">
        <is>
          <t>e26f5fc2-1353-4f29-85f3-87c56419161c</t>
        </is>
      </c>
      <c r="D7846" t="n">
        <v>55.8616</v>
      </c>
      <c r="E7846" t="n">
        <v>37.69771</v>
      </c>
      <c r="F7846" t="inlineStr"/>
      <c r="G7846" t="inlineStr"/>
      <c r="H7846" t="inlineStr"/>
    </row>
    <row r="7847">
      <c r="A7847" t="inlineStr">
        <is>
          <t>4055a86b-2681-44b7-ae31-d85271aa8aa2.jpg</t>
        </is>
      </c>
      <c r="B7847">
        <f>HYPERLINK("Объекты недвижимости, не соответствующие градостроительным нормам_00-022_Август/4055a86b-2681-44b7-ae31-d85271aa8aa2.jpg","open")</f>
        <v/>
      </c>
      <c r="C7847" t="inlineStr">
        <is>
          <t>56702d00-3d38-4721-8f83-3846a59c1e44</t>
        </is>
      </c>
      <c r="D7847" t="n">
        <v>55.73853</v>
      </c>
      <c r="E7847" t="n">
        <v>37.71537</v>
      </c>
      <c r="F7847" t="inlineStr"/>
      <c r="G7847" t="inlineStr"/>
      <c r="H7847" t="inlineStr"/>
    </row>
    <row r="7848">
      <c r="A7848" t="inlineStr">
        <is>
          <t>18cdcf76-4d2b-426a-814f-01d23ca45060.jpg</t>
        </is>
      </c>
      <c r="B7848">
        <f>HYPERLINK("Объекты недвижимости, не соответствующие градостроительным нормам_00-022_Август/18cdcf76-4d2b-426a-814f-01d23ca45060.jpg","open")</f>
        <v/>
      </c>
      <c r="C7848" t="inlineStr">
        <is>
          <t>50e4626c-a80e-42ab-b999-b5092c2c063f</t>
        </is>
      </c>
      <c r="D7848" t="n">
        <v>55.73854</v>
      </c>
      <c r="E7848" t="n">
        <v>37.71542</v>
      </c>
      <c r="F7848" t="inlineStr"/>
      <c r="G7848" t="inlineStr"/>
      <c r="H7848" t="inlineStr"/>
    </row>
    <row r="7849">
      <c r="A7849" t="inlineStr">
        <is>
          <t>1f1e2e7f-f35e-4d9b-86e1-947bef4f6ede.jpg</t>
        </is>
      </c>
      <c r="B7849">
        <f>HYPERLINK("Объекты недвижимости, не соответствующие градостроительным нормам_00-022_Август/1f1e2e7f-f35e-4d9b-86e1-947bef4f6ede.jpg","open")</f>
        <v/>
      </c>
      <c r="C7849" t="inlineStr">
        <is>
          <t>e26f5fc2-1353-4f29-85f3-87c56419161c</t>
        </is>
      </c>
      <c r="D7849" t="n">
        <v>55.86151</v>
      </c>
      <c r="E7849" t="n">
        <v>37.69759</v>
      </c>
      <c r="F7849" t="inlineStr"/>
      <c r="G7849" t="inlineStr"/>
      <c r="H7849" t="inlineStr"/>
    </row>
    <row r="7850">
      <c r="A7850" t="inlineStr">
        <is>
          <t>4c7d298e-686b-4ba1-93b6-bdad1c771f58.jpg</t>
        </is>
      </c>
      <c r="B7850">
        <f>HYPERLINK("Объекты недвижимости, не соответствующие градостроительным нормам_00-022_Август/4c7d298e-686b-4ba1-93b6-bdad1c771f58.jpg","open")</f>
        <v/>
      </c>
      <c r="C7850" t="inlineStr">
        <is>
          <t>91248771-2c4d-44f3-b3cf-d536bd4ae73c</t>
        </is>
      </c>
      <c r="D7850" t="n">
        <v>55.80167</v>
      </c>
      <c r="E7850" t="n">
        <v>37.74538</v>
      </c>
      <c r="F7850" t="inlineStr"/>
      <c r="G7850" t="inlineStr"/>
      <c r="H7850" t="inlineStr"/>
    </row>
    <row r="7851">
      <c r="A7851" t="inlineStr">
        <is>
          <t>86190b6c-e7be-4996-a116-490e5a487f76.jpg</t>
        </is>
      </c>
      <c r="B7851">
        <f>HYPERLINK("Объекты недвижимости, не соответствующие градостроительным нормам_00-022_Август/86190b6c-e7be-4996-a116-490e5a487f76.jpg","open")</f>
        <v/>
      </c>
      <c r="C7851" t="inlineStr">
        <is>
          <t>2acfb2da-e3f6-464c-bd17-4b713522c142</t>
        </is>
      </c>
      <c r="D7851" t="n">
        <v>55.90458</v>
      </c>
      <c r="E7851" t="n">
        <v>37.56945</v>
      </c>
      <c r="F7851" t="inlineStr"/>
      <c r="G7851" t="inlineStr"/>
      <c r="H7851" t="inlineStr"/>
    </row>
    <row r="7852">
      <c r="A7852" t="inlineStr">
        <is>
          <t>cdbee5dc-8205-4b39-8675-8f84a3558d92.jpg</t>
        </is>
      </c>
      <c r="B7852">
        <f>HYPERLINK("Объекты недвижимости, не соответствующие градостроительным нормам_00-022_Август/cdbee5dc-8205-4b39-8675-8f84a3558d92.jpg","open")</f>
        <v/>
      </c>
      <c r="C7852" t="inlineStr">
        <is>
          <t>a1a9db89-3f74-42ef-8fad-ad69705102cd</t>
        </is>
      </c>
      <c r="D7852" t="n">
        <v>55.78334</v>
      </c>
      <c r="E7852" t="n">
        <v>37.53604</v>
      </c>
      <c r="F7852" t="inlineStr"/>
      <c r="G7852" t="inlineStr"/>
      <c r="H7852" t="inlineStr"/>
    </row>
    <row r="7853">
      <c r="A7853" t="inlineStr">
        <is>
          <t>0b83db68-ce10-482c-9883-b696130118ab.jpg</t>
        </is>
      </c>
      <c r="B7853">
        <f>HYPERLINK("Объекты недвижимости, не соответствующие градостроительным нормам_00-022_Август/0b83db68-ce10-482c-9883-b696130118ab.jpg","open")</f>
        <v/>
      </c>
      <c r="C7853" t="inlineStr">
        <is>
          <t>a1a9db89-3f74-42ef-8fad-ad69705102cd</t>
        </is>
      </c>
      <c r="D7853" t="n">
        <v>55.78334</v>
      </c>
      <c r="E7853" t="n">
        <v>37.53604</v>
      </c>
      <c r="F7853" t="inlineStr"/>
      <c r="G7853" t="inlineStr"/>
      <c r="H7853" t="inlineStr"/>
    </row>
    <row r="7854">
      <c r="A7854" t="inlineStr">
        <is>
          <t>82e13dc0-79b1-435d-91ac-6a97a5d13d8e.jpg</t>
        </is>
      </c>
      <c r="B7854">
        <f>HYPERLINK("Объекты недвижимости, не соответствующие градостроительным нормам_00-022_Август/82e13dc0-79b1-435d-91ac-6a97a5d13d8e.jpg","open")</f>
        <v/>
      </c>
      <c r="C7854" t="inlineStr">
        <is>
          <t>cbf95b01-f708-45a3-9ec0-3603469b538e</t>
        </is>
      </c>
      <c r="D7854" t="n">
        <v>55.78334</v>
      </c>
      <c r="E7854" t="n">
        <v>37.53604</v>
      </c>
      <c r="F7854" t="inlineStr"/>
      <c r="G7854" t="inlineStr"/>
      <c r="H7854" t="inlineStr"/>
    </row>
    <row r="7855">
      <c r="A7855" t="inlineStr">
        <is>
          <t>3619bc0d-33b5-4871-bad1-65088449f3f6.jpg</t>
        </is>
      </c>
      <c r="B7855">
        <f>HYPERLINK("Объекты недвижимости, не соответствующие градостроительным нормам_00-022_Август/3619bc0d-33b5-4871-bad1-65088449f3f6.jpg","open")</f>
        <v/>
      </c>
      <c r="C7855" t="inlineStr">
        <is>
          <t>cbf95b01-f708-45a3-9ec0-3603469b538e</t>
        </is>
      </c>
      <c r="D7855" t="n">
        <v>55.78334</v>
      </c>
      <c r="E7855" t="n">
        <v>37.53604</v>
      </c>
      <c r="F7855" t="inlineStr"/>
      <c r="G7855" t="inlineStr"/>
      <c r="H7855" t="inlineStr"/>
    </row>
    <row r="7856">
      <c r="A7856" t="inlineStr">
        <is>
          <t>9e04135a-e353-448f-839f-fe8266e1b468.jpg</t>
        </is>
      </c>
      <c r="B7856">
        <f>HYPERLINK("Объекты недвижимости, не соответствующие градостроительным нормам_00-022_Август/9e04135a-e353-448f-839f-fe8266e1b468.jpg","open")</f>
        <v/>
      </c>
      <c r="C7856" t="inlineStr">
        <is>
          <t>cbf95b01-f708-45a3-9ec0-3603469b538e</t>
        </is>
      </c>
      <c r="D7856" t="n">
        <v>55.78334</v>
      </c>
      <c r="E7856" t="n">
        <v>37.53604</v>
      </c>
      <c r="F7856" t="inlineStr"/>
      <c r="G7856" t="inlineStr"/>
      <c r="H7856" t="inlineStr"/>
    </row>
    <row r="7857">
      <c r="A7857" t="inlineStr">
        <is>
          <t>4f5a8955-40dd-4ba9-98b6-8fbc7d0b6ab2.jpg</t>
        </is>
      </c>
      <c r="B7857">
        <f>HYPERLINK("Объекты недвижимости, не соответствующие градостроительным нормам_00-022_Август/4f5a8955-40dd-4ba9-98b6-8fbc7d0b6ab2.jpg","open")</f>
        <v/>
      </c>
      <c r="C7857" t="inlineStr">
        <is>
          <t>cbf95b01-f708-45a3-9ec0-3603469b538e</t>
        </is>
      </c>
      <c r="D7857" t="n">
        <v>55.78334</v>
      </c>
      <c r="E7857" t="n">
        <v>37.53604</v>
      </c>
      <c r="F7857" t="inlineStr"/>
      <c r="G7857" t="inlineStr"/>
      <c r="H7857" t="inlineStr"/>
    </row>
    <row r="7858">
      <c r="A7858" t="inlineStr">
        <is>
          <t>43394a0d-ac00-498d-af54-34e3384b7737.jpg</t>
        </is>
      </c>
      <c r="B7858">
        <f>HYPERLINK("Объекты недвижимости, не соответствующие градостроительным нормам_00-022_Август/43394a0d-ac00-498d-af54-34e3384b7737.jpg","open")</f>
        <v/>
      </c>
      <c r="C7858" t="inlineStr">
        <is>
          <t>a1a9db89-3f74-42ef-8fad-ad69705102cd</t>
        </is>
      </c>
      <c r="D7858" t="n">
        <v>55.78334</v>
      </c>
      <c r="E7858" t="n">
        <v>37.53604</v>
      </c>
      <c r="F7858" t="inlineStr"/>
      <c r="G7858" t="inlineStr"/>
      <c r="H7858" t="inlineStr"/>
    </row>
    <row r="7859">
      <c r="A7859" t="inlineStr">
        <is>
          <t>67dbddd2-e190-49d2-8c33-7ec5b393704a.jpg</t>
        </is>
      </c>
      <c r="B7859">
        <f>HYPERLINK("Объекты недвижимости, не соответствующие градостроительным нормам_00-022_Август/67dbddd2-e190-49d2-8c33-7ec5b393704a.jpg","open")</f>
        <v/>
      </c>
      <c r="C7859" t="inlineStr">
        <is>
          <t>cbf95b01-f708-45a3-9ec0-3603469b538e</t>
        </is>
      </c>
      <c r="D7859" t="n">
        <v>55.78334</v>
      </c>
      <c r="E7859" t="n">
        <v>37.53604</v>
      </c>
      <c r="F7859" t="inlineStr"/>
      <c r="G7859" t="inlineStr"/>
      <c r="H7859" t="inlineStr"/>
    </row>
    <row r="7860">
      <c r="A7860" t="inlineStr">
        <is>
          <t>ca04c72f-4960-4f8d-9b75-317fa9397a04.jpg</t>
        </is>
      </c>
      <c r="B7860">
        <f>HYPERLINK("Объекты недвижимости, не соответствующие градостроительным нормам_00-022_Август/ca04c72f-4960-4f8d-9b75-317fa9397a04.jpg","open")</f>
        <v/>
      </c>
      <c r="C7860" t="inlineStr">
        <is>
          <t>cbf95b01-f708-45a3-9ec0-3603469b538e</t>
        </is>
      </c>
      <c r="D7860" t="n">
        <v>55.78334</v>
      </c>
      <c r="E7860" t="n">
        <v>37.53604</v>
      </c>
      <c r="F7860" t="inlineStr"/>
      <c r="G7860" t="inlineStr"/>
      <c r="H7860" t="inlineStr"/>
    </row>
    <row r="7861">
      <c r="A7861" t="inlineStr">
        <is>
          <t>c026252d-d6ee-4d9e-a443-2bbe017e0f73.jpg</t>
        </is>
      </c>
      <c r="B7861">
        <f>HYPERLINK("Объекты недвижимости, не соответствующие градостроительным нормам_00-022_Август/c026252d-d6ee-4d9e-a443-2bbe017e0f73.jpg","open")</f>
        <v/>
      </c>
      <c r="C7861" t="inlineStr">
        <is>
          <t>cbf95b01-f708-45a3-9ec0-3603469b538e</t>
        </is>
      </c>
      <c r="D7861" t="n">
        <v>55.78334</v>
      </c>
      <c r="E7861" t="n">
        <v>37.53604</v>
      </c>
      <c r="F7861" t="inlineStr"/>
      <c r="G7861" t="inlineStr"/>
      <c r="H7861" t="inlineStr"/>
    </row>
    <row r="7862">
      <c r="A7862" t="inlineStr">
        <is>
          <t>f0e5c16e-d830-40db-8f77-768006d84470.jpg</t>
        </is>
      </c>
      <c r="B7862">
        <f>HYPERLINK("Объекты недвижимости, не соответствующие градостроительным нормам_00-022_Август/f0e5c16e-d830-40db-8f77-768006d84470.jpg","open")</f>
        <v/>
      </c>
      <c r="C7862" t="inlineStr">
        <is>
          <t>cbf95b01-f708-45a3-9ec0-3603469b538e</t>
        </is>
      </c>
      <c r="D7862" t="n">
        <v>55.78334</v>
      </c>
      <c r="E7862" t="n">
        <v>37.53604</v>
      </c>
      <c r="F7862" t="inlineStr"/>
      <c r="G7862" t="inlineStr"/>
      <c r="H7862" t="inlineStr"/>
    </row>
    <row r="7863">
      <c r="A7863" t="inlineStr">
        <is>
          <t>a9c910eb-89f6-4fe0-97dd-6397289ca089.jpg</t>
        </is>
      </c>
      <c r="B7863">
        <f>HYPERLINK("Объекты недвижимости, не соответствующие градостроительным нормам_00-022_Август/a9c910eb-89f6-4fe0-97dd-6397289ca089.jpg","open")</f>
        <v/>
      </c>
      <c r="C7863" t="inlineStr">
        <is>
          <t>caa4772d-6278-4484-a046-ee25514bf521</t>
        </is>
      </c>
      <c r="D7863" t="n">
        <v>55.71083</v>
      </c>
      <c r="E7863" t="n">
        <v>37.44128</v>
      </c>
      <c r="F7863" t="inlineStr"/>
      <c r="G7863" t="inlineStr"/>
      <c r="H7863" t="inlineStr"/>
    </row>
    <row r="7864">
      <c r="A7864" t="inlineStr">
        <is>
          <t>8bae5709-16ae-4285-ae9f-23b3ef44c968.jpg</t>
        </is>
      </c>
      <c r="B7864">
        <f>HYPERLINK("Объекты недвижимости, не соответствующие градостроительным нормам_00-022_Август/8bae5709-16ae-4285-ae9f-23b3ef44c968.jpg","open")</f>
        <v/>
      </c>
      <c r="C7864" t="inlineStr">
        <is>
          <t>cbf95b01-f708-45a3-9ec0-3603469b538e</t>
        </is>
      </c>
      <c r="D7864" t="n">
        <v>55.78334</v>
      </c>
      <c r="E7864" t="n">
        <v>37.53604</v>
      </c>
      <c r="F7864" t="inlineStr"/>
      <c r="G7864" t="inlineStr"/>
      <c r="H7864" t="inlineStr"/>
    </row>
    <row r="7865">
      <c r="A7865" t="inlineStr">
        <is>
          <t>c2ac12d6-63d2-4904-82d9-1926efa24068.jpg</t>
        </is>
      </c>
      <c r="B7865">
        <f>HYPERLINK("Объекты недвижимости, не соответствующие градостроительным нормам_00-022_Август/c2ac12d6-63d2-4904-82d9-1926efa24068.jpg","open")</f>
        <v/>
      </c>
      <c r="C7865" t="inlineStr">
        <is>
          <t>a1a9db89-3f74-42ef-8fad-ad69705102cd</t>
        </is>
      </c>
      <c r="D7865" t="n">
        <v>55.78334</v>
      </c>
      <c r="E7865" t="n">
        <v>37.53604</v>
      </c>
      <c r="F7865" t="inlineStr"/>
      <c r="G7865" t="inlineStr"/>
      <c r="H7865" t="inlineStr"/>
    </row>
    <row r="7866">
      <c r="A7866" t="inlineStr">
        <is>
          <t>a75437cd-1935-408c-b84d-4c085dccacaa.jpg</t>
        </is>
      </c>
      <c r="B7866">
        <f>HYPERLINK("Объекты недвижимости, не соответствующие градостроительным нормам_00-022_Август/a75437cd-1935-408c-b84d-4c085dccacaa.jpg","open")</f>
        <v/>
      </c>
      <c r="C7866" t="inlineStr">
        <is>
          <t>cbf95b01-f708-45a3-9ec0-3603469b538e</t>
        </is>
      </c>
      <c r="D7866" t="n">
        <v>55.78334</v>
      </c>
      <c r="E7866" t="n">
        <v>37.53604</v>
      </c>
      <c r="F7866" t="inlineStr"/>
      <c r="G7866" t="inlineStr"/>
      <c r="H7866" t="inlineStr"/>
    </row>
    <row r="7867">
      <c r="A7867" t="inlineStr">
        <is>
          <t>052f9430-a30b-4aa1-af1f-f8fc81ea3588.jpg</t>
        </is>
      </c>
      <c r="B7867">
        <f>HYPERLINK("Объекты недвижимости, не соответствующие градостроительным нормам_00-022_Август/052f9430-a30b-4aa1-af1f-f8fc81ea3588.jpg","open")</f>
        <v/>
      </c>
      <c r="C7867" t="inlineStr">
        <is>
          <t>cbf95b01-f708-45a3-9ec0-3603469b538e</t>
        </is>
      </c>
      <c r="D7867" t="n">
        <v>55.78334</v>
      </c>
      <c r="E7867" t="n">
        <v>37.53604</v>
      </c>
      <c r="F7867" t="inlineStr"/>
      <c r="G7867" t="inlineStr"/>
      <c r="H7867" t="inlineStr"/>
    </row>
    <row r="7868">
      <c r="A7868" t="inlineStr">
        <is>
          <t>7415a70f-6a72-421c-a1a2-642bff8a8594.jpg</t>
        </is>
      </c>
      <c r="B7868">
        <f>HYPERLINK("Объекты недвижимости, не соответствующие градостроительным нормам_00-022_Август/7415a70f-6a72-421c-a1a2-642bff8a8594.jpg","open")</f>
        <v/>
      </c>
      <c r="C7868" t="inlineStr">
        <is>
          <t>cbf95b01-f708-45a3-9ec0-3603469b538e</t>
        </is>
      </c>
      <c r="D7868" t="n">
        <v>55.78334</v>
      </c>
      <c r="E7868" t="n">
        <v>37.53604</v>
      </c>
      <c r="F7868" t="inlineStr"/>
      <c r="G7868" t="inlineStr"/>
      <c r="H7868" t="inlineStr"/>
    </row>
    <row r="7869">
      <c r="A7869" t="inlineStr">
        <is>
          <t>f98a9458-b6dc-4116-8c2d-96f7d53bace6.jpg</t>
        </is>
      </c>
      <c r="B7869">
        <f>HYPERLINK("Объекты недвижимости, не соответствующие градостроительным нормам_00-022_Август/f98a9458-b6dc-4116-8c2d-96f7d53bace6.jpg","open")</f>
        <v/>
      </c>
      <c r="C7869" t="inlineStr">
        <is>
          <t>cbf95b01-f708-45a3-9ec0-3603469b538e</t>
        </is>
      </c>
      <c r="D7869" t="n">
        <v>55.78334</v>
      </c>
      <c r="E7869" t="n">
        <v>37.53604</v>
      </c>
      <c r="F7869" t="inlineStr"/>
      <c r="G7869" t="inlineStr"/>
      <c r="H7869" t="inlineStr"/>
    </row>
    <row r="7870">
      <c r="A7870" t="inlineStr">
        <is>
          <t>f0021237-43ff-4528-ad33-b0dec3dadb1d.jpg</t>
        </is>
      </c>
      <c r="B7870">
        <f>HYPERLINK("Объекты недвижимости, не соответствующие градостроительным нормам_00-022_Август/f0021237-43ff-4528-ad33-b0dec3dadb1d.jpg","open")</f>
        <v/>
      </c>
      <c r="C7870" t="inlineStr">
        <is>
          <t>cbf95b01-f708-45a3-9ec0-3603469b538e</t>
        </is>
      </c>
      <c r="D7870" t="n">
        <v>55.78334</v>
      </c>
      <c r="E7870" t="n">
        <v>37.53604</v>
      </c>
      <c r="F7870" t="inlineStr"/>
      <c r="G7870" t="inlineStr"/>
      <c r="H7870" t="inlineStr"/>
    </row>
    <row r="7871">
      <c r="A7871" t="inlineStr">
        <is>
          <t>e31b71cb-4e09-40bf-ba25-c6116be40559.jpg</t>
        </is>
      </c>
      <c r="B7871">
        <f>HYPERLINK("Объекты недвижимости, не соответствующие градостроительным нормам_00-022_Август/e31b71cb-4e09-40bf-ba25-c6116be40559.jpg","open")</f>
        <v/>
      </c>
      <c r="C7871" t="inlineStr">
        <is>
          <t>a1a9db89-3f74-42ef-8fad-ad69705102cd</t>
        </is>
      </c>
      <c r="D7871" t="n">
        <v>55.78334</v>
      </c>
      <c r="E7871" t="n">
        <v>37.53604</v>
      </c>
      <c r="F7871" t="inlineStr"/>
      <c r="G7871" t="inlineStr"/>
      <c r="H7871" t="inlineStr"/>
    </row>
    <row r="7872">
      <c r="A7872" t="inlineStr">
        <is>
          <t>9c02c894-9cb5-4c21-8a7c-b051d9b36d43.jpg</t>
        </is>
      </c>
      <c r="B7872">
        <f>HYPERLINK("Объекты недвижимости, не соответствующие градостроительным нормам_00-022_Август/9c02c894-9cb5-4c21-8a7c-b051d9b36d43.jpg","open")</f>
        <v/>
      </c>
      <c r="C7872" t="inlineStr">
        <is>
          <t>cbf95b01-f708-45a3-9ec0-3603469b538e</t>
        </is>
      </c>
      <c r="D7872" t="n">
        <v>55.78334</v>
      </c>
      <c r="E7872" t="n">
        <v>37.53604</v>
      </c>
      <c r="F7872" t="inlineStr"/>
      <c r="G7872" t="inlineStr"/>
      <c r="H7872" t="inlineStr"/>
    </row>
    <row r="7873">
      <c r="A7873" t="inlineStr">
        <is>
          <t>4e6d27f7-55fa-4cfd-a353-88106ba416a1.jpg</t>
        </is>
      </c>
      <c r="B7873">
        <f>HYPERLINK("Объекты недвижимости, не соответствующие градостроительным нормам_00-022_Август/4e6d27f7-55fa-4cfd-a353-88106ba416a1.jpg","open")</f>
        <v/>
      </c>
      <c r="C7873" t="inlineStr">
        <is>
          <t>a1a9db89-3f74-42ef-8fad-ad69705102cd</t>
        </is>
      </c>
      <c r="D7873" t="n">
        <v>55.78334</v>
      </c>
      <c r="E7873" t="n">
        <v>37.53604</v>
      </c>
      <c r="F7873" t="inlineStr"/>
      <c r="G7873" t="inlineStr"/>
      <c r="H7873" t="inlineStr"/>
    </row>
    <row r="7874">
      <c r="A7874" t="inlineStr">
        <is>
          <t>aefa695c-bce6-4b02-8e4c-d37d1fe3705d.jpg</t>
        </is>
      </c>
      <c r="B7874">
        <f>HYPERLINK("Объекты недвижимости, не соответствующие градостроительным нормам_00-022_Август/aefa695c-bce6-4b02-8e4c-d37d1fe3705d.jpg","open")</f>
        <v/>
      </c>
      <c r="C7874" t="inlineStr">
        <is>
          <t>cbf95b01-f708-45a3-9ec0-3603469b538e</t>
        </is>
      </c>
      <c r="D7874" t="n">
        <v>55.78334</v>
      </c>
      <c r="E7874" t="n">
        <v>37.53604</v>
      </c>
      <c r="F7874" t="inlineStr"/>
      <c r="G7874" t="inlineStr"/>
      <c r="H7874" t="inlineStr"/>
    </row>
    <row r="7875">
      <c r="A7875" t="inlineStr">
        <is>
          <t>e50c0d01-4b26-40e5-8576-e2c3a3615640.jpg</t>
        </is>
      </c>
      <c r="B7875">
        <f>HYPERLINK("Объекты недвижимости, не соответствующие градостроительным нормам_00-022_Август/e50c0d01-4b26-40e5-8576-e2c3a3615640.jpg","open")</f>
        <v/>
      </c>
      <c r="C7875" t="inlineStr">
        <is>
          <t>cbf95b01-f708-45a3-9ec0-3603469b538e</t>
        </is>
      </c>
      <c r="D7875" t="n">
        <v>55.78334</v>
      </c>
      <c r="E7875" t="n">
        <v>37.53604</v>
      </c>
      <c r="F7875" t="inlineStr"/>
      <c r="G7875" t="inlineStr"/>
      <c r="H7875" t="inlineStr"/>
    </row>
    <row r="7876">
      <c r="A7876" t="inlineStr">
        <is>
          <t>da802ec1-7dd4-4092-9a7c-2b5d2a898db3.jpg</t>
        </is>
      </c>
      <c r="B7876">
        <f>HYPERLINK("Объекты недвижимости, не соответствующие градостроительным нормам_00-022_Август/da802ec1-7dd4-4092-9a7c-2b5d2a898db3.jpg","open")</f>
        <v/>
      </c>
      <c r="C7876" t="inlineStr">
        <is>
          <t>1c951e11-4940-43c6-a447-394097e5609a</t>
        </is>
      </c>
      <c r="D7876" t="n">
        <v>55.59196</v>
      </c>
      <c r="E7876" t="n">
        <v>37.59275</v>
      </c>
      <c r="F7876" t="inlineStr"/>
      <c r="G7876" t="inlineStr"/>
      <c r="H7876" t="inlineStr"/>
    </row>
    <row r="7877">
      <c r="A7877" t="inlineStr">
        <is>
          <t>c5b23ed5-662d-478d-9fd5-abd8ade021a2.jpg</t>
        </is>
      </c>
      <c r="B7877">
        <f>HYPERLINK("Объекты недвижимости, не соответствующие градостроительным нормам_00-022_Август/c5b23ed5-662d-478d-9fd5-abd8ade021a2.jpg","open")</f>
        <v/>
      </c>
      <c r="C7877" t="inlineStr">
        <is>
          <t>8cde1fd0-eca1-4510-86ab-3c743b65fdfc</t>
        </is>
      </c>
      <c r="D7877" t="n">
        <v>55.59205</v>
      </c>
      <c r="E7877" t="n">
        <v>37.59278</v>
      </c>
      <c r="F7877" t="inlineStr"/>
      <c r="G7877" t="inlineStr"/>
      <c r="H7877" t="inlineStr"/>
    </row>
    <row r="7878">
      <c r="A7878" t="inlineStr">
        <is>
          <t>6cf6ead2-e84c-40cf-8609-ceced96b2f8e.jpg</t>
        </is>
      </c>
      <c r="B7878">
        <f>HYPERLINK("Объекты недвижимости, не соответствующие градостроительным нормам_00-022_Август/6cf6ead2-e84c-40cf-8609-ceced96b2f8e.jpg","open")</f>
        <v/>
      </c>
      <c r="C7878" t="inlineStr">
        <is>
          <t>6e2567a0-1fb9-40d5-a0e7-0adb480d2965</t>
        </is>
      </c>
      <c r="D7878" t="n">
        <v>55.68279</v>
      </c>
      <c r="E7878" t="n">
        <v>37.53686</v>
      </c>
      <c r="F7878" t="inlineStr"/>
      <c r="G7878" t="inlineStr"/>
      <c r="H7878" t="inlineStr"/>
    </row>
    <row r="7879">
      <c r="A7879" t="inlineStr">
        <is>
          <t>30fdb52e-0da9-41b1-90b0-25e5de4ff06b.jpg</t>
        </is>
      </c>
      <c r="B7879">
        <f>HYPERLINK("Объекты недвижимости, не соответствующие градостроительным нормам_00-022_Август/30fdb52e-0da9-41b1-90b0-25e5de4ff06b.jpg","open")</f>
        <v/>
      </c>
      <c r="C7879" t="inlineStr">
        <is>
          <t>dd48f742-b338-42e2-bbaf-b3a9701b437c</t>
        </is>
      </c>
      <c r="D7879" t="n">
        <v>55.77631</v>
      </c>
      <c r="E7879" t="n">
        <v>37.68707</v>
      </c>
      <c r="F7879" t="inlineStr"/>
      <c r="G7879" t="inlineStr"/>
      <c r="H7879" t="inlineStr"/>
    </row>
    <row r="7880">
      <c r="A7880" t="inlineStr">
        <is>
          <t>9970bb22-6161-447b-b19c-5485bcb85191.jpg</t>
        </is>
      </c>
      <c r="B7880">
        <f>HYPERLINK("Объекты недвижимости, не соответствующие градостроительным нормам_00-022_Август/9970bb22-6161-447b-b19c-5485bcb85191.jpg","open")</f>
        <v/>
      </c>
      <c r="C7880" t="inlineStr">
        <is>
          <t>8996eb30-6497-4318-8a0e-b95314b8172e</t>
        </is>
      </c>
      <c r="D7880" t="n">
        <v>55.67249</v>
      </c>
      <c r="E7880" t="n">
        <v>37.74206</v>
      </c>
      <c r="F7880" t="inlineStr"/>
      <c r="G7880" t="inlineStr"/>
      <c r="H7880" t="inlineStr"/>
    </row>
    <row r="7881">
      <c r="A7881" t="inlineStr">
        <is>
          <t>50b14d10-9022-45da-ad3c-5325b25a4736.jpg</t>
        </is>
      </c>
      <c r="B7881">
        <f>HYPERLINK("Объекты недвижимости, не соответствующие градостроительным нормам_00-022_Август/50b14d10-9022-45da-ad3c-5325b25a4736.jpg","open")</f>
        <v/>
      </c>
      <c r="C7881" t="inlineStr">
        <is>
          <t>e26f5fc2-1353-4f29-85f3-87c56419161c</t>
        </is>
      </c>
      <c r="D7881" t="n">
        <v>55.89348</v>
      </c>
      <c r="E7881" t="n">
        <v>37.70142</v>
      </c>
      <c r="F7881" t="inlineStr"/>
      <c r="G7881" t="inlineStr"/>
      <c r="H7881" t="inlineStr"/>
    </row>
    <row r="7882">
      <c r="A7882" t="inlineStr">
        <is>
          <t>b3595ed1-8460-4280-8ff4-6bad70ae0922.jpg</t>
        </is>
      </c>
      <c r="B7882">
        <f>HYPERLINK("Объекты недвижимости, не соответствующие градостроительным нормам_00-022_Август/b3595ed1-8460-4280-8ff4-6bad70ae0922.jpg","open")</f>
        <v/>
      </c>
      <c r="C7882" t="inlineStr">
        <is>
          <t>030e8755-17c1-44eb-9530-707d0d3121cb</t>
        </is>
      </c>
      <c r="D7882" t="n">
        <v>55.61018</v>
      </c>
      <c r="E7882" t="n">
        <v>37.75404</v>
      </c>
      <c r="F7882" t="inlineStr"/>
      <c r="G7882" t="inlineStr"/>
      <c r="H7882" t="inlineStr"/>
    </row>
    <row r="7883">
      <c r="A7883" t="inlineStr">
        <is>
          <t>eb2e4680-a8a4-4ada-9a72-d09e90983adf.jpg</t>
        </is>
      </c>
      <c r="B7883">
        <f>HYPERLINK("Объекты недвижимости, не соответствующие градостроительным нормам_00-022_Август/eb2e4680-a8a4-4ada-9a72-d09e90983adf.jpg","open")</f>
        <v/>
      </c>
      <c r="C7883" t="inlineStr">
        <is>
          <t>8996eb30-6497-4318-8a0e-b95314b8172e</t>
        </is>
      </c>
      <c r="D7883" t="n">
        <v>55.67263</v>
      </c>
      <c r="E7883" t="n">
        <v>37.73981</v>
      </c>
      <c r="F7883" t="inlineStr"/>
      <c r="G7883" t="inlineStr"/>
      <c r="H7883" t="inlineStr"/>
    </row>
    <row r="7884">
      <c r="A7884" t="inlineStr">
        <is>
          <t>b7038e5c-30fa-4457-b9aa-dd6df16f23fb.jpg</t>
        </is>
      </c>
      <c r="B7884">
        <f>HYPERLINK("Объекты недвижимости, не соответствующие градостроительным нормам_00-022_Август/b7038e5c-30fa-4457-b9aa-dd6df16f23fb.jpg","open")</f>
        <v/>
      </c>
      <c r="C7884" t="inlineStr">
        <is>
          <t>12e795ad-2aa7-49de-b2da-2c6aa35a4559</t>
        </is>
      </c>
      <c r="D7884" t="n">
        <v>55.63894</v>
      </c>
      <c r="E7884" t="n">
        <v>37.5268</v>
      </c>
      <c r="F7884" t="inlineStr"/>
      <c r="G7884" t="inlineStr"/>
      <c r="H7884" t="inlineStr"/>
    </row>
    <row r="7885">
      <c r="A7885" t="inlineStr">
        <is>
          <t>01eb1110-6e1c-40fb-ba24-ebdfcc783802.jpg</t>
        </is>
      </c>
      <c r="B7885">
        <f>HYPERLINK("Объекты недвижимости, не соответствующие градостроительным нормам_00-022_Август/01eb1110-6e1c-40fb-ba24-ebdfcc783802.jpg","open")</f>
        <v/>
      </c>
      <c r="C7885" t="inlineStr">
        <is>
          <t>b0b7ea82-53be-40d0-b992-e2fd18611d5c</t>
        </is>
      </c>
      <c r="D7885" t="n">
        <v>55.6975</v>
      </c>
      <c r="E7885" t="n">
        <v>37.85261</v>
      </c>
      <c r="F7885" t="inlineStr"/>
      <c r="G7885" t="inlineStr"/>
      <c r="H7885" t="inlineStr"/>
    </row>
    <row r="7886">
      <c r="A7886" t="inlineStr">
        <is>
          <t>68c4ae47-10ad-4407-a45b-870cbb84f9a5.jpg</t>
        </is>
      </c>
      <c r="B7886">
        <f>HYPERLINK("Объекты недвижимости, не соответствующие градостроительным нормам_00-022_Август/68c4ae47-10ad-4407-a45b-870cbb84f9a5.jpg","open")</f>
        <v/>
      </c>
      <c r="C7886" t="inlineStr">
        <is>
          <t>cbf95b01-f708-45a3-9ec0-3603469b538e</t>
        </is>
      </c>
      <c r="D7886" t="n">
        <v>55.78334</v>
      </c>
      <c r="E7886" t="n">
        <v>37.53604</v>
      </c>
      <c r="F7886" t="inlineStr"/>
      <c r="G7886" t="inlineStr"/>
      <c r="H7886" t="inlineStr"/>
    </row>
    <row r="7887">
      <c r="A7887" t="inlineStr">
        <is>
          <t>eaca66a4-36bd-4b0a-a974-02502c366da9.jpg</t>
        </is>
      </c>
      <c r="B7887">
        <f>HYPERLINK("Объекты недвижимости, не соответствующие градостроительным нормам_00-022_Август/eaca66a4-36bd-4b0a-a974-02502c366da9.jpg","open")</f>
        <v/>
      </c>
      <c r="C7887" t="inlineStr">
        <is>
          <t>cbf95b01-f708-45a3-9ec0-3603469b538e</t>
        </is>
      </c>
      <c r="D7887" t="n">
        <v>55.78334</v>
      </c>
      <c r="E7887" t="n">
        <v>37.53604</v>
      </c>
      <c r="F7887" t="inlineStr"/>
      <c r="G7887" t="inlineStr"/>
      <c r="H7887" t="inlineStr"/>
    </row>
    <row r="7888">
      <c r="A7888" t="inlineStr">
        <is>
          <t>b23a7584-48da-459c-b9f6-1756409ed13c.jpg</t>
        </is>
      </c>
      <c r="B7888">
        <f>HYPERLINK("Объекты недвижимости, не соответствующие градостроительным нормам_00-022_Август/b23a7584-48da-459c-b9f6-1756409ed13c.jpg","open")</f>
        <v/>
      </c>
      <c r="C7888" t="inlineStr">
        <is>
          <t>cbf95b01-f708-45a3-9ec0-3603469b538e</t>
        </is>
      </c>
      <c r="D7888" t="n">
        <v>55.78334</v>
      </c>
      <c r="E7888" t="n">
        <v>37.53604</v>
      </c>
      <c r="F7888" t="inlineStr"/>
      <c r="G7888" t="inlineStr"/>
      <c r="H7888" t="inlineStr"/>
    </row>
    <row r="7889">
      <c r="A7889" t="inlineStr">
        <is>
          <t>be243983-30c4-4a64-8629-040f37c6e953.jpg</t>
        </is>
      </c>
      <c r="B7889">
        <f>HYPERLINK("Объекты недвижимости, не соответствующие градостроительным нормам_00-022_Август/be243983-30c4-4a64-8629-040f37c6e953.jpg","open")</f>
        <v/>
      </c>
      <c r="C7889" t="inlineStr">
        <is>
          <t>a1a9db89-3f74-42ef-8fad-ad69705102cd</t>
        </is>
      </c>
      <c r="D7889" t="n">
        <v>55.78334</v>
      </c>
      <c r="E7889" t="n">
        <v>37.53604</v>
      </c>
      <c r="F7889" t="inlineStr"/>
      <c r="G7889" t="inlineStr"/>
      <c r="H7889" t="inlineStr"/>
    </row>
    <row r="7890">
      <c r="A7890" t="inlineStr">
        <is>
          <t>7586ecac-fb58-4226-9a50-8418da1a8389.jpg</t>
        </is>
      </c>
      <c r="B7890">
        <f>HYPERLINK("Объекты недвижимости, не соответствующие градостроительным нормам_00-022_Август/7586ecac-fb58-4226-9a50-8418da1a8389.jpg","open")</f>
        <v/>
      </c>
      <c r="C7890" t="inlineStr">
        <is>
          <t>cbf95b01-f708-45a3-9ec0-3603469b538e</t>
        </is>
      </c>
      <c r="D7890" t="n">
        <v>55.78334</v>
      </c>
      <c r="E7890" t="n">
        <v>37.53604</v>
      </c>
      <c r="F7890" t="inlineStr"/>
      <c r="G7890" t="inlineStr"/>
      <c r="H7890" t="inlineStr"/>
    </row>
    <row r="7891">
      <c r="A7891" t="inlineStr">
        <is>
          <t>d192ca63-318e-4b4e-82c1-071f4f80c4c1.jpg</t>
        </is>
      </c>
      <c r="B7891">
        <f>HYPERLINK("Объекты недвижимости, не соответствующие градостроительным нормам_00-022_Август/d192ca63-318e-4b4e-82c1-071f4f80c4c1.jpg","open")</f>
        <v/>
      </c>
      <c r="C7891" t="inlineStr">
        <is>
          <t>cbf95b01-f708-45a3-9ec0-3603469b538e</t>
        </is>
      </c>
      <c r="D7891" t="n">
        <v>55.78334</v>
      </c>
      <c r="E7891" t="n">
        <v>37.53604</v>
      </c>
      <c r="F7891" t="inlineStr"/>
      <c r="G7891" t="inlineStr"/>
      <c r="H7891" t="inlineStr"/>
    </row>
    <row r="7892">
      <c r="A7892" t="inlineStr">
        <is>
          <t>a917e892-0e52-42dc-a117-27396d366b32.jpg</t>
        </is>
      </c>
      <c r="B7892">
        <f>HYPERLINK("Объекты недвижимости, не соответствующие градостроительным нормам_00-022_Август/a917e892-0e52-42dc-a117-27396d366b32.jpg","open")</f>
        <v/>
      </c>
      <c r="C7892" t="inlineStr">
        <is>
          <t>fce890a6-27da-4062-a046-08262a160ee6</t>
        </is>
      </c>
      <c r="D7892" t="n">
        <v>55.73867</v>
      </c>
      <c r="E7892" t="n">
        <v>37.52906</v>
      </c>
      <c r="F7892" t="inlineStr"/>
      <c r="G7892" t="inlineStr"/>
      <c r="H7892" t="inlineStr"/>
    </row>
    <row r="7893">
      <c r="A7893" t="inlineStr">
        <is>
          <t>1d5ef8d1-a70e-4adc-992a-ddbc76ec3a10.jpg</t>
        </is>
      </c>
      <c r="B7893">
        <f>HYPERLINK("Объекты недвижимости, не соответствующие градостроительным нормам_00-022_Август/1d5ef8d1-a70e-4adc-992a-ddbc76ec3a10.jpg","open")</f>
        <v/>
      </c>
      <c r="C7893" t="inlineStr">
        <is>
          <t>91248771-2c4d-44f3-b3cf-d536bd4ae73c</t>
        </is>
      </c>
      <c r="D7893" t="n">
        <v>55.79846</v>
      </c>
      <c r="E7893" t="n">
        <v>37.69834</v>
      </c>
      <c r="F7893" t="inlineStr"/>
      <c r="G7893" t="inlineStr"/>
      <c r="H7893" t="inlineStr"/>
    </row>
    <row r="7894">
      <c r="A7894" t="inlineStr">
        <is>
          <t>98d1199c-021f-4ca1-afa1-f63271c73880.jpg</t>
        </is>
      </c>
      <c r="B7894">
        <f>HYPERLINK("Объекты недвижимости, не соответствующие градостроительным нормам_00-022_Август/98d1199c-021f-4ca1-afa1-f63271c73880.jpg","open")</f>
        <v/>
      </c>
      <c r="C7894" t="inlineStr">
        <is>
          <t>18a5c468-d9e6-4814-8477-1caf4a2e1fe9</t>
        </is>
      </c>
      <c r="D7894" t="n">
        <v>55.75885</v>
      </c>
      <c r="E7894" t="n">
        <v>37.55925</v>
      </c>
      <c r="F7894" t="inlineStr"/>
      <c r="G7894" t="inlineStr"/>
      <c r="H7894" t="inlineStr"/>
    </row>
    <row r="7895">
      <c r="A7895" t="inlineStr">
        <is>
          <t>6cfdca5b-6875-45da-a06f-01776472a12b.jpg</t>
        </is>
      </c>
      <c r="B7895">
        <f>HYPERLINK("Объекты недвижимости, не соответствующие градостроительным нормам_00-022_Август/6cfdca5b-6875-45da-a06f-01776472a12b.jpg","open")</f>
        <v/>
      </c>
      <c r="C7895" t="inlineStr">
        <is>
          <t>29ad9edb-d533-4272-a986-be24eb004851</t>
        </is>
      </c>
      <c r="D7895" t="n">
        <v>55.75364</v>
      </c>
      <c r="E7895" t="n">
        <v>37.53194</v>
      </c>
      <c r="F7895" t="inlineStr"/>
      <c r="G7895" t="inlineStr"/>
      <c r="H7895" t="inlineStr"/>
    </row>
    <row r="7896">
      <c r="A7896" t="inlineStr">
        <is>
          <t>d2d7f26b-6fc2-4247-b779-ab91ee9c5df0.jpg</t>
        </is>
      </c>
      <c r="B7896">
        <f>HYPERLINK("Объекты недвижимости, не соответствующие градостроительным нормам_00-022_Август/d2d7f26b-6fc2-4247-b779-ab91ee9c5df0.jpg","open")</f>
        <v/>
      </c>
      <c r="C7896" t="inlineStr">
        <is>
          <t>fce890a6-27da-4062-a046-08262a160ee6</t>
        </is>
      </c>
      <c r="D7896" t="n">
        <v>55.73867</v>
      </c>
      <c r="E7896" t="n">
        <v>37.52906</v>
      </c>
      <c r="F7896" t="inlineStr"/>
      <c r="G7896" t="inlineStr"/>
      <c r="H7896" t="inlineStr"/>
    </row>
    <row r="7897">
      <c r="A7897" t="inlineStr">
        <is>
          <t>6a95265c-c9ae-4416-88ec-22c0be26a80d.jpg</t>
        </is>
      </c>
      <c r="B7897">
        <f>HYPERLINK("Объекты недвижимости, не соответствующие градостроительным нормам_00-022_Август/6a95265c-c9ae-4416-88ec-22c0be26a80d.jpg","open")</f>
        <v/>
      </c>
      <c r="C7897" t="inlineStr">
        <is>
          <t>8b2675e2-7f40-47a9-a462-7c9feecd299c</t>
        </is>
      </c>
      <c r="D7897" t="n">
        <v>55.96525</v>
      </c>
      <c r="E7897" t="n">
        <v>37.40744</v>
      </c>
      <c r="F7897" t="inlineStr"/>
      <c r="G7897" t="inlineStr"/>
      <c r="H7897" t="inlineStr"/>
    </row>
    <row r="7898">
      <c r="A7898" t="inlineStr">
        <is>
          <t>82dbcc41-b7a8-4ed4-8554-a7674b922ab3.jpg</t>
        </is>
      </c>
      <c r="B7898">
        <f>HYPERLINK("Объекты недвижимости, не соответствующие градостроительным нормам_00-022_Август/82dbcc41-b7a8-4ed4-8554-a7674b922ab3.jpg","open")</f>
        <v/>
      </c>
      <c r="C7898" t="inlineStr">
        <is>
          <t>5e5b9944-4f9e-4223-bf96-0bc0c8a93dfa</t>
        </is>
      </c>
      <c r="D7898" t="n">
        <v>55.70372</v>
      </c>
      <c r="E7898" t="n">
        <v>37.59956</v>
      </c>
      <c r="F7898" t="inlineStr"/>
      <c r="G7898" t="inlineStr"/>
      <c r="H7898" t="inlineStr"/>
    </row>
    <row r="7899">
      <c r="A7899" t="inlineStr">
        <is>
          <t>86900661-af0f-4efc-a388-23b985dec0f0.jpg</t>
        </is>
      </c>
      <c r="B7899">
        <f>HYPERLINK("Объекты недвижимости, не соответствующие градостроительным нормам_00-022_Август/86900661-af0f-4efc-a388-23b985dec0f0.jpg","open")</f>
        <v/>
      </c>
      <c r="C7899" t="inlineStr">
        <is>
          <t>685d9054-b74f-49ab-857b-109fd2cec80d</t>
        </is>
      </c>
      <c r="D7899" t="n">
        <v>55.61958</v>
      </c>
      <c r="E7899" t="n">
        <v>37.50187</v>
      </c>
      <c r="F7899" t="inlineStr"/>
      <c r="G7899" t="inlineStr"/>
      <c r="H7899" t="inlineStr"/>
    </row>
    <row r="7900">
      <c r="A7900" t="inlineStr">
        <is>
          <t>cd40db7e-52b9-4e17-8992-08616d1bb1ee.jpg</t>
        </is>
      </c>
      <c r="B7900">
        <f>HYPERLINK("Объекты недвижимости, не соответствующие градостроительным нормам_00-022_Август/cd40db7e-52b9-4e17-8992-08616d1bb1ee.jpg","open")</f>
        <v/>
      </c>
      <c r="C7900" t="inlineStr">
        <is>
          <t>1231bbc5-e64c-4dc7-9acc-77710f47607a</t>
        </is>
      </c>
      <c r="D7900" t="n">
        <v>55.61958</v>
      </c>
      <c r="E7900" t="n">
        <v>37.50187</v>
      </c>
      <c r="F7900" t="inlineStr"/>
      <c r="G7900" t="inlineStr"/>
      <c r="H7900" t="inlineStr"/>
    </row>
    <row r="7901">
      <c r="A7901" t="inlineStr">
        <is>
          <t>1bcaf192-8687-4c00-9f71-c603499a1903.jpg</t>
        </is>
      </c>
      <c r="B7901">
        <f>HYPERLINK("Объекты недвижимости, не соответствующие градостроительным нормам_00-022_Август/1bcaf192-8687-4c00-9f71-c603499a1903.jpg","open")</f>
        <v/>
      </c>
      <c r="C7901" t="inlineStr">
        <is>
          <t>ed2bf0f1-3a66-4913-896e-4420a9796c0b</t>
        </is>
      </c>
      <c r="D7901" t="n">
        <v>55.64221</v>
      </c>
      <c r="E7901" t="n">
        <v>37.54081</v>
      </c>
      <c r="F7901" t="inlineStr"/>
      <c r="G7901" t="inlineStr"/>
      <c r="H7901" t="inlineStr"/>
    </row>
    <row r="7902">
      <c r="A7902" t="inlineStr">
        <is>
          <t>2a290102-15d8-47c5-8c4b-3ed1969e7347.jpg</t>
        </is>
      </c>
      <c r="B7902">
        <f>HYPERLINK("Объекты недвижимости, не соответствующие градостроительным нормам_00-022_Август/2a290102-15d8-47c5-8c4b-3ed1969e7347.jpg","open")</f>
        <v/>
      </c>
      <c r="C7902" t="inlineStr">
        <is>
          <t>036c664f-5408-4fd0-b479-342c00468eeb</t>
        </is>
      </c>
      <c r="D7902" t="n">
        <v>55.7396</v>
      </c>
      <c r="E7902" t="n">
        <v>37.42439</v>
      </c>
      <c r="F7902" t="inlineStr"/>
      <c r="G7902" t="inlineStr"/>
      <c r="H7902" t="inlineStr"/>
    </row>
    <row r="7903">
      <c r="A7903" t="inlineStr">
        <is>
          <t>9c1dc36b-0b5e-4b15-a80e-de93ead3d9d2.jpg</t>
        </is>
      </c>
      <c r="B7903">
        <f>HYPERLINK("Объекты недвижимости, не соответствующие градостроительным нормам_00-022_Август/9c1dc36b-0b5e-4b15-a80e-de93ead3d9d2.jpg","open")</f>
        <v/>
      </c>
      <c r="C7903" t="inlineStr">
        <is>
          <t>a28f597e-d1cd-4d3b-b572-c86d033412e9</t>
        </is>
      </c>
      <c r="D7903" t="n">
        <v>55.73961</v>
      </c>
      <c r="E7903" t="n">
        <v>37.42436</v>
      </c>
      <c r="F7903" t="inlineStr"/>
      <c r="G7903" t="inlineStr"/>
      <c r="H7903" t="inlineStr"/>
    </row>
    <row r="7904">
      <c r="A7904" t="inlineStr">
        <is>
          <t>fe8d7cf4-c325-422f-af5b-058bbe973077.jpg</t>
        </is>
      </c>
      <c r="B7904">
        <f>HYPERLINK("Объекты недвижимости, не соответствующие градостроительным нормам_00-022_Август/fe8d7cf4-c325-422f-af5b-058bbe973077.jpg","open")</f>
        <v/>
      </c>
      <c r="C7904" t="inlineStr">
        <is>
          <t>dd48f742-b338-42e2-bbaf-b3a9701b437c</t>
        </is>
      </c>
      <c r="D7904" t="n">
        <v>55.8529</v>
      </c>
      <c r="E7904" t="n">
        <v>37.66783</v>
      </c>
      <c r="F7904" t="inlineStr"/>
      <c r="G7904" t="inlineStr"/>
      <c r="H7904" t="inlineStr"/>
    </row>
    <row r="7905">
      <c r="A7905" t="inlineStr">
        <is>
          <t>96691a88-6335-4590-80b5-a45ccf574061.jpg</t>
        </is>
      </c>
      <c r="B7905">
        <f>HYPERLINK("Объекты недвижимости, не соответствующие градостроительным нормам_00-022_Август/96691a88-6335-4590-80b5-a45ccf574061.jpg","open")</f>
        <v/>
      </c>
      <c r="C7905" t="inlineStr">
        <is>
          <t>ed2bf0f1-3a66-4913-896e-4420a9796c0b</t>
        </is>
      </c>
      <c r="D7905" t="n">
        <v>55.64585</v>
      </c>
      <c r="E7905" t="n">
        <v>37.54428</v>
      </c>
      <c r="F7905" t="inlineStr"/>
      <c r="G7905" t="inlineStr"/>
      <c r="H7905" t="inlineStr"/>
    </row>
    <row r="7906">
      <c r="A7906" t="inlineStr">
        <is>
          <t>637cf3b4-39e3-4920-992b-d66422f45f01.jpg</t>
        </is>
      </c>
      <c r="B7906">
        <f>HYPERLINK("Объекты недвижимости, не соответствующие градостроительным нормам_00-022_Август/637cf3b4-39e3-4920-992b-d66422f45f01.jpg","open")</f>
        <v/>
      </c>
      <c r="C7906" t="inlineStr">
        <is>
          <t>9fb3d110-951f-48da-9d90-cfd7e1b5800d</t>
        </is>
      </c>
      <c r="D7906" t="n">
        <v>55.69033</v>
      </c>
      <c r="E7906" t="n">
        <v>37.45257</v>
      </c>
      <c r="F7906" t="inlineStr"/>
      <c r="G7906" t="inlineStr"/>
      <c r="H7906" t="inlineStr"/>
    </row>
    <row r="7907">
      <c r="A7907" t="inlineStr">
        <is>
          <t>cf5ea756-ea0c-4235-a8a7-636111b43c9c.jpg</t>
        </is>
      </c>
      <c r="B7907">
        <f>HYPERLINK("Объекты недвижимости, не соответствующие градостроительным нормам_00-022_Август/cf5ea756-ea0c-4235-a8a7-636111b43c9c.jpg","open")</f>
        <v/>
      </c>
      <c r="C7907" t="inlineStr">
        <is>
          <t>fce890a6-27da-4062-a046-08262a160ee6</t>
        </is>
      </c>
      <c r="D7907" t="n">
        <v>55.73867</v>
      </c>
      <c r="E7907" t="n">
        <v>37.52906</v>
      </c>
      <c r="F7907" t="inlineStr"/>
      <c r="G7907" t="inlineStr"/>
      <c r="H7907" t="inlineStr"/>
    </row>
    <row r="7908">
      <c r="A7908" t="inlineStr">
        <is>
          <t>c547854e-82d4-474d-8e7b-155f868fccfd.jpg</t>
        </is>
      </c>
      <c r="B7908">
        <f>HYPERLINK("Объекты недвижимости, не соответствующие градостроительным нормам_00-022_Август/c547854e-82d4-474d-8e7b-155f868fccfd.jpg","open")</f>
        <v/>
      </c>
      <c r="C7908" t="inlineStr">
        <is>
          <t>56702d00-3d38-4721-8f83-3846a59c1e44</t>
        </is>
      </c>
      <c r="D7908" t="n">
        <v>55.75986</v>
      </c>
      <c r="E7908" t="n">
        <v>37.71683</v>
      </c>
      <c r="F7908" t="inlineStr"/>
      <c r="G7908" t="inlineStr"/>
      <c r="H7908" t="inlineStr"/>
    </row>
    <row r="7909">
      <c r="A7909" t="inlineStr">
        <is>
          <t>ea747d0c-740a-45de-afe6-04bbc39e9335.jpg</t>
        </is>
      </c>
      <c r="B7909">
        <f>HYPERLINK("Объекты недвижимости, не соответствующие градостроительным нормам_00-022_Август/ea747d0c-740a-45de-afe6-04bbc39e9335.jpg","open")</f>
        <v/>
      </c>
      <c r="C7909" t="inlineStr">
        <is>
          <t>fb9a37cc-57a6-447c-98bb-0b299f09c809</t>
        </is>
      </c>
      <c r="D7909" t="n">
        <v>55.85239</v>
      </c>
      <c r="E7909" t="n">
        <v>37.5288</v>
      </c>
      <c r="F7909" t="inlineStr"/>
      <c r="G7909" t="inlineStr"/>
      <c r="H7909" t="inlineStr"/>
    </row>
    <row r="7910">
      <c r="A7910" t="inlineStr">
        <is>
          <t>8c86a62e-77e9-4241-977a-09033fa43709.jpg</t>
        </is>
      </c>
      <c r="B7910">
        <f>HYPERLINK("Объекты недвижимости, не соответствующие градостроительным нормам_00-022_Август/8c86a62e-77e9-4241-977a-09033fa43709.jpg","open")</f>
        <v/>
      </c>
      <c r="C7910" t="inlineStr">
        <is>
          <t>61936922-4d4b-458e-80ea-6d4c450aa1d5</t>
        </is>
      </c>
      <c r="D7910" t="n">
        <v>55.69044</v>
      </c>
      <c r="E7910" t="n">
        <v>37.4519</v>
      </c>
      <c r="F7910" t="inlineStr"/>
      <c r="G7910" t="inlineStr"/>
      <c r="H7910" t="inlineStr"/>
    </row>
    <row r="7911">
      <c r="A7911" t="inlineStr">
        <is>
          <t>341c6328-fb9a-44b3-b33e-bf297fc5799f.jpg</t>
        </is>
      </c>
      <c r="B7911">
        <f>HYPERLINK("Объекты недвижимости, не соответствующие градостроительным нормам_00-022_Август/341c6328-fb9a-44b3-b33e-bf297fc5799f.jpg","open")</f>
        <v/>
      </c>
      <c r="C7911" t="inlineStr">
        <is>
          <t>a28f597e-d1cd-4d3b-b572-c86d033412e9</t>
        </is>
      </c>
      <c r="D7911" t="n">
        <v>55.74055</v>
      </c>
      <c r="E7911" t="n">
        <v>37.42179</v>
      </c>
      <c r="F7911" t="inlineStr"/>
      <c r="G7911" t="inlineStr"/>
      <c r="H7911" t="inlineStr"/>
    </row>
    <row r="7912">
      <c r="A7912" t="inlineStr">
        <is>
          <t>87a622c3-6a79-4729-b921-da0743f1e219.jpg</t>
        </is>
      </c>
      <c r="B7912">
        <f>HYPERLINK("Объекты недвижимости, не соответствующие градостроительным нормам_00-022_Август/87a622c3-6a79-4729-b921-da0743f1e219.jpg","open")</f>
        <v/>
      </c>
      <c r="C7912" t="inlineStr">
        <is>
          <t>8996eb30-6497-4318-8a0e-b95314b8172e</t>
        </is>
      </c>
      <c r="D7912" t="n">
        <v>55.67188</v>
      </c>
      <c r="E7912" t="n">
        <v>37.75594</v>
      </c>
      <c r="F7912" t="inlineStr"/>
      <c r="G7912" t="inlineStr"/>
      <c r="H7912" t="inlineStr"/>
    </row>
    <row r="7913">
      <c r="A7913" t="inlineStr">
        <is>
          <t>76be4771-cc43-43fb-8d45-d5f3d88b0df4.jpg</t>
        </is>
      </c>
      <c r="B7913">
        <f>HYPERLINK("Объекты недвижимости, не соответствующие градостроительным нормам_00-022_Август/76be4771-cc43-43fb-8d45-d5f3d88b0df4.jpg","open")</f>
        <v/>
      </c>
      <c r="C7913" t="inlineStr">
        <is>
          <t>9fb3d110-951f-48da-9d90-cfd7e1b5800d</t>
        </is>
      </c>
      <c r="D7913" t="n">
        <v>55.69037</v>
      </c>
      <c r="E7913" t="n">
        <v>37.45207</v>
      </c>
      <c r="F7913" t="inlineStr"/>
      <c r="G7913" t="inlineStr"/>
      <c r="H7913" t="inlineStr"/>
    </row>
    <row r="7914">
      <c r="A7914" t="inlineStr">
        <is>
          <t>c8a4a2f8-24a7-468b-b345-2ca9490752e7.jpg</t>
        </is>
      </c>
      <c r="B7914">
        <f>HYPERLINK("Объекты недвижимости, не соответствующие градостроительным нормам_00-022_Август/c8a4a2f8-24a7-468b-b345-2ca9490752e7.jpg","open")</f>
        <v/>
      </c>
      <c r="C7914" t="inlineStr">
        <is>
          <t>61936922-4d4b-458e-80ea-6d4c450aa1d5</t>
        </is>
      </c>
      <c r="D7914" t="n">
        <v>55.69037</v>
      </c>
      <c r="E7914" t="n">
        <v>37.45207</v>
      </c>
      <c r="F7914" t="inlineStr"/>
      <c r="G7914" t="inlineStr"/>
      <c r="H7914" t="inlineStr"/>
    </row>
    <row r="7915">
      <c r="A7915" t="inlineStr">
        <is>
          <t>94745fcf-75e8-4b82-9d18-d1bfd601f086.jpg</t>
        </is>
      </c>
      <c r="B7915">
        <f>HYPERLINK("Объекты недвижимости, не соответствующие градостроительным нормам_00-022_Август/94745fcf-75e8-4b82-9d18-d1bfd601f086.jpg","open")</f>
        <v/>
      </c>
      <c r="C7915" t="inlineStr">
        <is>
          <t>b0b7ea82-53be-40d0-b992-e2fd18611d5c</t>
        </is>
      </c>
      <c r="D7915" t="n">
        <v>55.70886</v>
      </c>
      <c r="E7915" t="n">
        <v>37.83478</v>
      </c>
      <c r="F7915" t="inlineStr"/>
      <c r="G7915" t="inlineStr"/>
      <c r="H7915" t="inlineStr"/>
    </row>
    <row r="7916">
      <c r="A7916" t="inlineStr">
        <is>
          <t>c719d278-0a71-42ce-af67-dad67e4da4e0.jpg</t>
        </is>
      </c>
      <c r="B7916">
        <f>HYPERLINK("Объекты недвижимости, не соответствующие градостроительным нормам_00-022_Август/c719d278-0a71-42ce-af67-dad67e4da4e0.jpg","open")</f>
        <v/>
      </c>
      <c r="C7916" t="inlineStr">
        <is>
          <t>1231bbc5-e64c-4dc7-9acc-77710f47607a</t>
        </is>
      </c>
      <c r="D7916" t="n">
        <v>55.62137</v>
      </c>
      <c r="E7916" t="n">
        <v>37.49615</v>
      </c>
      <c r="F7916" t="inlineStr"/>
      <c r="G7916" t="inlineStr"/>
      <c r="H7916" t="inlineStr"/>
    </row>
    <row r="7917">
      <c r="A7917" t="inlineStr">
        <is>
          <t>4d677ea5-d5e1-44df-a7de-e8e70a07d678.jpg</t>
        </is>
      </c>
      <c r="B7917">
        <f>HYPERLINK("Объекты недвижимости, не соответствующие градостроительным нормам_00-022_Август/4d677ea5-d5e1-44df-a7de-e8e70a07d678.jpg","open")</f>
        <v/>
      </c>
      <c r="C7917" t="inlineStr">
        <is>
          <t>18a5c468-d9e6-4814-8477-1caf4a2e1fe9</t>
        </is>
      </c>
      <c r="D7917" t="n">
        <v>55.75885</v>
      </c>
      <c r="E7917" t="n">
        <v>37.55925</v>
      </c>
      <c r="F7917" t="inlineStr"/>
      <c r="G7917" t="inlineStr"/>
      <c r="H7917" t="inlineStr"/>
    </row>
    <row r="7918">
      <c r="A7918" t="inlineStr">
        <is>
          <t>e6533e17-1e2b-431f-8c3e-290dcfa799f5.jpg</t>
        </is>
      </c>
      <c r="B7918">
        <f>HYPERLINK("Объекты недвижимости, не соответствующие градостроительным нормам_00-022_Август/e6533e17-1e2b-431f-8c3e-290dcfa799f5.jpg","open")</f>
        <v/>
      </c>
      <c r="C7918" t="inlineStr">
        <is>
          <t>8cde1fd0-eca1-4510-86ab-3c743b65fdfc</t>
        </is>
      </c>
      <c r="D7918" t="n">
        <v>55.58118</v>
      </c>
      <c r="E7918" t="n">
        <v>37.58327</v>
      </c>
      <c r="F7918" t="inlineStr"/>
      <c r="G7918" t="inlineStr"/>
      <c r="H7918" t="inlineStr"/>
    </row>
    <row r="7919">
      <c r="A7919" t="inlineStr">
        <is>
          <t>9aba1d41-a569-4c28-82a1-b5cce4ce8ef1.jpg</t>
        </is>
      </c>
      <c r="B7919">
        <f>HYPERLINK("Объекты недвижимости, не соответствующие градостроительным нормам_00-022_Август/9aba1d41-a569-4c28-82a1-b5cce4ce8ef1.jpg","open")</f>
        <v/>
      </c>
      <c r="C7919" t="inlineStr">
        <is>
          <t>1c951e11-4940-43c6-a447-394097e5609a</t>
        </is>
      </c>
      <c r="D7919" t="n">
        <v>55.58116</v>
      </c>
      <c r="E7919" t="n">
        <v>37.58328</v>
      </c>
      <c r="F7919" t="inlineStr"/>
      <c r="G7919" t="inlineStr"/>
      <c r="H7919" t="inlineStr"/>
    </row>
    <row r="7920">
      <c r="A7920" t="inlineStr">
        <is>
          <t>c3eb86bd-a89f-403e-b076-3862c0f72816.jpg</t>
        </is>
      </c>
      <c r="B7920">
        <f>HYPERLINK("Объекты недвижимости, не соответствующие градостроительным нормам_00-022_Август/c3eb86bd-a89f-403e-b076-3862c0f72816.jpg","open")</f>
        <v/>
      </c>
      <c r="C7920" t="inlineStr">
        <is>
          <t>8cde1fd0-eca1-4510-86ab-3c743b65fdfc</t>
        </is>
      </c>
      <c r="D7920" t="n">
        <v>55.58088</v>
      </c>
      <c r="E7920" t="n">
        <v>37.58345</v>
      </c>
      <c r="F7920" t="inlineStr"/>
      <c r="G7920" t="inlineStr"/>
      <c r="H7920" t="inlineStr"/>
    </row>
    <row r="7921">
      <c r="A7921" t="inlineStr">
        <is>
          <t>1b5a78e0-4903-40bb-acb0-fcb801188423.jpg</t>
        </is>
      </c>
      <c r="B7921">
        <f>HYPERLINK("Объекты недвижимости, не соответствующие градостроительным нормам_00-022_Август/1b5a78e0-4903-40bb-acb0-fcb801188423.jpg","open")</f>
        <v/>
      </c>
      <c r="C7921" t="inlineStr">
        <is>
          <t>8cde1fd0-eca1-4510-86ab-3c743b65fdfc</t>
        </is>
      </c>
      <c r="D7921" t="n">
        <v>55.57986</v>
      </c>
      <c r="E7921" t="n">
        <v>37.58452</v>
      </c>
      <c r="F7921" t="inlineStr"/>
      <c r="G7921" t="inlineStr"/>
      <c r="H7921" t="inlineStr"/>
    </row>
    <row r="7922">
      <c r="A7922" t="inlineStr">
        <is>
          <t>b37f062a-8ccd-46c9-8bc1-a5fa37a46e52.jpg</t>
        </is>
      </c>
      <c r="B7922">
        <f>HYPERLINK("Объекты недвижимости, не соответствующие градостроительным нормам_00-022_Август/b37f062a-8ccd-46c9-8bc1-a5fa37a46e52.jpg","open")</f>
        <v/>
      </c>
      <c r="C7922" t="inlineStr">
        <is>
          <t>8cde1fd0-eca1-4510-86ab-3c743b65fdfc</t>
        </is>
      </c>
      <c r="D7922" t="n">
        <v>55.57973</v>
      </c>
      <c r="E7922" t="n">
        <v>37.58465</v>
      </c>
      <c r="F7922" t="inlineStr"/>
      <c r="G7922" t="inlineStr"/>
      <c r="H7922" t="inlineStr"/>
    </row>
    <row r="7923">
      <c r="A7923" t="inlineStr">
        <is>
          <t>960cce8b-f193-42e9-94f6-5ae9fe9304d8.jpg</t>
        </is>
      </c>
      <c r="B7923">
        <f>HYPERLINK("Объекты недвижимости, не соответствующие градостроительным нормам_00-022_Август/960cce8b-f193-42e9-94f6-5ae9fe9304d8.jpg","open")</f>
        <v/>
      </c>
      <c r="C7923" t="inlineStr">
        <is>
          <t>31a713a9-b910-424b-b847-e0eaa2f70c70</t>
        </is>
      </c>
      <c r="D7923" t="n">
        <v>55.73207</v>
      </c>
      <c r="E7923" t="n">
        <v>37.46022</v>
      </c>
      <c r="F7923" t="inlineStr"/>
      <c r="G7923" t="inlineStr"/>
      <c r="H7923" t="inlineStr"/>
    </row>
    <row r="7924">
      <c r="A7924" t="inlineStr">
        <is>
          <t>f11350f1-ddae-4876-a9af-2cc07f6f3030.jpg</t>
        </is>
      </c>
      <c r="B7924">
        <f>HYPERLINK("Объекты недвижимости, не соответствующие градостроительным нормам_00-022_Август/f11350f1-ddae-4876-a9af-2cc07f6f3030.jpg","open")</f>
        <v/>
      </c>
      <c r="C7924" t="inlineStr">
        <is>
          <t>8cde1fd0-eca1-4510-86ab-3c743b65fdfc</t>
        </is>
      </c>
      <c r="D7924" t="n">
        <v>55.57952</v>
      </c>
      <c r="E7924" t="n">
        <v>37.58487</v>
      </c>
      <c r="F7924" t="inlineStr"/>
      <c r="G7924" t="inlineStr"/>
      <c r="H7924" t="inlineStr"/>
    </row>
    <row r="7925">
      <c r="A7925" t="inlineStr">
        <is>
          <t>06ad1ce1-b119-410a-b84b-06e1d6ead212.jpg</t>
        </is>
      </c>
      <c r="B7925">
        <f>HYPERLINK("Объекты недвижимости, не соответствующие градостроительным нормам_00-022_Август/06ad1ce1-b119-410a-b84b-06e1d6ead212.jpg","open")</f>
        <v/>
      </c>
      <c r="C7925" t="inlineStr">
        <is>
          <t>8cde1fd0-eca1-4510-86ab-3c743b65fdfc</t>
        </is>
      </c>
      <c r="D7925" t="n">
        <v>55.57935</v>
      </c>
      <c r="E7925" t="n">
        <v>37.58504</v>
      </c>
      <c r="F7925" t="inlineStr"/>
      <c r="G7925" t="inlineStr"/>
      <c r="H7925" t="inlineStr"/>
    </row>
    <row r="7926">
      <c r="A7926" t="inlineStr">
        <is>
          <t>d99cb9ae-d957-479d-a0f7-30a248bf5403.jpg</t>
        </is>
      </c>
      <c r="B7926">
        <f>HYPERLINK("Объекты недвижимости, не соответствующие градостроительным нормам_00-022_Август/d99cb9ae-d957-479d-a0f7-30a248bf5403.jpg","open")</f>
        <v/>
      </c>
      <c r="C7926" t="inlineStr">
        <is>
          <t>1c951e11-4940-43c6-a447-394097e5609a</t>
        </is>
      </c>
      <c r="D7926" t="n">
        <v>55.57931</v>
      </c>
      <c r="E7926" t="n">
        <v>37.58509</v>
      </c>
      <c r="F7926" t="inlineStr"/>
      <c r="G7926" t="inlineStr"/>
      <c r="H7926" t="inlineStr"/>
    </row>
    <row r="7927">
      <c r="A7927" t="inlineStr">
        <is>
          <t>5f7a88c1-e815-4869-912a-0b66c07092f1.jpg</t>
        </is>
      </c>
      <c r="B7927">
        <f>HYPERLINK("Объекты недвижимости, не соответствующие градостроительным нормам_00-022_Август/5f7a88c1-e815-4869-912a-0b66c07092f1.jpg","open")</f>
        <v/>
      </c>
      <c r="C7927" t="inlineStr">
        <is>
          <t>8cde1fd0-eca1-4510-86ab-3c743b65fdfc</t>
        </is>
      </c>
      <c r="D7927" t="n">
        <v>55.57923</v>
      </c>
      <c r="E7927" t="n">
        <v>37.58518</v>
      </c>
      <c r="F7927" t="inlineStr"/>
      <c r="G7927" t="inlineStr"/>
      <c r="H7927" t="inlineStr"/>
    </row>
    <row r="7928">
      <c r="A7928" t="inlineStr">
        <is>
          <t>437306ef-4422-46cd-91d2-046910875ddb.jpg</t>
        </is>
      </c>
      <c r="B7928">
        <f>HYPERLINK("Объекты недвижимости, не соответствующие градостроительным нормам_00-022_Август/437306ef-4422-46cd-91d2-046910875ddb.jpg","open")</f>
        <v/>
      </c>
      <c r="C7928" t="inlineStr">
        <is>
          <t>cbf95b01-f708-45a3-9ec0-3603469b538e</t>
        </is>
      </c>
      <c r="D7928" t="n">
        <v>55.78334</v>
      </c>
      <c r="E7928" t="n">
        <v>37.53604</v>
      </c>
      <c r="F7928" t="inlineStr"/>
      <c r="G7928" t="inlineStr"/>
      <c r="H7928" t="inlineStr"/>
    </row>
    <row r="7929">
      <c r="A7929" t="inlineStr">
        <is>
          <t>99106f12-e40b-4c46-9544-32fb3befd4df.jpg</t>
        </is>
      </c>
      <c r="B7929">
        <f>HYPERLINK("Объекты недвижимости, не соответствующие градостроительным нормам_00-022_Август/99106f12-e40b-4c46-9544-32fb3befd4df.jpg","open")</f>
        <v/>
      </c>
      <c r="C7929" t="inlineStr">
        <is>
          <t>cbf95b01-f708-45a3-9ec0-3603469b538e</t>
        </is>
      </c>
      <c r="D7929" t="n">
        <v>55.78334</v>
      </c>
      <c r="E7929" t="n">
        <v>37.53604</v>
      </c>
      <c r="F7929" t="inlineStr"/>
      <c r="G7929" t="inlineStr"/>
      <c r="H7929" t="inlineStr"/>
    </row>
    <row r="7930">
      <c r="A7930" t="inlineStr">
        <is>
          <t>5a549e22-aed7-4915-b1e6-a81317fad6a1.jpg</t>
        </is>
      </c>
      <c r="B7930">
        <f>HYPERLINK("Объекты недвижимости, не соответствующие градостроительным нормам_00-022_Август/5a549e22-aed7-4915-b1e6-a81317fad6a1.jpg","open")</f>
        <v/>
      </c>
      <c r="C7930" t="inlineStr">
        <is>
          <t>cbf95b01-f708-45a3-9ec0-3603469b538e</t>
        </is>
      </c>
      <c r="D7930" t="n">
        <v>55.78334</v>
      </c>
      <c r="E7930" t="n">
        <v>37.53604</v>
      </c>
      <c r="F7930" t="inlineStr"/>
      <c r="G7930" t="inlineStr"/>
      <c r="H7930" t="inlineStr"/>
    </row>
    <row r="7931">
      <c r="A7931" t="inlineStr">
        <is>
          <t>47564b2b-7722-4edc-a3bc-cd0c02c86b68.jpg</t>
        </is>
      </c>
      <c r="B7931">
        <f>HYPERLINK("Объекты недвижимости, не соответствующие градостроительным нормам_00-022_Август/47564b2b-7722-4edc-a3bc-cd0c02c86b68.jpg","open")</f>
        <v/>
      </c>
      <c r="C7931" t="inlineStr">
        <is>
          <t>a1a9db89-3f74-42ef-8fad-ad69705102cd</t>
        </is>
      </c>
      <c r="D7931" t="n">
        <v>55.78334</v>
      </c>
      <c r="E7931" t="n">
        <v>37.53604</v>
      </c>
      <c r="F7931" t="inlineStr"/>
      <c r="G7931" t="inlineStr"/>
      <c r="H7931" t="inlineStr"/>
    </row>
    <row r="7932">
      <c r="A7932" t="inlineStr">
        <is>
          <t>c45c07ec-682c-455e-a922-6d20b0ccef86.jpg</t>
        </is>
      </c>
      <c r="B7932">
        <f>HYPERLINK("Объекты недвижимости, не соответствующие градостроительным нормам_00-022_Август/c45c07ec-682c-455e-a922-6d20b0ccef86.jpg","open")</f>
        <v/>
      </c>
      <c r="C7932" t="inlineStr">
        <is>
          <t>cbf95b01-f708-45a3-9ec0-3603469b538e</t>
        </is>
      </c>
      <c r="D7932" t="n">
        <v>55.78334</v>
      </c>
      <c r="E7932" t="n">
        <v>37.53604</v>
      </c>
      <c r="F7932" t="inlineStr"/>
      <c r="G7932" t="inlineStr"/>
      <c r="H7932" t="inlineStr"/>
    </row>
    <row r="7933">
      <c r="A7933" t="inlineStr">
        <is>
          <t>97d49f6b-76a8-4e89-99f0-531b4f80b785.jpg</t>
        </is>
      </c>
      <c r="B7933">
        <f>HYPERLINK("Объекты недвижимости, не соответствующие градостроительным нормам_00-022_Август/97d49f6b-76a8-4e89-99f0-531b4f80b785.jpg","open")</f>
        <v/>
      </c>
      <c r="C7933" t="inlineStr">
        <is>
          <t>cbf95b01-f708-45a3-9ec0-3603469b538e</t>
        </is>
      </c>
      <c r="D7933" t="n">
        <v>55.78334</v>
      </c>
      <c r="E7933" t="n">
        <v>37.53604</v>
      </c>
      <c r="F7933" t="inlineStr"/>
      <c r="G7933" t="inlineStr"/>
      <c r="H7933" t="inlineStr"/>
    </row>
    <row r="7934">
      <c r="A7934" t="inlineStr">
        <is>
          <t>2bcd7b73-fabd-4f71-9c1a-21fd0ef6fc79.jpg</t>
        </is>
      </c>
      <c r="B7934">
        <f>HYPERLINK("Объекты недвижимости, не соответствующие градостроительным нормам_00-022_Август/2bcd7b73-fabd-4f71-9c1a-21fd0ef6fc79.jpg","open")</f>
        <v/>
      </c>
      <c r="C7934" t="inlineStr">
        <is>
          <t>8cde1fd0-eca1-4510-86ab-3c743b65fdfc</t>
        </is>
      </c>
      <c r="D7934" t="n">
        <v>55.58237</v>
      </c>
      <c r="E7934" t="n">
        <v>37.57673</v>
      </c>
      <c r="F7934" t="inlineStr"/>
      <c r="G7934" t="inlineStr"/>
      <c r="H7934" t="inlineStr"/>
    </row>
    <row r="7935">
      <c r="A7935" t="inlineStr">
        <is>
          <t>12f7c67b-f8a1-4705-be21-a6c90d95f4bc.jpg</t>
        </is>
      </c>
      <c r="B7935">
        <f>HYPERLINK("Объекты недвижимости, не соответствующие градостроительным нормам_00-022_Август/12f7c67b-f8a1-4705-be21-a6c90d95f4bc.jpg","open")</f>
        <v/>
      </c>
      <c r="C7935" t="inlineStr">
        <is>
          <t>685d9054-b74f-49ab-857b-109fd2cec80d</t>
        </is>
      </c>
      <c r="D7935" t="n">
        <v>55.61876</v>
      </c>
      <c r="E7935" t="n">
        <v>37.49804</v>
      </c>
      <c r="F7935" t="inlineStr"/>
      <c r="G7935" t="inlineStr"/>
      <c r="H7935" t="inlineStr"/>
    </row>
    <row r="7936">
      <c r="A7936" t="inlineStr">
        <is>
          <t>f40aeca5-ff9e-4f79-8df0-a714a49f56f4.jpg</t>
        </is>
      </c>
      <c r="B7936">
        <f>HYPERLINK("Объекты недвижимости, не соответствующие градостроительным нормам_00-022_Август/f40aeca5-ff9e-4f79-8df0-a714a49f56f4.jpg","open")</f>
        <v/>
      </c>
      <c r="C7936" t="inlineStr">
        <is>
          <t>6e2567a0-1fb9-40d5-a0e7-0adb480d2965</t>
        </is>
      </c>
      <c r="D7936" t="n">
        <v>55.58817</v>
      </c>
      <c r="E7936" t="n">
        <v>37.47371</v>
      </c>
      <c r="F7936" t="inlineStr"/>
      <c r="G7936" t="inlineStr"/>
      <c r="H7936" t="inlineStr"/>
    </row>
    <row r="7937">
      <c r="A7937" t="inlineStr">
        <is>
          <t>61585e05-622c-4f01-ba40-3e27ad358d4e.jpg</t>
        </is>
      </c>
      <c r="B7937">
        <f>HYPERLINK("Объекты недвижимости, не соответствующие градостроительным нормам_00-022_Август/61585e05-622c-4f01-ba40-3e27ad358d4e.jpg","open")</f>
        <v/>
      </c>
      <c r="C7937" t="inlineStr">
        <is>
          <t>030e8755-17c1-44eb-9530-707d0d3121cb</t>
        </is>
      </c>
      <c r="D7937" t="n">
        <v>55.60813</v>
      </c>
      <c r="E7937" t="n">
        <v>37.73534</v>
      </c>
      <c r="F7937" t="inlineStr"/>
      <c r="G7937" t="inlineStr"/>
      <c r="H7937" t="inlineStr"/>
    </row>
    <row r="7938">
      <c r="A7938" t="inlineStr">
        <is>
          <t>30ba0913-5929-4761-b6d0-7f6ef9483707.jpg</t>
        </is>
      </c>
      <c r="B7938">
        <f>HYPERLINK("Объекты недвижимости, не соответствующие градостроительным нормам_00-022_Август/30ba0913-5929-4761-b6d0-7f6ef9483707.jpg","open")</f>
        <v/>
      </c>
      <c r="C7938" t="inlineStr">
        <is>
          <t>5e5b9944-4f9e-4223-bf96-0bc0c8a93dfa</t>
        </is>
      </c>
      <c r="D7938" t="n">
        <v>55.70324</v>
      </c>
      <c r="E7938" t="n">
        <v>37.4579</v>
      </c>
      <c r="F7938" t="inlineStr"/>
      <c r="G7938" t="inlineStr"/>
      <c r="H7938" t="inlineStr"/>
    </row>
    <row r="7939">
      <c r="A7939" t="inlineStr">
        <is>
          <t>48b9973e-421c-4979-8f49-531ff7720d78.jpg</t>
        </is>
      </c>
      <c r="B7939">
        <f>HYPERLINK("Объекты недвижимости, не соответствующие градостроительным нормам_00-022_Август/48b9973e-421c-4979-8f49-531ff7720d78.jpg","open")</f>
        <v/>
      </c>
      <c r="C7939" t="inlineStr">
        <is>
          <t>cbf95b01-f708-45a3-9ec0-3603469b538e</t>
        </is>
      </c>
      <c r="D7939" t="n">
        <v>55.78334</v>
      </c>
      <c r="E7939" t="n">
        <v>37.53604</v>
      </c>
      <c r="F7939" t="inlineStr"/>
      <c r="G7939" t="inlineStr"/>
      <c r="H7939" t="inlineStr"/>
    </row>
    <row r="7940">
      <c r="A7940" t="inlineStr">
        <is>
          <t>d3028629-cfb9-44eb-8b52-256a79b682a6.jpg</t>
        </is>
      </c>
      <c r="B7940">
        <f>HYPERLINK("Объекты недвижимости, не соответствующие градостроительным нормам_00-022_Август/d3028629-cfb9-44eb-8b52-256a79b682a6.jpg","open")</f>
        <v/>
      </c>
      <c r="C7940" t="inlineStr">
        <is>
          <t>cbf95b01-f708-45a3-9ec0-3603469b538e</t>
        </is>
      </c>
      <c r="D7940" t="n">
        <v>55.72513</v>
      </c>
      <c r="E7940" t="n">
        <v>37.56461</v>
      </c>
      <c r="F7940" t="inlineStr"/>
      <c r="G7940" t="inlineStr"/>
      <c r="H7940" t="inlineStr"/>
    </row>
    <row r="7941">
      <c r="A7941" t="inlineStr">
        <is>
          <t>3ee29cfb-f3ed-4e48-b8ac-d732a26773fa.jpg</t>
        </is>
      </c>
      <c r="B7941">
        <f>HYPERLINK("Объекты недвижимости, не соответствующие градостроительным нормам_00-022_Август/3ee29cfb-f3ed-4e48-b8ac-d732a26773fa.jpg","open")</f>
        <v/>
      </c>
      <c r="C7941" t="inlineStr">
        <is>
          <t>f60286ac-55e7-4099-85bd-cc599a7a0c65</t>
        </is>
      </c>
      <c r="D7941" t="n">
        <v>55.96387</v>
      </c>
      <c r="E7941" t="n">
        <v>37.41628</v>
      </c>
      <c r="F7941" t="inlineStr"/>
      <c r="G7941" t="inlineStr"/>
      <c r="H7941" t="inlineStr"/>
    </row>
    <row r="7942">
      <c r="A7942" t="inlineStr">
        <is>
          <t>68d3bf79-0517-4436-924d-f715f7dc3b17.jpg</t>
        </is>
      </c>
      <c r="B7942">
        <f>HYPERLINK("Объекты недвижимости, не соответствующие градостроительным нормам_00-022_Август/68d3bf79-0517-4436-924d-f715f7dc3b17.jpg","open")</f>
        <v/>
      </c>
      <c r="C7942" t="inlineStr">
        <is>
          <t>a1a9db89-3f74-42ef-8fad-ad69705102cd</t>
        </is>
      </c>
      <c r="D7942" t="n">
        <v>55.72152</v>
      </c>
      <c r="E7942" t="n">
        <v>37.58232</v>
      </c>
      <c r="F7942" t="inlineStr"/>
      <c r="G7942" t="inlineStr"/>
      <c r="H7942" t="inlineStr"/>
    </row>
    <row r="7943">
      <c r="A7943" t="inlineStr">
        <is>
          <t>79d5dea7-84e6-4b9b-bda3-0e99dab4619b.jpg</t>
        </is>
      </c>
      <c r="B7943">
        <f>HYPERLINK("Объекты недвижимости, не соответствующие градостроительным нормам_00-022_Август/79d5dea7-84e6-4b9b-bda3-0e99dab4619b.jpg","open")</f>
        <v/>
      </c>
      <c r="C7943" t="inlineStr">
        <is>
          <t>cbf95b01-f708-45a3-9ec0-3603469b538e</t>
        </is>
      </c>
      <c r="D7943" t="n">
        <v>55.72152</v>
      </c>
      <c r="E7943" t="n">
        <v>37.58257</v>
      </c>
      <c r="F7943" t="inlineStr"/>
      <c r="G7943" t="inlineStr"/>
      <c r="H7943" t="inlineStr"/>
    </row>
    <row r="7944">
      <c r="A7944" t="inlineStr">
        <is>
          <t>c736754b-91cc-41de-9c31-f06e472926e0.jpg</t>
        </is>
      </c>
      <c r="B7944">
        <f>HYPERLINK("Объекты недвижимости, не соответствующие градостроительным нормам_00-022_Август/c736754b-91cc-41de-9c31-f06e472926e0.jpg","open")</f>
        <v/>
      </c>
      <c r="C7944" t="inlineStr">
        <is>
          <t>cbf95b01-f708-45a3-9ec0-3603469b538e</t>
        </is>
      </c>
      <c r="D7944" t="n">
        <v>55.72243</v>
      </c>
      <c r="E7944" t="n">
        <v>37.58649</v>
      </c>
      <c r="F7944" t="inlineStr"/>
      <c r="G7944" t="inlineStr"/>
      <c r="H7944" t="inlineStr"/>
    </row>
    <row r="7945">
      <c r="A7945" t="inlineStr">
        <is>
          <t>e628b880-7f8e-42fb-bee2-2e3d0d5fbadb.jpg</t>
        </is>
      </c>
      <c r="B7945">
        <f>HYPERLINK("Объекты недвижимости, не соответствующие градостроительным нормам_00-022_Август/e628b880-7f8e-42fb-bee2-2e3d0d5fbadb.jpg","open")</f>
        <v/>
      </c>
      <c r="C7945" t="inlineStr">
        <is>
          <t>750bf7e4-0f0f-4f1a-96af-607dc8c1f1c9</t>
        </is>
      </c>
      <c r="D7945" t="n">
        <v>55.73177</v>
      </c>
      <c r="E7945" t="n">
        <v>37.44845</v>
      </c>
      <c r="F7945" t="inlineStr"/>
      <c r="G7945" t="inlineStr"/>
      <c r="H7945" t="inlineStr"/>
    </row>
    <row r="7946">
      <c r="A7946" t="inlineStr">
        <is>
          <t>857b7527-fd97-4faa-9d94-68bd863fe6ff.jpg</t>
        </is>
      </c>
      <c r="B7946">
        <f>HYPERLINK("Объекты недвижимости, не соответствующие градостроительным нормам_00-022_Август/857b7527-fd97-4faa-9d94-68bd863fe6ff.jpg","open")</f>
        <v/>
      </c>
      <c r="C7946" t="inlineStr">
        <is>
          <t>030e8755-17c1-44eb-9530-707d0d3121cb</t>
        </is>
      </c>
      <c r="D7946" t="n">
        <v>55.61078</v>
      </c>
      <c r="E7946" t="n">
        <v>37.73447</v>
      </c>
      <c r="F7946" t="inlineStr"/>
      <c r="G7946" t="inlineStr"/>
      <c r="H7946" t="inlineStr"/>
    </row>
    <row r="7947">
      <c r="A7947" t="inlineStr">
        <is>
          <t>293bdcdb-dac3-4a8a-90d3-a25f41ee7c8e.jpg</t>
        </is>
      </c>
      <c r="B7947">
        <f>HYPERLINK("Объекты недвижимости, не соответствующие градостроительным нормам_00-022_Август/293bdcdb-dac3-4a8a-90d3-a25f41ee7c8e.jpg","open")</f>
        <v/>
      </c>
      <c r="C7947" t="inlineStr">
        <is>
          <t>cbf95b01-f708-45a3-9ec0-3603469b538e</t>
        </is>
      </c>
      <c r="D7947" t="n">
        <v>55.72366</v>
      </c>
      <c r="E7947" t="n">
        <v>37.58535</v>
      </c>
      <c r="F7947" t="inlineStr"/>
      <c r="G7947" t="inlineStr"/>
      <c r="H7947" t="inlineStr"/>
    </row>
    <row r="7948">
      <c r="A7948" t="inlineStr">
        <is>
          <t>41f65331-f604-4a39-87b7-8e192d651661.jpg</t>
        </is>
      </c>
      <c r="B7948">
        <f>HYPERLINK("Объекты недвижимости, не соответствующие градостроительным нормам_00-022_Август/41f65331-f604-4a39-87b7-8e192d651661.jpg","open")</f>
        <v/>
      </c>
      <c r="C7948" t="inlineStr">
        <is>
          <t>31a713a9-b910-424b-b847-e0eaa2f70c70</t>
        </is>
      </c>
      <c r="D7948" t="n">
        <v>55.73233</v>
      </c>
      <c r="E7948" t="n">
        <v>37.45113</v>
      </c>
      <c r="F7948" t="inlineStr"/>
      <c r="G7948" t="inlineStr"/>
      <c r="H7948" t="inlineStr"/>
    </row>
    <row r="7949">
      <c r="A7949" t="inlineStr">
        <is>
          <t>ef6bc120-993e-4ff4-ba82-f770d166e239.jpg</t>
        </is>
      </c>
      <c r="B7949">
        <f>HYPERLINK("Объекты недвижимости, не соответствующие градостроительным нормам_00-022_Август/ef6bc120-993e-4ff4-ba82-f770d166e239.jpg","open")</f>
        <v/>
      </c>
      <c r="C7949" t="inlineStr">
        <is>
          <t>cbf95b01-f708-45a3-9ec0-3603469b538e</t>
        </is>
      </c>
      <c r="D7949" t="n">
        <v>55.73142</v>
      </c>
      <c r="E7949" t="n">
        <v>37.57799</v>
      </c>
      <c r="F7949" t="inlineStr"/>
      <c r="G7949" t="inlineStr"/>
      <c r="H7949" t="inlineStr"/>
    </row>
    <row r="7950">
      <c r="A7950" t="inlineStr">
        <is>
          <t>e878deec-1163-4229-a004-5791b3f6adb8.jpg</t>
        </is>
      </c>
      <c r="B7950">
        <f>HYPERLINK("Объекты недвижимости, не соответствующие градостроительным нормам_00-022_Август/e878deec-1163-4229-a004-5791b3f6adb8.jpg","open")</f>
        <v/>
      </c>
      <c r="C7950" t="inlineStr">
        <is>
          <t>a1a9db89-3f74-42ef-8fad-ad69705102cd</t>
        </is>
      </c>
      <c r="D7950" t="n">
        <v>55.73145</v>
      </c>
      <c r="E7950" t="n">
        <v>37.57795</v>
      </c>
      <c r="F7950" t="inlineStr"/>
      <c r="G7950" t="inlineStr"/>
      <c r="H7950" t="inlineStr"/>
    </row>
    <row r="7951">
      <c r="A7951" t="inlineStr">
        <is>
          <t>a711b0d6-f3a0-47d8-8546-a9ab2aaa1a0b.jpg</t>
        </is>
      </c>
      <c r="B7951">
        <f>HYPERLINK("Объекты недвижимости, не соответствующие градостроительным нормам_00-022_Август/a711b0d6-f3a0-47d8-8546-a9ab2aaa1a0b.jpg","open")</f>
        <v/>
      </c>
      <c r="C7951" t="inlineStr">
        <is>
          <t>cbf95b01-f708-45a3-9ec0-3603469b538e</t>
        </is>
      </c>
      <c r="D7951" t="n">
        <v>55.7315</v>
      </c>
      <c r="E7951" t="n">
        <v>37.5778</v>
      </c>
      <c r="F7951" t="inlineStr"/>
      <c r="G7951" t="inlineStr"/>
      <c r="H7951" t="inlineStr"/>
    </row>
    <row r="7952">
      <c r="A7952" t="inlineStr">
        <is>
          <t>811ef420-3d15-4e1e-9e50-aa3d54217296.jpg</t>
        </is>
      </c>
      <c r="B7952">
        <f>HYPERLINK("Объекты недвижимости, не соответствующие градостроительным нормам_00-022_Август/811ef420-3d15-4e1e-9e50-aa3d54217296.jpg","open")</f>
        <v/>
      </c>
      <c r="C7952" t="inlineStr">
        <is>
          <t>036c664f-5408-4fd0-b479-342c00468eeb</t>
        </is>
      </c>
      <c r="D7952" t="n">
        <v>55.741</v>
      </c>
      <c r="E7952" t="n">
        <v>37.42789</v>
      </c>
      <c r="F7952" t="inlineStr"/>
      <c r="G7952" t="inlineStr"/>
      <c r="H7952" t="inlineStr"/>
    </row>
    <row r="7953">
      <c r="A7953" t="inlineStr">
        <is>
          <t>5d17938e-ef2b-45ea-b9bc-51f9c87adeb8.jpg</t>
        </is>
      </c>
      <c r="B7953">
        <f>HYPERLINK("Объекты недвижимости, не соответствующие градостроительным нормам_00-022_Август/5d17938e-ef2b-45ea-b9bc-51f9c87adeb8.jpg","open")</f>
        <v/>
      </c>
      <c r="C7953" t="inlineStr">
        <is>
          <t>a28f597e-d1cd-4d3b-b572-c86d033412e9</t>
        </is>
      </c>
      <c r="D7953" t="n">
        <v>55.741</v>
      </c>
      <c r="E7953" t="n">
        <v>37.42788</v>
      </c>
      <c r="F7953" t="inlineStr"/>
      <c r="G7953" t="inlineStr"/>
      <c r="H7953" t="inlineStr"/>
    </row>
    <row r="7954">
      <c r="A7954" t="inlineStr">
        <is>
          <t>20761bd9-5f1f-4052-92fe-3c4c1ac906b0.jpg</t>
        </is>
      </c>
      <c r="B7954">
        <f>HYPERLINK("Объекты недвижимости, не соответствующие градостроительным нормам_00-022_Август/20761bd9-5f1f-4052-92fe-3c4c1ac906b0.jpg","open")</f>
        <v/>
      </c>
      <c r="C7954" t="inlineStr">
        <is>
          <t>50e4626c-a80e-42ab-b999-b5092c2c063f</t>
        </is>
      </c>
      <c r="D7954" t="n">
        <v>55.76637</v>
      </c>
      <c r="E7954" t="n">
        <v>37.69755</v>
      </c>
      <c r="F7954" t="inlineStr"/>
      <c r="G7954" t="inlineStr"/>
      <c r="H7954" t="inlineStr"/>
    </row>
    <row r="7955">
      <c r="A7955" t="inlineStr">
        <is>
          <t>e6cb9bb5-a6a8-4cb2-aa77-b185810f9381.jpg</t>
        </is>
      </c>
      <c r="B7955">
        <f>HYPERLINK("Объекты недвижимости, не соответствующие градостроительным нормам_00-022_Август/e6cb9bb5-a6a8-4cb2-aa77-b185810f9381.jpg","open")</f>
        <v/>
      </c>
      <c r="C7955" t="inlineStr">
        <is>
          <t>cbf95b01-f708-45a3-9ec0-3603469b538e</t>
        </is>
      </c>
      <c r="D7955" t="n">
        <v>55.73297</v>
      </c>
      <c r="E7955" t="n">
        <v>37.57633</v>
      </c>
      <c r="F7955" t="inlineStr"/>
      <c r="G7955" t="inlineStr"/>
      <c r="H7955" t="inlineStr"/>
    </row>
    <row r="7956">
      <c r="A7956" t="inlineStr">
        <is>
          <t>49ff9c25-8521-42e2-adbe-0a3979380019.jpg</t>
        </is>
      </c>
      <c r="B7956">
        <f>HYPERLINK("Объекты недвижимости, не соответствующие градостроительным нормам_00-022_Август/49ff9c25-8521-42e2-adbe-0a3979380019.jpg","open")</f>
        <v/>
      </c>
      <c r="C7956" t="inlineStr">
        <is>
          <t>b0429a31-0c70-4b9f-8ea5-73929d82f89e</t>
        </is>
      </c>
      <c r="D7956" t="n">
        <v>55.59839</v>
      </c>
      <c r="E7956" t="n">
        <v>37.6139</v>
      </c>
      <c r="F7956" t="inlineStr"/>
      <c r="G7956" t="inlineStr"/>
      <c r="H7956" t="inlineStr"/>
    </row>
    <row r="7957">
      <c r="A7957" t="inlineStr">
        <is>
          <t>1a273c70-a9ef-41f3-9d96-6457a2a99fe6.jpg</t>
        </is>
      </c>
      <c r="B7957">
        <f>HYPERLINK("Объекты недвижимости, не соответствующие градостроительным нормам_00-022_Август/1a273c70-a9ef-41f3-9d96-6457a2a99fe6.jpg","open")</f>
        <v/>
      </c>
      <c r="C7957" t="inlineStr">
        <is>
          <t>99f3abba-c55b-49f0-9de5-9f88e9597cc0</t>
        </is>
      </c>
      <c r="D7957" t="n">
        <v>55.5984</v>
      </c>
      <c r="E7957" t="n">
        <v>37.61391</v>
      </c>
      <c r="F7957" t="inlineStr"/>
      <c r="G7957" t="inlineStr"/>
      <c r="H7957" t="inlineStr"/>
    </row>
    <row r="7958">
      <c r="A7958" t="inlineStr">
        <is>
          <t>0c3f740e-f3e8-455a-92ad-6bc615c56178.jpg</t>
        </is>
      </c>
      <c r="B7958">
        <f>HYPERLINK("Объекты недвижимости, не соответствующие градостроительным нормам_00-022_Август/0c3f740e-f3e8-455a-92ad-6bc615c56178.jpg","open")</f>
        <v/>
      </c>
      <c r="C7958" t="inlineStr">
        <is>
          <t>cbf95b01-f708-45a3-9ec0-3603469b538e</t>
        </is>
      </c>
      <c r="D7958" t="n">
        <v>55.73315</v>
      </c>
      <c r="E7958" t="n">
        <v>37.57669</v>
      </c>
      <c r="F7958" t="inlineStr"/>
      <c r="G7958" t="inlineStr"/>
      <c r="H7958" t="inlineStr"/>
    </row>
    <row r="7959">
      <c r="A7959" t="inlineStr">
        <is>
          <t>074ca4a1-0b78-46f4-bac6-8a2aac9c3d17.jpg</t>
        </is>
      </c>
      <c r="B7959">
        <f>HYPERLINK("Объекты недвижимости, не соответствующие градостроительным нормам_00-022_Август/074ca4a1-0b78-46f4-bac6-8a2aac9c3d17.jpg","open")</f>
        <v/>
      </c>
      <c r="C7959" t="inlineStr">
        <is>
          <t>8996eb30-6497-4318-8a0e-b95314b8172e</t>
        </is>
      </c>
      <c r="D7959" t="n">
        <v>55.67192</v>
      </c>
      <c r="E7959" t="n">
        <v>37.75585</v>
      </c>
      <c r="F7959" t="inlineStr"/>
      <c r="G7959" t="inlineStr"/>
      <c r="H7959" t="inlineStr"/>
    </row>
    <row r="7960">
      <c r="A7960" t="inlineStr">
        <is>
          <t>a399558a-bc6b-4139-9436-921ca700b747.jpg</t>
        </is>
      </c>
      <c r="B7960">
        <f>HYPERLINK("Объекты недвижимости, не соответствующие градостроительным нормам_00-022_Август/a399558a-bc6b-4139-9436-921ca700b747.jpg","open")</f>
        <v/>
      </c>
      <c r="C7960" t="inlineStr">
        <is>
          <t>036c664f-5408-4fd0-b479-342c00468eeb</t>
        </is>
      </c>
      <c r="D7960" t="n">
        <v>55.7401</v>
      </c>
      <c r="E7960" t="n">
        <v>37.42684</v>
      </c>
      <c r="F7960" t="inlineStr"/>
      <c r="G7960" t="inlineStr"/>
      <c r="H7960" t="inlineStr"/>
    </row>
    <row r="7961">
      <c r="A7961" t="inlineStr">
        <is>
          <t>ae06be25-1179-4902-9c68-26a03eec13cd.jpg</t>
        </is>
      </c>
      <c r="B7961">
        <f>HYPERLINK("Объекты недвижимости, не соответствующие градостроительным нормам_00-022_Август/ae06be25-1179-4902-9c68-26a03eec13cd.jpg","open")</f>
        <v/>
      </c>
      <c r="C7961" t="inlineStr">
        <is>
          <t>57aae8a4-582b-4309-8045-c8127a9f86ae</t>
        </is>
      </c>
      <c r="D7961" t="n">
        <v>55.80659</v>
      </c>
      <c r="E7961" t="n">
        <v>37.81747</v>
      </c>
      <c r="F7961" t="inlineStr"/>
      <c r="G7961" t="inlineStr"/>
      <c r="H7961" t="inlineStr"/>
    </row>
    <row r="7962">
      <c r="A7962" t="inlineStr">
        <is>
          <t>e83c0619-447c-44b8-81f2-8388e2878f33.jpg</t>
        </is>
      </c>
      <c r="B7962">
        <f>HYPERLINK("Объекты недвижимости, не соответствующие градостроительным нормам_00-022_Август/e83c0619-447c-44b8-81f2-8388e2878f33.jpg","open")</f>
        <v/>
      </c>
      <c r="C7962" t="inlineStr">
        <is>
          <t>acedacc2-0d8b-4fc1-9622-25621a89d071</t>
        </is>
      </c>
      <c r="D7962" t="n">
        <v>55.80664</v>
      </c>
      <c r="E7962" t="n">
        <v>37.81759</v>
      </c>
      <c r="F7962" t="inlineStr"/>
      <c r="G7962" t="inlineStr"/>
      <c r="H7962" t="inlineStr"/>
    </row>
    <row r="7963">
      <c r="A7963" t="inlineStr">
        <is>
          <t>ae76a230-5455-4312-bf37-495ee547d701.jpg</t>
        </is>
      </c>
      <c r="B7963">
        <f>HYPERLINK("Объекты недвижимости, не соответствующие градостроительным нормам_00-022_Август/ae76a230-5455-4312-bf37-495ee547d701.jpg","open")</f>
        <v/>
      </c>
      <c r="C7963" t="inlineStr">
        <is>
          <t>ffd931da-542f-43e9-979f-5552b17fe3dc</t>
        </is>
      </c>
      <c r="D7963" t="n">
        <v>55.84556</v>
      </c>
      <c r="E7963" t="n">
        <v>37.64671</v>
      </c>
      <c r="F7963" t="inlineStr"/>
      <c r="G7963" t="inlineStr"/>
      <c r="H7963" t="inlineStr"/>
    </row>
    <row r="7964">
      <c r="A7964" t="inlineStr">
        <is>
          <t>1f584fb8-2cbd-4dae-8033-30a93e54e709.jpg</t>
        </is>
      </c>
      <c r="B7964">
        <f>HYPERLINK("Объекты недвижимости, не соответствующие градостроительным нормам_00-022_Август/1f584fb8-2cbd-4dae-8033-30a93e54e709.jpg","open")</f>
        <v/>
      </c>
      <c r="C7964" t="inlineStr">
        <is>
          <t>ffd931da-542f-43e9-979f-5552b17fe3dc</t>
        </is>
      </c>
      <c r="D7964" t="n">
        <v>55.84555</v>
      </c>
      <c r="E7964" t="n">
        <v>37.64677</v>
      </c>
      <c r="F7964" t="inlineStr"/>
      <c r="G7964" t="inlineStr"/>
      <c r="H7964" t="inlineStr"/>
    </row>
    <row r="7965">
      <c r="A7965" t="inlineStr">
        <is>
          <t>c7e72493-2f77-40d9-85f9-8d23520dbf19.jpg</t>
        </is>
      </c>
      <c r="B7965">
        <f>HYPERLINK("Объекты недвижимости, не соответствующие градостроительным нормам_00-022_Август/c7e72493-2f77-40d9-85f9-8d23520dbf19.jpg","open")</f>
        <v/>
      </c>
      <c r="C7965" t="inlineStr">
        <is>
          <t>fb9a37cc-57a6-447c-98bb-0b299f09c809</t>
        </is>
      </c>
      <c r="D7965" t="n">
        <v>55.83928</v>
      </c>
      <c r="E7965" t="n">
        <v>37.51605</v>
      </c>
      <c r="F7965" t="inlineStr"/>
      <c r="G7965" t="inlineStr"/>
      <c r="H7965" t="inlineStr"/>
    </row>
    <row r="7966">
      <c r="A7966" t="inlineStr">
        <is>
          <t>d96a4c77-e1bb-4db3-93d3-388d5b76d8ef.jpg</t>
        </is>
      </c>
      <c r="B7966">
        <f>HYPERLINK("Объекты недвижимости, не соответствующие градостроительным нормам_00-022_Август/d96a4c77-e1bb-4db3-93d3-388d5b76d8ef.jpg","open")</f>
        <v/>
      </c>
      <c r="C7966" t="inlineStr">
        <is>
          <t>ffd931da-542f-43e9-979f-5552b17fe3dc</t>
        </is>
      </c>
      <c r="D7966" t="n">
        <v>55.84541</v>
      </c>
      <c r="E7966" t="n">
        <v>37.64835</v>
      </c>
      <c r="F7966" t="inlineStr"/>
      <c r="G7966" t="inlineStr"/>
      <c r="H7966" t="inlineStr"/>
    </row>
    <row r="7967">
      <c r="A7967" t="inlineStr">
        <is>
          <t>fad0280d-c220-4f4c-9e01-18dc71a7dd02.jpg</t>
        </is>
      </c>
      <c r="B7967">
        <f>HYPERLINK("Объекты недвижимости, не соответствующие градостроительным нормам_00-022_Август/fad0280d-c220-4f4c-9e01-18dc71a7dd02.jpg","open")</f>
        <v/>
      </c>
      <c r="C7967" t="inlineStr">
        <is>
          <t>ffd931da-542f-43e9-979f-5552b17fe3dc</t>
        </is>
      </c>
      <c r="D7967" t="n">
        <v>55.84462</v>
      </c>
      <c r="E7967" t="n">
        <v>37.65329</v>
      </c>
      <c r="F7967" t="inlineStr"/>
      <c r="G7967" t="inlineStr"/>
      <c r="H7967" t="inlineStr"/>
    </row>
    <row r="7968">
      <c r="A7968" t="inlineStr">
        <is>
          <t>d4403427-31d8-4a61-b7fe-865e27276c99.jpg</t>
        </is>
      </c>
      <c r="B7968">
        <f>HYPERLINK("Объекты недвижимости, не соответствующие градостроительным нормам_00-022_Август/d4403427-31d8-4a61-b7fe-865e27276c99.jpg","open")</f>
        <v/>
      </c>
      <c r="C7968" t="inlineStr">
        <is>
          <t>cbf95b01-f708-45a3-9ec0-3603469b538e</t>
        </is>
      </c>
      <c r="D7968" t="n">
        <v>55.73459</v>
      </c>
      <c r="E7968" t="n">
        <v>37.59401</v>
      </c>
      <c r="F7968" t="inlineStr"/>
      <c r="G7968" t="inlineStr"/>
      <c r="H7968" t="inlineStr"/>
    </row>
    <row r="7969">
      <c r="A7969" t="inlineStr">
        <is>
          <t>c7eeba6b-6b8f-4cfa-8908-590463a180da.jpg</t>
        </is>
      </c>
      <c r="B7969">
        <f>HYPERLINK("Объекты недвижимости, не соответствующие градостроительным нормам_00-022_Август/c7eeba6b-6b8f-4cfa-8908-590463a180da.jpg","open")</f>
        <v/>
      </c>
      <c r="C7969" t="inlineStr">
        <is>
          <t>cbf95b01-f708-45a3-9ec0-3603469b538e</t>
        </is>
      </c>
      <c r="D7969" t="n">
        <v>55.73459</v>
      </c>
      <c r="E7969" t="n">
        <v>37.59401</v>
      </c>
      <c r="F7969" t="inlineStr"/>
      <c r="G7969" t="inlineStr"/>
      <c r="H7969" t="inlineStr"/>
    </row>
    <row r="7970">
      <c r="A7970" t="inlineStr">
        <is>
          <t>c638aca2-5c07-4220-b920-4228eca001bb.jpg</t>
        </is>
      </c>
      <c r="B7970">
        <f>HYPERLINK("Объекты недвижимости, не соответствующие градостроительным нормам_00-022_Август/c638aca2-5c07-4220-b920-4228eca001bb.jpg","open")</f>
        <v/>
      </c>
      <c r="C7970" t="inlineStr">
        <is>
          <t>797901ad-53b1-41b8-99d1-d59d59c863d5</t>
        </is>
      </c>
      <c r="D7970" t="n">
        <v>55.75985</v>
      </c>
      <c r="E7970" t="n">
        <v>37.75406</v>
      </c>
      <c r="F7970" t="inlineStr"/>
      <c r="G7970" t="inlineStr"/>
      <c r="H7970" t="inlineStr"/>
    </row>
    <row r="7971">
      <c r="A7971" t="inlineStr">
        <is>
          <t>ba602aa3-8af6-4402-a358-9af3cae0ce6e.jpg</t>
        </is>
      </c>
      <c r="B7971">
        <f>HYPERLINK("Объекты недвижимости, не соответствующие градостроительным нормам_00-022_Август/ba602aa3-8af6-4402-a358-9af3cae0ce6e.jpg","open")</f>
        <v/>
      </c>
      <c r="C7971" t="inlineStr">
        <is>
          <t>a1a9db89-3f74-42ef-8fad-ad69705102cd</t>
        </is>
      </c>
      <c r="D7971" t="n">
        <v>55.73459</v>
      </c>
      <c r="E7971" t="n">
        <v>37.59401</v>
      </c>
      <c r="F7971" t="inlineStr"/>
      <c r="G7971" t="inlineStr"/>
      <c r="H7971" t="inlineStr"/>
    </row>
    <row r="7972">
      <c r="A7972" t="inlineStr">
        <is>
          <t>e13e4598-307c-4571-8a58-c5ce8da491d9.jpg</t>
        </is>
      </c>
      <c r="B7972">
        <f>HYPERLINK("Объекты недвижимости, не соответствующие градостроительным нормам_00-022_Август/e13e4598-307c-4571-8a58-c5ce8da491d9.jpg","open")</f>
        <v/>
      </c>
      <c r="C7972" t="inlineStr">
        <is>
          <t>cbf95b01-f708-45a3-9ec0-3603469b538e</t>
        </is>
      </c>
      <c r="D7972" t="n">
        <v>55.73459</v>
      </c>
      <c r="E7972" t="n">
        <v>37.59401</v>
      </c>
      <c r="F7972" t="inlineStr"/>
      <c r="G7972" t="inlineStr"/>
      <c r="H7972" t="inlineStr"/>
    </row>
    <row r="7973">
      <c r="A7973" t="inlineStr">
        <is>
          <t>2e90592b-686e-4e94-82e7-d7966ca138eb.jpg</t>
        </is>
      </c>
      <c r="B7973">
        <f>HYPERLINK("Объекты недвижимости, не соответствующие градостроительным нормам_00-022_Август/2e90592b-686e-4e94-82e7-d7966ca138eb.jpg","open")</f>
        <v/>
      </c>
      <c r="C7973" t="inlineStr">
        <is>
          <t>56702d00-3d38-4721-8f83-3846a59c1e44</t>
        </is>
      </c>
      <c r="D7973" t="n">
        <v>55.76637</v>
      </c>
      <c r="E7973" t="n">
        <v>37.69755</v>
      </c>
      <c r="F7973" t="inlineStr"/>
      <c r="G7973" t="inlineStr"/>
      <c r="H7973" t="inlineStr"/>
    </row>
    <row r="7974">
      <c r="A7974" t="inlineStr">
        <is>
          <t>43504a47-98a0-4d78-89cc-5cddc0cec007.jpg</t>
        </is>
      </c>
      <c r="B7974">
        <f>HYPERLINK("Объекты недвижимости, не соответствующие градостроительным нормам_00-022_Август/43504a47-98a0-4d78-89cc-5cddc0cec007.jpg","open")</f>
        <v/>
      </c>
      <c r="C7974" t="inlineStr">
        <is>
          <t>50e4626c-a80e-42ab-b999-b5092c2c063f</t>
        </is>
      </c>
      <c r="D7974" t="n">
        <v>55.76637</v>
      </c>
      <c r="E7974" t="n">
        <v>37.69755</v>
      </c>
      <c r="F7974" t="inlineStr"/>
      <c r="G7974" t="inlineStr"/>
      <c r="H7974" t="inlineStr"/>
    </row>
    <row r="7975">
      <c r="A7975" t="inlineStr">
        <is>
          <t>83e7ec4f-37c2-4578-aa5c-444bd3d8433c.jpg</t>
        </is>
      </c>
      <c r="B7975">
        <f>HYPERLINK("Объекты недвижимости, не соответствующие градостроительным нормам_00-022_Август/83e7ec4f-37c2-4578-aa5c-444bd3d8433c.jpg","open")</f>
        <v/>
      </c>
      <c r="C7975" t="inlineStr">
        <is>
          <t>cbf95b01-f708-45a3-9ec0-3603469b538e</t>
        </is>
      </c>
      <c r="D7975" t="n">
        <v>55.74953</v>
      </c>
      <c r="E7975" t="n">
        <v>37.58274</v>
      </c>
      <c r="F7975" t="inlineStr"/>
      <c r="G7975" t="inlineStr"/>
      <c r="H7975" t="inlineStr"/>
    </row>
    <row r="7976">
      <c r="A7976" t="inlineStr">
        <is>
          <t>55170e0a-94a0-4cd4-9c37-fffa7d8e5bb8.jpg</t>
        </is>
      </c>
      <c r="B7976">
        <f>HYPERLINK("Объекты недвижимости, не соответствующие градостроительным нормам_00-022_Август/55170e0a-94a0-4cd4-9c37-fffa7d8e5bb8.jpg","open")</f>
        <v/>
      </c>
      <c r="C7976" t="inlineStr">
        <is>
          <t>fb40ed24-21ef-458a-a239-038ab19932cc</t>
        </is>
      </c>
      <c r="D7976" t="n">
        <v>55.76654</v>
      </c>
      <c r="E7976" t="n">
        <v>37.74858</v>
      </c>
      <c r="F7976" t="inlineStr"/>
      <c r="G7976" t="inlineStr"/>
      <c r="H7976" t="inlineStr"/>
    </row>
    <row r="7977">
      <c r="A7977" t="inlineStr">
        <is>
          <t>f51a1f01-3196-4a4b-8229-374fd3dac29a.jpg</t>
        </is>
      </c>
      <c r="B7977">
        <f>HYPERLINK("Объекты недвижимости, не соответствующие градостроительным нормам_00-022_Август/f51a1f01-3196-4a4b-8229-374fd3dac29a.jpg","open")</f>
        <v/>
      </c>
      <c r="C7977" t="inlineStr">
        <is>
          <t>8cde1fd0-eca1-4510-86ab-3c743b65fdfc</t>
        </is>
      </c>
      <c r="D7977" t="n">
        <v>55.58574</v>
      </c>
      <c r="E7977" t="n">
        <v>37.6064</v>
      </c>
      <c r="F7977" t="inlineStr"/>
      <c r="G7977" t="inlineStr"/>
      <c r="H7977" t="inlineStr"/>
    </row>
    <row r="7978">
      <c r="A7978" t="inlineStr">
        <is>
          <t>61a97d84-2d27-4c1d-b22c-5fe30e604752.jpg</t>
        </is>
      </c>
      <c r="B7978">
        <f>HYPERLINK("Объекты недвижимости, не соответствующие градостроительным нормам_00-022_Август/61a97d84-2d27-4c1d-b22c-5fe30e604752.jpg","open")</f>
        <v/>
      </c>
      <c r="C7978" t="inlineStr">
        <is>
          <t>cbf95b01-f708-45a3-9ec0-3603469b538e</t>
        </is>
      </c>
      <c r="D7978" t="n">
        <v>55.75846</v>
      </c>
      <c r="E7978" t="n">
        <v>37.58457</v>
      </c>
      <c r="F7978" t="inlineStr"/>
      <c r="G7978" t="inlineStr"/>
      <c r="H7978" t="inlineStr"/>
    </row>
    <row r="7979">
      <c r="A7979" t="inlineStr">
        <is>
          <t>0cf5463a-a936-4a50-8c42-9d365dd0ffb6.jpg</t>
        </is>
      </c>
      <c r="B7979">
        <f>HYPERLINK("Объекты недвижимости, не соответствующие градостроительным нормам_00-022_Август/0cf5463a-a936-4a50-8c42-9d365dd0ffb6.jpg","open")</f>
        <v/>
      </c>
      <c r="C7979" t="inlineStr">
        <is>
          <t>1c951e11-4940-43c6-a447-394097e5609a</t>
        </is>
      </c>
      <c r="D7979" t="n">
        <v>55.58722</v>
      </c>
      <c r="E7979" t="n">
        <v>37.60796</v>
      </c>
      <c r="F7979" t="inlineStr"/>
      <c r="G7979" t="inlineStr"/>
      <c r="H7979" t="inlineStr"/>
    </row>
    <row r="7980">
      <c r="A7980" t="inlineStr">
        <is>
          <t>5952e1d3-bc9b-4d82-b7d8-9f8b192a66de.jpg</t>
        </is>
      </c>
      <c r="B7980">
        <f>HYPERLINK("Объекты недвижимости, не соответствующие градостроительным нормам_00-022_Август/5952e1d3-bc9b-4d82-b7d8-9f8b192a66de.jpg","open")</f>
        <v/>
      </c>
      <c r="C7980" t="inlineStr">
        <is>
          <t>8cde1fd0-eca1-4510-86ab-3c743b65fdfc</t>
        </is>
      </c>
      <c r="D7980" t="n">
        <v>55.58724</v>
      </c>
      <c r="E7980" t="n">
        <v>37.60799</v>
      </c>
      <c r="F7980" t="inlineStr"/>
      <c r="G7980" t="inlineStr"/>
      <c r="H7980" t="inlineStr"/>
    </row>
    <row r="7981">
      <c r="A7981" t="inlineStr">
        <is>
          <t>7e65a4ed-b2e9-475f-b7e5-4e59936d029f.jpg</t>
        </is>
      </c>
      <c r="B7981">
        <f>HYPERLINK("Объекты недвижимости, не соответствующие градостроительным нормам_00-022_Август/7e65a4ed-b2e9-475f-b7e5-4e59936d029f.jpg","open")</f>
        <v/>
      </c>
      <c r="C7981" t="inlineStr">
        <is>
          <t>ed2bf0f1-3a66-4913-896e-4420a9796c0b</t>
        </is>
      </c>
      <c r="D7981" t="n">
        <v>55.6621</v>
      </c>
      <c r="E7981" t="n">
        <v>37.60498</v>
      </c>
      <c r="F7981" t="inlineStr"/>
      <c r="G7981" t="inlineStr"/>
      <c r="H7981" t="inlineStr"/>
    </row>
    <row r="7982">
      <c r="A7982" t="inlineStr">
        <is>
          <t>fda5a938-c107-4f78-af1e-8b9489f348d0.jpg</t>
        </is>
      </c>
      <c r="B7982">
        <f>HYPERLINK("Объекты недвижимости, не соответствующие градостроительным нормам_00-022_Август/fda5a938-c107-4f78-af1e-8b9489f348d0.jpg","open")</f>
        <v/>
      </c>
      <c r="C7982" t="inlineStr">
        <is>
          <t>8cde1fd0-eca1-4510-86ab-3c743b65fdfc</t>
        </is>
      </c>
      <c r="D7982" t="n">
        <v>55.58603</v>
      </c>
      <c r="E7982" t="n">
        <v>37.60676</v>
      </c>
      <c r="F7982" t="inlineStr"/>
      <c r="G7982" t="inlineStr"/>
      <c r="H7982" t="inlineStr"/>
    </row>
    <row r="7983">
      <c r="A7983" t="inlineStr">
        <is>
          <t>bfac2ca0-fc20-438f-9e82-a1be41f0ac16.jpg</t>
        </is>
      </c>
      <c r="B7983">
        <f>HYPERLINK("Объекты недвижимости, не соответствующие градостроительным нормам_00-022_Август/bfac2ca0-fc20-438f-9e82-a1be41f0ac16.jpg","open")</f>
        <v/>
      </c>
      <c r="C7983" t="inlineStr">
        <is>
          <t>8cde1fd0-eca1-4510-86ab-3c743b65fdfc</t>
        </is>
      </c>
      <c r="D7983" t="n">
        <v>55.58619</v>
      </c>
      <c r="E7983" t="n">
        <v>37.60524</v>
      </c>
      <c r="F7983" t="inlineStr"/>
      <c r="G7983" t="inlineStr"/>
      <c r="H7983" t="inlineStr"/>
    </row>
    <row r="7984">
      <c r="A7984" t="inlineStr">
        <is>
          <t>03e6b373-f6d3-4f95-bf86-1ae13350f738.jpg</t>
        </is>
      </c>
      <c r="B7984">
        <f>HYPERLINK("Объекты недвижимости, не соответствующие градостроительным нормам_00-022_Август/03e6b373-f6d3-4f95-bf86-1ae13350f738.jpg","open")</f>
        <v/>
      </c>
      <c r="C7984" t="inlineStr">
        <is>
          <t>5adecbcf-6742-48b8-951f-8e3abc9509e4</t>
        </is>
      </c>
      <c r="D7984" t="n">
        <v>55.67952</v>
      </c>
      <c r="E7984" t="n">
        <v>37.45249</v>
      </c>
      <c r="F7984" t="inlineStr"/>
      <c r="G7984" t="inlineStr"/>
      <c r="H7984" t="inlineStr"/>
    </row>
    <row r="7985">
      <c r="A7985" t="inlineStr">
        <is>
          <t>46732b31-3074-48a8-8aaa-191950917b28.jpg</t>
        </is>
      </c>
      <c r="B7985">
        <f>HYPERLINK("Объекты недвижимости, не соответствующие градостроительным нормам_00-022_Август/46732b31-3074-48a8-8aaa-191950917b28.jpg","open")</f>
        <v/>
      </c>
      <c r="C7985" t="inlineStr">
        <is>
          <t>1c951e11-4940-43c6-a447-394097e5609a</t>
        </is>
      </c>
      <c r="D7985" t="n">
        <v>55.58611</v>
      </c>
      <c r="E7985" t="n">
        <v>37.60458</v>
      </c>
      <c r="F7985" t="inlineStr"/>
      <c r="G7985" t="inlineStr"/>
      <c r="H7985" t="inlineStr"/>
    </row>
    <row r="7986">
      <c r="A7986" t="inlineStr">
        <is>
          <t>014bf9f1-73b3-46fe-9af6-75f841078804.jpg</t>
        </is>
      </c>
      <c r="B7986">
        <f>HYPERLINK("Объекты недвижимости, не соответствующие градостроительным нормам_00-022_Август/014bf9f1-73b3-46fe-9af6-75f841078804.jpg","open")</f>
        <v/>
      </c>
      <c r="C7986" t="inlineStr">
        <is>
          <t>8cde1fd0-eca1-4510-86ab-3c743b65fdfc</t>
        </is>
      </c>
      <c r="D7986" t="n">
        <v>55.58608</v>
      </c>
      <c r="E7986" t="n">
        <v>37.60457</v>
      </c>
      <c r="F7986" t="inlineStr"/>
      <c r="G7986" t="inlineStr"/>
      <c r="H7986" t="inlineStr"/>
    </row>
    <row r="7987">
      <c r="A7987" t="inlineStr">
        <is>
          <t>0484f31e-c7c3-4da6-89a4-c8e331cf2551.jpg</t>
        </is>
      </c>
      <c r="B7987">
        <f>HYPERLINK("Объекты недвижимости, не соответствующие градостроительным нормам_00-022_Август/0484f31e-c7c3-4da6-89a4-c8e331cf2551.jpg","open")</f>
        <v/>
      </c>
      <c r="C7987" t="inlineStr">
        <is>
          <t>1c951e11-4940-43c6-a447-394097e5609a</t>
        </is>
      </c>
      <c r="D7987" t="n">
        <v>55.5862</v>
      </c>
      <c r="E7987" t="n">
        <v>37.60484</v>
      </c>
      <c r="F7987" t="inlineStr"/>
      <c r="G7987" t="inlineStr"/>
      <c r="H7987" t="inlineStr"/>
    </row>
    <row r="7988">
      <c r="A7988" t="inlineStr">
        <is>
          <t>1167b9f8-6a9d-4b70-bfaa-28e12dd8d1b4.jpg</t>
        </is>
      </c>
      <c r="B7988">
        <f>HYPERLINK("Объекты недвижимости, не соответствующие градостроительным нормам_00-022_Август/1167b9f8-6a9d-4b70-bfaa-28e12dd8d1b4.jpg","open")</f>
        <v/>
      </c>
      <c r="C7988" t="inlineStr">
        <is>
          <t>cbf95b01-f708-45a3-9ec0-3603469b538e</t>
        </is>
      </c>
      <c r="D7988" t="n">
        <v>55.77281</v>
      </c>
      <c r="E7988" t="n">
        <v>37.60571</v>
      </c>
      <c r="F7988" t="inlineStr"/>
      <c r="G7988" t="inlineStr"/>
      <c r="H7988" t="inlineStr"/>
    </row>
    <row r="7989">
      <c r="A7989" t="inlineStr">
        <is>
          <t>fb51a483-45b6-48ec-b1ee-3a82004c197d.jpg</t>
        </is>
      </c>
      <c r="B7989">
        <f>HYPERLINK("Объекты недвижимости, не соответствующие градостроительным нормам_00-022_Август/fb51a483-45b6-48ec-b1ee-3a82004c197d.jpg","open")</f>
        <v/>
      </c>
      <c r="C7989" t="inlineStr">
        <is>
          <t>5e5b9944-4f9e-4223-bf96-0bc0c8a93dfa</t>
        </is>
      </c>
      <c r="D7989" t="n">
        <v>55.98147</v>
      </c>
      <c r="E7989" t="n">
        <v>37.42337</v>
      </c>
      <c r="F7989" t="inlineStr"/>
      <c r="G7989" t="inlineStr"/>
      <c r="H7989" t="inlineStr"/>
    </row>
    <row r="7990">
      <c r="A7990" t="inlineStr">
        <is>
          <t>f9db6ea5-60c0-4bc1-8516-3ffdd559bba5.jpg</t>
        </is>
      </c>
      <c r="B7990">
        <f>HYPERLINK("Объекты недвижимости, не соответствующие градостроительным нормам_00-022_Август/f9db6ea5-60c0-4bc1-8516-3ffdd559bba5.jpg","open")</f>
        <v/>
      </c>
      <c r="C7990" t="inlineStr">
        <is>
          <t>18a5c468-d9e6-4814-8477-1caf4a2e1fe9</t>
        </is>
      </c>
      <c r="D7990" t="n">
        <v>55.75885</v>
      </c>
      <c r="E7990" t="n">
        <v>37.55925</v>
      </c>
      <c r="F7990" t="inlineStr"/>
      <c r="G7990" t="inlineStr"/>
      <c r="H7990" t="inlineStr"/>
    </row>
    <row r="7991">
      <c r="A7991" t="inlineStr">
        <is>
          <t>54886a32-334f-42be-a82f-525e70f1a22b.jpg</t>
        </is>
      </c>
      <c r="B7991">
        <f>HYPERLINK("Объекты недвижимости, не соответствующие градостроительным нормам_00-022_Август/54886a32-334f-42be-a82f-525e70f1a22b.jpg","open")</f>
        <v/>
      </c>
      <c r="C7991" t="inlineStr">
        <is>
          <t>50e4626c-a80e-42ab-b999-b5092c2c063f</t>
        </is>
      </c>
      <c r="D7991" t="n">
        <v>55.76637</v>
      </c>
      <c r="E7991" t="n">
        <v>37.69755</v>
      </c>
      <c r="F7991" t="inlineStr"/>
      <c r="G7991" t="inlineStr"/>
      <c r="H7991" t="inlineStr"/>
    </row>
    <row r="7992">
      <c r="A7992" t="inlineStr">
        <is>
          <t>b715127e-cfb6-4cff-a637-3e1541e0b2b0.jpg</t>
        </is>
      </c>
      <c r="B7992">
        <f>HYPERLINK("Объекты недвижимости, не соответствующие градостроительным нормам_00-022_Август/b715127e-cfb6-4cff-a637-3e1541e0b2b0.jpg","open")</f>
        <v/>
      </c>
      <c r="C7992" t="inlineStr">
        <is>
          <t>fb9a37cc-57a6-447c-98bb-0b299f09c809</t>
        </is>
      </c>
      <c r="D7992" t="n">
        <v>55.83916</v>
      </c>
      <c r="E7992" t="n">
        <v>37.51587</v>
      </c>
      <c r="F7992" t="inlineStr"/>
      <c r="G7992" t="inlineStr"/>
      <c r="H7992" t="inlineStr"/>
    </row>
    <row r="7993">
      <c r="A7993" t="inlineStr">
        <is>
          <t>9ab64e19-cd47-468a-ab22-f9a3490cc97d.jpg</t>
        </is>
      </c>
      <c r="B7993">
        <f>HYPERLINK("Объекты недвижимости, не соответствующие градостроительным нормам_00-022_Август/9ab64e19-cd47-468a-ab22-f9a3490cc97d.jpg","open")</f>
        <v/>
      </c>
      <c r="C7993" t="inlineStr">
        <is>
          <t>1a55986c-2c3f-40c0-b3d1-014dce77832e</t>
        </is>
      </c>
      <c r="D7993" t="n">
        <v>55.65549</v>
      </c>
      <c r="E7993" t="n">
        <v>37.60163</v>
      </c>
      <c r="F7993" t="inlineStr"/>
      <c r="G7993" t="inlineStr"/>
      <c r="H7993" t="inlineStr"/>
    </row>
    <row r="7994">
      <c r="A7994" t="inlineStr">
        <is>
          <t>d929ea10-15eb-48d4-8ece-863829c32ca4.jpg</t>
        </is>
      </c>
      <c r="B7994">
        <f>HYPERLINK("Объекты недвижимости, не соответствующие градостроительным нормам_00-022_Август/d929ea10-15eb-48d4-8ece-863829c32ca4.jpg","open")</f>
        <v/>
      </c>
      <c r="C7994" t="inlineStr">
        <is>
          <t>9f88688f-4c81-42a8-b76a-3c3e7edf869e</t>
        </is>
      </c>
      <c r="D7994" t="n">
        <v>55.78978</v>
      </c>
      <c r="E7994" t="n">
        <v>37.57165</v>
      </c>
      <c r="F7994" t="inlineStr"/>
      <c r="G7994" t="inlineStr"/>
      <c r="H7994" t="inlineStr"/>
    </row>
    <row r="7995">
      <c r="A7995" t="inlineStr">
        <is>
          <t>39b4e2f9-7ab4-49d4-a6b8-85c1226aad7e.jpg</t>
        </is>
      </c>
      <c r="B7995">
        <f>HYPERLINK("Объекты недвижимости, не соответствующие градостроительным нормам_00-022_Август/39b4e2f9-7ab4-49d4-a6b8-85c1226aad7e.jpg","open")</f>
        <v/>
      </c>
      <c r="C7995" t="inlineStr">
        <is>
          <t>685d9054-b74f-49ab-857b-109fd2cec80d</t>
        </is>
      </c>
      <c r="D7995" t="n">
        <v>55.62022</v>
      </c>
      <c r="E7995" t="n">
        <v>37.49566</v>
      </c>
      <c r="F7995" t="inlineStr"/>
      <c r="G7995" t="inlineStr"/>
      <c r="H7995" t="inlineStr"/>
    </row>
    <row r="7996">
      <c r="A7996" t="inlineStr">
        <is>
          <t>42bd0ab9-100d-427e-bf2f-184d13f17010.jpg</t>
        </is>
      </c>
      <c r="B7996">
        <f>HYPERLINK("Объекты недвижимости, не соответствующие градостроительным нормам_00-022_Август/42bd0ab9-100d-427e-bf2f-184d13f17010.jpg","open")</f>
        <v/>
      </c>
      <c r="C7996" t="inlineStr">
        <is>
          <t>1231bbc5-e64c-4dc7-9acc-77710f47607a</t>
        </is>
      </c>
      <c r="D7996" t="n">
        <v>55.62022</v>
      </c>
      <c r="E7996" t="n">
        <v>37.49566</v>
      </c>
      <c r="F7996" t="inlineStr"/>
      <c r="G7996" t="inlineStr"/>
      <c r="H7996" t="inlineStr"/>
    </row>
    <row r="7997">
      <c r="A7997" t="inlineStr">
        <is>
          <t>b9119f84-b8ea-4ee4-b6e9-46319a3d0009.jpg</t>
        </is>
      </c>
      <c r="B7997">
        <f>HYPERLINK("Объекты недвижимости, не соответствующие градостроительным нормам_00-022_Август/b9119f84-b8ea-4ee4-b6e9-46319a3d0009.jpg","open")</f>
        <v/>
      </c>
      <c r="C7997" t="inlineStr">
        <is>
          <t>1c951e11-4940-43c6-a447-394097e5609a</t>
        </is>
      </c>
      <c r="D7997" t="n">
        <v>55.58167</v>
      </c>
      <c r="E7997" t="n">
        <v>37.60817</v>
      </c>
      <c r="F7997" t="inlineStr"/>
      <c r="G7997" t="inlineStr"/>
      <c r="H7997" t="inlineStr"/>
    </row>
    <row r="7998">
      <c r="A7998" t="inlineStr">
        <is>
          <t>31125679-e7ca-4676-87ec-a7dee8f403b3.jpg</t>
        </is>
      </c>
      <c r="B7998">
        <f>HYPERLINK("Объекты недвижимости, не соответствующие градостроительным нормам_00-022_Август/31125679-e7ca-4676-87ec-a7dee8f403b3.jpg","open")</f>
        <v/>
      </c>
      <c r="C7998" t="inlineStr">
        <is>
          <t>1c951e11-4940-43c6-a447-394097e5609a</t>
        </is>
      </c>
      <c r="D7998" t="n">
        <v>55.58403</v>
      </c>
      <c r="E7998" t="n">
        <v>37.60094</v>
      </c>
      <c r="F7998" t="inlineStr"/>
      <c r="G7998" t="inlineStr"/>
      <c r="H7998" t="inlineStr"/>
    </row>
    <row r="7999">
      <c r="A7999" t="inlineStr">
        <is>
          <t>82ec49fc-890b-4574-8e5a-79de39799cfc.jpg</t>
        </is>
      </c>
      <c r="B7999">
        <f>HYPERLINK("Объекты недвижимости, не соответствующие градостроительным нормам_00-022_Август/82ec49fc-890b-4574-8e5a-79de39799cfc.jpg","open")</f>
        <v/>
      </c>
      <c r="C7999" t="inlineStr">
        <is>
          <t>8cde1fd0-eca1-4510-86ab-3c743b65fdfc</t>
        </is>
      </c>
      <c r="D7999" t="n">
        <v>55.58414</v>
      </c>
      <c r="E7999" t="n">
        <v>37.60049</v>
      </c>
      <c r="F7999" t="inlineStr"/>
      <c r="G7999" t="inlineStr"/>
      <c r="H7999" t="inlineStr"/>
    </row>
    <row r="8000">
      <c r="A8000" t="inlineStr">
        <is>
          <t>e635ed6e-6911-4deb-9603-edf12434fa29.jpg</t>
        </is>
      </c>
      <c r="B8000">
        <f>HYPERLINK("Объекты недвижимости, не соответствующие градостроительным нормам_00-022_Август/e635ed6e-6911-4deb-9603-edf12434fa29.jpg","open")</f>
        <v/>
      </c>
      <c r="C8000" t="inlineStr">
        <is>
          <t>1a55986c-2c3f-40c0-b3d1-014dce77832e</t>
        </is>
      </c>
      <c r="D8000" t="n">
        <v>55.65339</v>
      </c>
      <c r="E8000" t="n">
        <v>37.60293</v>
      </c>
      <c r="F8000" t="inlineStr"/>
      <c r="G8000" t="inlineStr"/>
      <c r="H8000" t="inlineStr"/>
    </row>
    <row r="8001">
      <c r="A8001" t="inlineStr">
        <is>
          <t>3260919c-d513-42a2-b2fc-c2f5bea79537.jpg</t>
        </is>
      </c>
      <c r="B8001">
        <f>HYPERLINK("Объекты недвижимости, не соответствующие градостроительным нормам_00-022_Август/3260919c-d513-42a2-b2fc-c2f5bea79537.jpg","open")</f>
        <v/>
      </c>
      <c r="C8001" t="inlineStr">
        <is>
          <t>50e4626c-a80e-42ab-b999-b5092c2c063f</t>
        </is>
      </c>
      <c r="D8001" t="n">
        <v>55.76637</v>
      </c>
      <c r="E8001" t="n">
        <v>37.69755</v>
      </c>
      <c r="F8001" t="inlineStr"/>
      <c r="G8001" t="inlineStr"/>
      <c r="H8001" t="inlineStr"/>
    </row>
    <row r="8002">
      <c r="A8002" t="inlineStr">
        <is>
          <t>59007067-95eb-4f54-b90e-ae064590f520.jpg</t>
        </is>
      </c>
      <c r="B8002">
        <f>HYPERLINK("Объекты недвижимости, не соответствующие градостроительным нормам_00-022_Август/59007067-95eb-4f54-b90e-ae064590f520.jpg","open")</f>
        <v/>
      </c>
      <c r="C8002" t="inlineStr">
        <is>
          <t>cbf95b01-f708-45a3-9ec0-3603469b538e</t>
        </is>
      </c>
      <c r="D8002" t="n">
        <v>55.77413</v>
      </c>
      <c r="E8002" t="n">
        <v>37.60986</v>
      </c>
      <c r="F8002" t="inlineStr"/>
      <c r="G8002" t="inlineStr"/>
      <c r="H8002" t="inlineStr"/>
    </row>
    <row r="8003">
      <c r="A8003" t="inlineStr">
        <is>
          <t>a7c6e13a-8989-4b3f-812a-f60065790f83.jpg</t>
        </is>
      </c>
      <c r="B8003">
        <f>HYPERLINK("Объекты недвижимости, не соответствующие градостроительным нормам_00-022_Август/a7c6e13a-8989-4b3f-812a-f60065790f83.jpg","open")</f>
        <v/>
      </c>
      <c r="C8003" t="inlineStr">
        <is>
          <t>a1a9db89-3f74-42ef-8fad-ad69705102cd</t>
        </is>
      </c>
      <c r="D8003" t="n">
        <v>55.77413</v>
      </c>
      <c r="E8003" t="n">
        <v>37.60986</v>
      </c>
      <c r="F8003" t="inlineStr"/>
      <c r="G8003" t="inlineStr"/>
      <c r="H8003" t="inlineStr"/>
    </row>
    <row r="8004">
      <c r="A8004" t="inlineStr">
        <is>
          <t>392d404a-9833-4aa3-af9b-bbf32ea143dd.jpg</t>
        </is>
      </c>
      <c r="B8004">
        <f>HYPERLINK("Объекты недвижимости, не соответствующие градостроительным нормам_00-022_Август/392d404a-9833-4aa3-af9b-bbf32ea143dd.jpg","open")</f>
        <v/>
      </c>
      <c r="C8004" t="inlineStr">
        <is>
          <t>8cde1fd0-eca1-4510-86ab-3c743b65fdfc</t>
        </is>
      </c>
      <c r="D8004" t="n">
        <v>55.58302</v>
      </c>
      <c r="E8004" t="n">
        <v>37.60398</v>
      </c>
      <c r="F8004" t="inlineStr"/>
      <c r="G8004" t="inlineStr"/>
      <c r="H8004" t="inlineStr"/>
    </row>
    <row r="8005">
      <c r="A8005" t="inlineStr">
        <is>
          <t>0b9c46a6-2d7b-4edc-9931-19f2da96b3da.jpg</t>
        </is>
      </c>
      <c r="B8005">
        <f>HYPERLINK("Объекты недвижимости, не соответствующие градостроительным нормам_00-022_Август/0b9c46a6-2d7b-4edc-9931-19f2da96b3da.jpg","open")</f>
        <v/>
      </c>
      <c r="C8005" t="inlineStr">
        <is>
          <t>1c951e11-4940-43c6-a447-394097e5609a</t>
        </is>
      </c>
      <c r="D8005" t="n">
        <v>55.583</v>
      </c>
      <c r="E8005" t="n">
        <v>37.60403</v>
      </c>
      <c r="F8005" t="inlineStr"/>
      <c r="G8005" t="inlineStr"/>
      <c r="H8005" t="inlineStr"/>
    </row>
    <row r="8006">
      <c r="A8006" t="inlineStr">
        <is>
          <t>31415891-041e-478e-8c70-b8f3ff1f6281.jpg</t>
        </is>
      </c>
      <c r="B8006">
        <f>HYPERLINK("Объекты недвижимости, не соответствующие градостроительным нормам_00-022_Август/31415891-041e-478e-8c70-b8f3ff1f6281.jpg","open")</f>
        <v/>
      </c>
      <c r="C8006" t="inlineStr">
        <is>
          <t>8cde1fd0-eca1-4510-86ab-3c743b65fdfc</t>
        </is>
      </c>
      <c r="D8006" t="n">
        <v>55.582</v>
      </c>
      <c r="E8006" t="n">
        <v>37.60729</v>
      </c>
      <c r="F8006" t="inlineStr"/>
      <c r="G8006" t="inlineStr"/>
      <c r="H8006" t="inlineStr"/>
    </row>
    <row r="8007">
      <c r="A8007" t="inlineStr">
        <is>
          <t>00d44f08-5837-4ddc-a1ab-f1050bec3f2a.jpg</t>
        </is>
      </c>
      <c r="B8007">
        <f>HYPERLINK("Объекты недвижимости, не соответствующие градостроительным нормам_00-022_Август/00d44f08-5837-4ddc-a1ab-f1050bec3f2a.jpg","open")</f>
        <v/>
      </c>
      <c r="C8007" t="inlineStr">
        <is>
          <t>8cde1fd0-eca1-4510-86ab-3c743b65fdfc</t>
        </is>
      </c>
      <c r="D8007" t="n">
        <v>55.5819</v>
      </c>
      <c r="E8007" t="n">
        <v>37.60758</v>
      </c>
      <c r="F8007" t="inlineStr"/>
      <c r="G8007" t="inlineStr"/>
      <c r="H8007" t="inlineStr"/>
    </row>
    <row r="8008">
      <c r="A8008" t="inlineStr">
        <is>
          <t>43cbad85-0429-49f9-8e62-97980e2a8c01.jpg</t>
        </is>
      </c>
      <c r="B8008">
        <f>HYPERLINK("Объекты недвижимости, не соответствующие градостроительным нормам_00-022_Август/43cbad85-0429-49f9-8e62-97980e2a8c01.jpg","open")</f>
        <v/>
      </c>
      <c r="C8008" t="inlineStr">
        <is>
          <t>1c951e11-4940-43c6-a447-394097e5609a</t>
        </is>
      </c>
      <c r="D8008" t="n">
        <v>55.5821</v>
      </c>
      <c r="E8008" t="n">
        <v>37.60703</v>
      </c>
      <c r="F8008" t="inlineStr"/>
      <c r="G8008" t="inlineStr"/>
      <c r="H8008" t="inlineStr"/>
    </row>
    <row r="8009">
      <c r="A8009" t="inlineStr">
        <is>
          <t>abac3d2a-6a05-425b-8fa8-b02870afbf33.jpg</t>
        </is>
      </c>
      <c r="B8009">
        <f>HYPERLINK("Объекты недвижимости, не соответствующие градостроительным нормам_00-022_Август/abac3d2a-6a05-425b-8fa8-b02870afbf33.jpg","open")</f>
        <v/>
      </c>
      <c r="C8009" t="inlineStr">
        <is>
          <t>56702d00-3d38-4721-8f83-3846a59c1e44</t>
        </is>
      </c>
      <c r="D8009" t="n">
        <v>55.76637</v>
      </c>
      <c r="E8009" t="n">
        <v>37.69755</v>
      </c>
      <c r="F8009" t="inlineStr"/>
      <c r="G8009" t="inlineStr"/>
      <c r="H8009" t="inlineStr"/>
    </row>
    <row r="8010">
      <c r="A8010" t="inlineStr">
        <is>
          <t>5aff38c3-79a6-4df0-b3c2-adeaf0b67e99.jpg</t>
        </is>
      </c>
      <c r="B8010">
        <f>HYPERLINK("Объекты недвижимости, не соответствующие градостроительным нормам_00-022_Август/5aff38c3-79a6-4df0-b3c2-adeaf0b67e99.jpg","open")</f>
        <v/>
      </c>
      <c r="C8010" t="inlineStr">
        <is>
          <t>8cde1fd0-eca1-4510-86ab-3c743b65fdfc</t>
        </is>
      </c>
      <c r="D8010" t="n">
        <v>55.58184</v>
      </c>
      <c r="E8010" t="n">
        <v>37.60788</v>
      </c>
      <c r="F8010" t="inlineStr"/>
      <c r="G8010" t="inlineStr"/>
      <c r="H8010" t="inlineStr"/>
    </row>
    <row r="8011">
      <c r="A8011" t="inlineStr">
        <is>
          <t>588ee3aa-7d81-483b-9bf4-8272638d1b9e.jpg</t>
        </is>
      </c>
      <c r="B8011">
        <f>HYPERLINK("Объекты недвижимости, не соответствующие градостроительным нормам_00-022_Август/588ee3aa-7d81-483b-9bf4-8272638d1b9e.jpg","open")</f>
        <v/>
      </c>
      <c r="C8011" t="inlineStr">
        <is>
          <t>8cde1fd0-eca1-4510-86ab-3c743b65fdfc</t>
        </is>
      </c>
      <c r="D8011" t="n">
        <v>55.58133</v>
      </c>
      <c r="E8011" t="n">
        <v>37.60932</v>
      </c>
      <c r="F8011" t="inlineStr"/>
      <c r="G8011" t="inlineStr"/>
      <c r="H8011" t="inlineStr"/>
    </row>
    <row r="8012">
      <c r="A8012" t="inlineStr">
        <is>
          <t>b7432b56-8078-4faf-8661-29c565c0f484.jpg</t>
        </is>
      </c>
      <c r="B8012">
        <f>HYPERLINK("Объекты недвижимости, не соответствующие градостроительным нормам_00-022_Август/b7432b56-8078-4faf-8661-29c565c0f484.jpg","open")</f>
        <v/>
      </c>
      <c r="C8012" t="inlineStr">
        <is>
          <t>1c951e11-4940-43c6-a447-394097e5609a</t>
        </is>
      </c>
      <c r="D8012" t="n">
        <v>55.5814</v>
      </c>
      <c r="E8012" t="n">
        <v>37.6091</v>
      </c>
      <c r="F8012" t="inlineStr"/>
      <c r="G8012" t="inlineStr"/>
      <c r="H8012" t="inlineStr"/>
    </row>
    <row r="8013">
      <c r="A8013" t="inlineStr">
        <is>
          <t>c2cf247a-1a37-483b-87f2-8fcab41cbebe.jpg</t>
        </is>
      </c>
      <c r="B8013">
        <f>HYPERLINK("Объекты недвижимости, не соответствующие градостроительным нормам_00-022_Август/c2cf247a-1a37-483b-87f2-8fcab41cbebe.jpg","open")</f>
        <v/>
      </c>
      <c r="C8013" t="inlineStr">
        <is>
          <t>8cde1fd0-eca1-4510-86ab-3c743b65fdfc</t>
        </is>
      </c>
      <c r="D8013" t="n">
        <v>55.58097</v>
      </c>
      <c r="E8013" t="n">
        <v>37.61041</v>
      </c>
      <c r="F8013" t="inlineStr"/>
      <c r="G8013" t="inlineStr"/>
      <c r="H8013" t="inlineStr"/>
    </row>
    <row r="8014">
      <c r="A8014" t="inlineStr">
        <is>
          <t>52a81712-7795-463e-b0c9-65798c8165ea.jpg</t>
        </is>
      </c>
      <c r="B8014">
        <f>HYPERLINK("Объекты недвижимости, не соответствующие градостроительным нормам_00-022_Август/52a81712-7795-463e-b0c9-65798c8165ea.jpg","open")</f>
        <v/>
      </c>
      <c r="C8014" t="inlineStr">
        <is>
          <t>a1a9db89-3f74-42ef-8fad-ad69705102cd</t>
        </is>
      </c>
      <c r="D8014" t="n">
        <v>55.77413</v>
      </c>
      <c r="E8014" t="n">
        <v>37.60986</v>
      </c>
      <c r="F8014" t="inlineStr"/>
      <c r="G8014" t="inlineStr"/>
      <c r="H8014" t="inlineStr"/>
    </row>
    <row r="8015">
      <c r="A8015" t="inlineStr">
        <is>
          <t>fcf783ce-27d6-45e8-bdb8-90931e097cb8.jpg</t>
        </is>
      </c>
      <c r="B8015">
        <f>HYPERLINK("Объекты недвижимости, не соответствующие градостроительным нормам_00-022_Август/fcf783ce-27d6-45e8-bdb8-90931e097cb8.jpg","open")</f>
        <v/>
      </c>
      <c r="C8015" t="inlineStr">
        <is>
          <t>cbf95b01-f708-45a3-9ec0-3603469b538e</t>
        </is>
      </c>
      <c r="D8015" t="n">
        <v>55.77413</v>
      </c>
      <c r="E8015" t="n">
        <v>37.60986</v>
      </c>
      <c r="F8015" t="inlineStr"/>
      <c r="G8015" t="inlineStr"/>
      <c r="H8015" t="inlineStr"/>
    </row>
    <row r="8016">
      <c r="A8016" t="inlineStr">
        <is>
          <t>6fdc5335-74d6-4204-a387-7e5d637a3ea8.jpg</t>
        </is>
      </c>
      <c r="B8016">
        <f>HYPERLINK("Объекты недвижимости, не соответствующие градостроительным нормам_00-022_Август/6fdc5335-74d6-4204-a387-7e5d637a3ea8.jpg","open")</f>
        <v/>
      </c>
      <c r="C8016" t="inlineStr">
        <is>
          <t>8cde1fd0-eca1-4510-86ab-3c743b65fdfc</t>
        </is>
      </c>
      <c r="D8016" t="n">
        <v>55.5805</v>
      </c>
      <c r="E8016" t="n">
        <v>37.61096</v>
      </c>
      <c r="F8016" t="inlineStr"/>
      <c r="G8016" t="inlineStr"/>
      <c r="H8016" t="inlineStr"/>
    </row>
    <row r="8017">
      <c r="A8017" t="inlineStr">
        <is>
          <t>f2db9bcd-4e33-471b-97f0-e06dbc52606e.jpg</t>
        </is>
      </c>
      <c r="B8017">
        <f>HYPERLINK("Объекты недвижимости, не соответствующие градостроительным нормам_00-022_Август/f2db9bcd-4e33-471b-97f0-e06dbc52606e.jpg","open")</f>
        <v/>
      </c>
      <c r="C8017" t="inlineStr">
        <is>
          <t>cbf95b01-f708-45a3-9ec0-3603469b538e</t>
        </is>
      </c>
      <c r="D8017" t="n">
        <v>55.77413</v>
      </c>
      <c r="E8017" t="n">
        <v>37.60986</v>
      </c>
      <c r="F8017" t="inlineStr"/>
      <c r="G8017" t="inlineStr"/>
      <c r="H8017" t="inlineStr"/>
    </row>
    <row r="8018">
      <c r="A8018" t="inlineStr">
        <is>
          <t>e98e02f1-9689-437c-85de-e63180b57882.jpg</t>
        </is>
      </c>
      <c r="B8018">
        <f>HYPERLINK("Объекты недвижимости, не соответствующие градостроительным нормам_00-022_Август/e98e02f1-9689-437c-85de-e63180b57882.jpg","open")</f>
        <v/>
      </c>
      <c r="C8018" t="inlineStr">
        <is>
          <t>50e4626c-a80e-42ab-b999-b5092c2c063f</t>
        </is>
      </c>
      <c r="D8018" t="n">
        <v>55.76637</v>
      </c>
      <c r="E8018" t="n">
        <v>37.69755</v>
      </c>
      <c r="F8018" t="inlineStr"/>
      <c r="G8018" t="inlineStr"/>
      <c r="H8018" t="inlineStr"/>
    </row>
    <row r="8019">
      <c r="A8019" t="inlineStr">
        <is>
          <t>1624233e-b426-4935-8e77-642676ae290f.jpg</t>
        </is>
      </c>
      <c r="B8019">
        <f>HYPERLINK("Объекты недвижимости, не соответствующие градостроительным нормам_00-022_Август/1624233e-b426-4935-8e77-642676ae290f.jpg","open")</f>
        <v/>
      </c>
      <c r="C8019" t="inlineStr">
        <is>
          <t>cbf95b01-f708-45a3-9ec0-3603469b538e</t>
        </is>
      </c>
      <c r="D8019" t="n">
        <v>55.77413</v>
      </c>
      <c r="E8019" t="n">
        <v>37.60986</v>
      </c>
      <c r="F8019" t="inlineStr"/>
      <c r="G8019" t="inlineStr"/>
      <c r="H8019" t="inlineStr"/>
    </row>
    <row r="8020">
      <c r="A8020" t="inlineStr">
        <is>
          <t>c008508d-2443-4fb7-bc89-3efa4e39337b.jpg</t>
        </is>
      </c>
      <c r="B8020">
        <f>HYPERLINK("Объекты недвижимости, не соответствующие градостроительным нормам_00-022_Август/c008508d-2443-4fb7-bc89-3efa4e39337b.jpg","open")</f>
        <v/>
      </c>
      <c r="C8020" t="inlineStr">
        <is>
          <t>a1a9db89-3f74-42ef-8fad-ad69705102cd</t>
        </is>
      </c>
      <c r="D8020" t="n">
        <v>55.77413</v>
      </c>
      <c r="E8020" t="n">
        <v>37.60986</v>
      </c>
      <c r="F8020" t="inlineStr"/>
      <c r="G8020" t="inlineStr"/>
      <c r="H8020" t="inlineStr"/>
    </row>
    <row r="8021">
      <c r="A8021" t="inlineStr">
        <is>
          <t>f16ba031-0453-40bf-934b-ba14a437cb46.jpg</t>
        </is>
      </c>
      <c r="B8021">
        <f>HYPERLINK("Объекты недвижимости, не соответствующие градостроительным нормам_00-022_Август/f16ba031-0453-40bf-934b-ba14a437cb46.jpg","open")</f>
        <v/>
      </c>
      <c r="C8021" t="inlineStr">
        <is>
          <t>a1a9db89-3f74-42ef-8fad-ad69705102cd</t>
        </is>
      </c>
      <c r="D8021" t="n">
        <v>55.77413</v>
      </c>
      <c r="E8021" t="n">
        <v>37.60986</v>
      </c>
      <c r="F8021" t="inlineStr"/>
      <c r="G8021" t="inlineStr"/>
      <c r="H8021" t="inlineStr"/>
    </row>
    <row r="8022">
      <c r="A8022" t="inlineStr">
        <is>
          <t>ee919173-8c8b-4738-9227-53c8e8a12a01.jpg</t>
        </is>
      </c>
      <c r="B8022">
        <f>HYPERLINK("Объекты недвижимости, не соответствующие градостроительным нормам_00-022_Август/ee919173-8c8b-4738-9227-53c8e8a12a01.jpg","open")</f>
        <v/>
      </c>
      <c r="C8022" t="inlineStr">
        <is>
          <t>8cde1fd0-eca1-4510-86ab-3c743b65fdfc</t>
        </is>
      </c>
      <c r="D8022" t="n">
        <v>55.57782</v>
      </c>
      <c r="E8022" t="n">
        <v>37.60868</v>
      </c>
      <c r="F8022" t="inlineStr"/>
      <c r="G8022" t="inlineStr"/>
      <c r="H8022" t="inlineStr"/>
    </row>
    <row r="8023">
      <c r="A8023" t="inlineStr">
        <is>
          <t>b5b01498-f0ff-4e6e-b6cc-733edce351ac.jpg</t>
        </is>
      </c>
      <c r="B8023">
        <f>HYPERLINK("Объекты недвижимости, не соответствующие градостроительным нормам_00-022_Август/b5b01498-f0ff-4e6e-b6cc-733edce351ac.jpg","open")</f>
        <v/>
      </c>
      <c r="C8023" t="inlineStr">
        <is>
          <t>1c951e11-4940-43c6-a447-394097e5609a</t>
        </is>
      </c>
      <c r="D8023" t="n">
        <v>55.57784</v>
      </c>
      <c r="E8023" t="n">
        <v>37.6087</v>
      </c>
      <c r="F8023" t="inlineStr"/>
      <c r="G8023" t="inlineStr"/>
      <c r="H8023" t="inlineStr"/>
    </row>
    <row r="8024">
      <c r="A8024" t="inlineStr">
        <is>
          <t>03ebcdd2-c1e0-48fc-a786-93413f764835.jpg</t>
        </is>
      </c>
      <c r="B8024">
        <f>HYPERLINK("Объекты недвижимости, не соответствующие градостроительным нормам_00-022_Август/03ebcdd2-c1e0-48fc-a786-93413f764835.jpg","open")</f>
        <v/>
      </c>
      <c r="C8024" t="inlineStr">
        <is>
          <t>8cde1fd0-eca1-4510-86ab-3c743b65fdfc</t>
        </is>
      </c>
      <c r="D8024" t="n">
        <v>55.57789</v>
      </c>
      <c r="E8024" t="n">
        <v>37.60878</v>
      </c>
      <c r="F8024" t="inlineStr"/>
      <c r="G8024" t="inlineStr"/>
      <c r="H8024" t="inlineStr"/>
    </row>
    <row r="8025">
      <c r="A8025" t="inlineStr">
        <is>
          <t>7d1eb907-d875-44d1-ad52-7250ffcbc1ed.jpg</t>
        </is>
      </c>
      <c r="B8025">
        <f>HYPERLINK("Объекты недвижимости, не соответствующие градостроительным нормам_00-022_Август/7d1eb907-d875-44d1-ad52-7250ffcbc1ed.jpg","open")</f>
        <v/>
      </c>
      <c r="C8025" t="inlineStr">
        <is>
          <t>61936922-4d4b-458e-80ea-6d4c450aa1d5</t>
        </is>
      </c>
      <c r="D8025" t="n">
        <v>55.96772</v>
      </c>
      <c r="E8025" t="n">
        <v>37.42743</v>
      </c>
      <c r="F8025" t="inlineStr"/>
      <c r="G8025" t="inlineStr"/>
      <c r="H8025" t="inlineStr"/>
    </row>
    <row r="8026">
      <c r="A8026" t="inlineStr">
        <is>
          <t>b2240bd6-aa90-42e6-b202-4878924b42e2.jpg</t>
        </is>
      </c>
      <c r="B8026">
        <f>HYPERLINK("Объекты недвижимости, не соответствующие градостроительным нормам_00-022_Август/b2240bd6-aa90-42e6-b202-4878924b42e2.jpg","open")</f>
        <v/>
      </c>
      <c r="C8026" t="inlineStr">
        <is>
          <t>8cde1fd0-eca1-4510-86ab-3c743b65fdfc</t>
        </is>
      </c>
      <c r="D8026" t="n">
        <v>55.58065</v>
      </c>
      <c r="E8026" t="n">
        <v>37.61134</v>
      </c>
      <c r="F8026" t="inlineStr"/>
      <c r="G8026" t="inlineStr"/>
      <c r="H8026" t="inlineStr"/>
    </row>
    <row r="8027">
      <c r="A8027" t="inlineStr">
        <is>
          <t>9175d5fe-bfd6-4c0a-b59c-308202e89afb.jpg</t>
        </is>
      </c>
      <c r="B8027">
        <f>HYPERLINK("Объекты недвижимости, не соответствующие градостроительным нормам_00-022_Август/9175d5fe-bfd6-4c0a-b59c-308202e89afb.jpg","open")</f>
        <v/>
      </c>
      <c r="C8027" t="inlineStr">
        <is>
          <t>8cde1fd0-eca1-4510-86ab-3c743b65fdfc</t>
        </is>
      </c>
      <c r="D8027" t="n">
        <v>55.58509</v>
      </c>
      <c r="E8027" t="n">
        <v>37.61364</v>
      </c>
      <c r="F8027" t="inlineStr"/>
      <c r="G8027" t="inlineStr"/>
      <c r="H8027" t="inlineStr"/>
    </row>
    <row r="8028">
      <c r="A8028" t="inlineStr">
        <is>
          <t>fe7ee427-2992-4820-9048-6d8562c8213d.jpg</t>
        </is>
      </c>
      <c r="B8028">
        <f>HYPERLINK("Объекты недвижимости, не соответствующие градостроительным нормам_00-022_Август/fe7ee427-2992-4820-9048-6d8562c8213d.jpg","open")</f>
        <v/>
      </c>
      <c r="C8028" t="inlineStr">
        <is>
          <t>8cde1fd0-eca1-4510-86ab-3c743b65fdfc</t>
        </is>
      </c>
      <c r="D8028" t="n">
        <v>55.58555</v>
      </c>
      <c r="E8028" t="n">
        <v>37.61373</v>
      </c>
      <c r="F8028" t="inlineStr"/>
      <c r="G8028" t="inlineStr"/>
      <c r="H8028" t="inlineStr"/>
    </row>
    <row r="8029">
      <c r="A8029" t="inlineStr">
        <is>
          <t>8975c453-a182-4b2c-afa5-7324816777a5.jpg</t>
        </is>
      </c>
      <c r="B8029">
        <f>HYPERLINK("Объекты недвижимости, не соответствующие градостроительным нормам_00-022_Август/8975c453-a182-4b2c-afa5-7324816777a5.jpg","open")</f>
        <v/>
      </c>
      <c r="C8029" t="inlineStr">
        <is>
          <t>cb4060b2-34d3-44a4-9f60-115fb1e9278e</t>
        </is>
      </c>
      <c r="D8029" t="n">
        <v>55.63614</v>
      </c>
      <c r="E8029" t="n">
        <v>37.33719</v>
      </c>
      <c r="F8029" t="inlineStr"/>
      <c r="G8029" t="inlineStr"/>
      <c r="H8029" t="inlineStr"/>
    </row>
    <row r="8030">
      <c r="A8030" t="inlineStr">
        <is>
          <t>18dcc0d5-2cfb-40e9-8dbf-76ce4f8ba907.jpg</t>
        </is>
      </c>
      <c r="B8030">
        <f>HYPERLINK("Объекты недвижимости, не соответствующие градостроительным нормам_00-022_Август/18dcc0d5-2cfb-40e9-8dbf-76ce4f8ba907.jpg","open")</f>
        <v/>
      </c>
      <c r="C8030" t="inlineStr">
        <is>
          <t>ed2bf0f1-3a66-4913-896e-4420a9796c0b</t>
        </is>
      </c>
      <c r="D8030" t="n">
        <v>55.65722</v>
      </c>
      <c r="E8030" t="n">
        <v>37.59715</v>
      </c>
      <c r="F8030" t="inlineStr"/>
      <c r="G8030" t="inlineStr"/>
      <c r="H8030" t="inlineStr"/>
    </row>
    <row r="8031">
      <c r="A8031" t="inlineStr">
        <is>
          <t>171f5e3b-52f6-426f-a759-919f01916c71.jpg</t>
        </is>
      </c>
      <c r="B8031">
        <f>HYPERLINK("Объекты недвижимости, не соответствующие градостроительным нормам_00-022_Август/171f5e3b-52f6-426f-a759-919f01916c71.jpg","open")</f>
        <v/>
      </c>
      <c r="C8031" t="inlineStr">
        <is>
          <t>e26f5fc2-1353-4f29-85f3-87c56419161c</t>
        </is>
      </c>
      <c r="D8031" t="n">
        <v>55.82185</v>
      </c>
      <c r="E8031" t="n">
        <v>37.60271</v>
      </c>
      <c r="F8031" t="inlineStr"/>
      <c r="G8031" t="inlineStr"/>
      <c r="H8031" t="inlineStr"/>
    </row>
    <row r="8032">
      <c r="A8032" t="inlineStr">
        <is>
          <t>49991f9e-ae51-438f-8fd6-fa1f0d80e48c.jpg</t>
        </is>
      </c>
      <c r="B8032">
        <f>HYPERLINK("Объекты недвижимости, не соответствующие градостроительным нормам_00-022_Август/49991f9e-ae51-438f-8fd6-fa1f0d80e48c.jpg","open")</f>
        <v/>
      </c>
      <c r="C8032" t="inlineStr">
        <is>
          <t>cbf95b01-f708-45a3-9ec0-3603469b538e</t>
        </is>
      </c>
      <c r="D8032" t="n">
        <v>55.77413</v>
      </c>
      <c r="E8032" t="n">
        <v>37.60986</v>
      </c>
      <c r="F8032" t="inlineStr"/>
      <c r="G8032" t="inlineStr"/>
      <c r="H8032" t="inlineStr"/>
    </row>
    <row r="8033">
      <c r="A8033" t="inlineStr">
        <is>
          <t>8195ceb9-b2d2-48a6-bf49-2ce7d7a00165.jpg</t>
        </is>
      </c>
      <c r="B8033">
        <f>HYPERLINK("Объекты недвижимости, не соответствующие градостроительным нормам_00-022_Август/8195ceb9-b2d2-48a6-bf49-2ce7d7a00165.jpg","open")</f>
        <v/>
      </c>
      <c r="C8033" t="inlineStr">
        <is>
          <t>cbf95b01-f708-45a3-9ec0-3603469b538e</t>
        </is>
      </c>
      <c r="D8033" t="n">
        <v>55.77413</v>
      </c>
      <c r="E8033" t="n">
        <v>37.60986</v>
      </c>
      <c r="F8033" t="inlineStr"/>
      <c r="G8033" t="inlineStr"/>
      <c r="H8033" t="inlineStr"/>
    </row>
    <row r="8034">
      <c r="A8034" t="inlineStr">
        <is>
          <t>80f682b7-bdf9-47d9-a480-5f607fd6e5fa.jpg</t>
        </is>
      </c>
      <c r="B8034">
        <f>HYPERLINK("Объекты недвижимости, не соответствующие градостроительным нормам_00-022_Август/80f682b7-bdf9-47d9-a480-5f607fd6e5fa.jpg","open")</f>
        <v/>
      </c>
      <c r="C8034" t="inlineStr">
        <is>
          <t>cbf95b01-f708-45a3-9ec0-3603469b538e</t>
        </is>
      </c>
      <c r="D8034" t="n">
        <v>55.77413</v>
      </c>
      <c r="E8034" t="n">
        <v>37.60986</v>
      </c>
      <c r="F8034" t="inlineStr"/>
      <c r="G8034" t="inlineStr"/>
      <c r="H8034" t="inlineStr"/>
    </row>
    <row r="8035">
      <c r="A8035" t="inlineStr">
        <is>
          <t>37ed5135-6b34-4e62-b142-31d2b0255b61.jpg</t>
        </is>
      </c>
      <c r="B8035">
        <f>HYPERLINK("Объекты недвижимости, не соответствующие градостроительным нормам_00-022_Август/37ed5135-6b34-4e62-b142-31d2b0255b61.jpg","open")</f>
        <v/>
      </c>
      <c r="C8035" t="inlineStr">
        <is>
          <t>ffd931da-542f-43e9-979f-5552b17fe3dc</t>
        </is>
      </c>
      <c r="D8035" t="n">
        <v>55.78371</v>
      </c>
      <c r="E8035" t="n">
        <v>37.70732</v>
      </c>
      <c r="F8035" t="inlineStr"/>
      <c r="G8035" t="inlineStr"/>
      <c r="H8035" t="inlineStr"/>
    </row>
    <row r="8036">
      <c r="A8036" t="inlineStr">
        <is>
          <t>275cc27d-f971-4b80-b558-39d329a50636.jpg</t>
        </is>
      </c>
      <c r="B8036">
        <f>HYPERLINK("Объекты недвижимости, не соответствующие градостроительным нормам_00-022_Август/275cc27d-f971-4b80-b558-39d329a50636.jpg","open")</f>
        <v/>
      </c>
      <c r="C8036" t="inlineStr">
        <is>
          <t>4cd87d14-7440-44b7-a5b2-a738e10006f7</t>
        </is>
      </c>
      <c r="D8036" t="n">
        <v>55.81733</v>
      </c>
      <c r="E8036" t="n">
        <v>37.6385</v>
      </c>
      <c r="F8036" t="inlineStr"/>
      <c r="G8036" t="inlineStr"/>
      <c r="H8036" t="inlineStr"/>
    </row>
    <row r="8037">
      <c r="A8037" t="inlineStr">
        <is>
          <t>f735a6cd-8f5f-4391-b59d-9f280cb0d047.jpg</t>
        </is>
      </c>
      <c r="B8037">
        <f>HYPERLINK("Объекты недвижимости, не соответствующие градостроительным нормам_00-022_Август/f735a6cd-8f5f-4391-b59d-9f280cb0d047.jpg","open")</f>
        <v/>
      </c>
      <c r="C8037" t="inlineStr">
        <is>
          <t>ffd931da-542f-43e9-979f-5552b17fe3dc</t>
        </is>
      </c>
      <c r="D8037" t="n">
        <v>55.78493</v>
      </c>
      <c r="E8037" t="n">
        <v>37.71169</v>
      </c>
      <c r="F8037" t="inlineStr"/>
      <c r="G8037" t="inlineStr"/>
      <c r="H8037" t="inlineStr"/>
    </row>
    <row r="8038">
      <c r="A8038" t="inlineStr">
        <is>
          <t>0f4ae302-2feb-4b14-ad36-1887cabfd647.jpg</t>
        </is>
      </c>
      <c r="B8038">
        <f>HYPERLINK("Объекты недвижимости, не соответствующие градостроительным нормам_00-022_Август/0f4ae302-2feb-4b14-ad36-1887cabfd647.jpg","open")</f>
        <v/>
      </c>
      <c r="C8038" t="inlineStr">
        <is>
          <t>6e2567a0-1fb9-40d5-a0e7-0adb480d2965</t>
        </is>
      </c>
      <c r="D8038" t="n">
        <v>55.6294</v>
      </c>
      <c r="E8038" t="n">
        <v>37.31494</v>
      </c>
      <c r="F8038" t="inlineStr"/>
      <c r="G8038" t="inlineStr"/>
      <c r="H8038" t="inlineStr"/>
    </row>
    <row r="8039">
      <c r="A8039" t="inlineStr">
        <is>
          <t>08c7500e-497c-4ca7-906d-8099a80828ca.jpg</t>
        </is>
      </c>
      <c r="B8039">
        <f>HYPERLINK("Объекты недвижимости, не соответствующие градостроительным нормам_00-022_Август/08c7500e-497c-4ca7-906d-8099a80828ca.jpg","open")</f>
        <v/>
      </c>
      <c r="C8039" t="inlineStr">
        <is>
          <t>8cde1fd0-eca1-4510-86ab-3c743b65fdfc</t>
        </is>
      </c>
      <c r="D8039" t="n">
        <v>55.5913</v>
      </c>
      <c r="E8039" t="n">
        <v>37.60799</v>
      </c>
      <c r="F8039" t="inlineStr"/>
      <c r="G8039" t="inlineStr"/>
      <c r="H8039" t="inlineStr"/>
    </row>
    <row r="8040">
      <c r="A8040" t="inlineStr">
        <is>
          <t>3167567c-1858-402b-a747-9266d7f343cd.jpg</t>
        </is>
      </c>
      <c r="B8040">
        <f>HYPERLINK("Объекты недвижимости, не соответствующие градостроительным нормам_00-022_Август/3167567c-1858-402b-a747-9266d7f343cd.jpg","open")</f>
        <v/>
      </c>
      <c r="C8040" t="inlineStr">
        <is>
          <t>acedacc2-0d8b-4fc1-9622-25621a89d071</t>
        </is>
      </c>
      <c r="D8040" t="n">
        <v>55.80888</v>
      </c>
      <c r="E8040" t="n">
        <v>37.81205</v>
      </c>
      <c r="F8040" t="inlineStr"/>
      <c r="G8040" t="inlineStr"/>
      <c r="H8040" t="inlineStr"/>
    </row>
    <row r="8041">
      <c r="A8041" t="inlineStr">
        <is>
          <t>2c07502a-b44a-4deb-aa04-782b6e180214.jpg</t>
        </is>
      </c>
      <c r="B8041">
        <f>HYPERLINK("Объекты недвижимости, не соответствующие градостроительным нормам_00-022_Август/2c07502a-b44a-4deb-aa04-782b6e180214.jpg","open")</f>
        <v/>
      </c>
      <c r="C8041" t="inlineStr">
        <is>
          <t>acedacc2-0d8b-4fc1-9622-25621a89d071</t>
        </is>
      </c>
      <c r="D8041" t="n">
        <v>55.80916</v>
      </c>
      <c r="E8041" t="n">
        <v>37.81308</v>
      </c>
      <c r="F8041" t="inlineStr"/>
      <c r="G8041" t="inlineStr"/>
      <c r="H8041" t="inlineStr"/>
    </row>
    <row r="8042">
      <c r="A8042" t="inlineStr">
        <is>
          <t>b3f445b8-7704-4b19-9562-6cb02d7239dc.jpg</t>
        </is>
      </c>
      <c r="B8042">
        <f>HYPERLINK("Объекты недвижимости, не соответствующие градостроительным нормам_00-022_Август/b3f445b8-7704-4b19-9562-6cb02d7239dc.jpg","open")</f>
        <v/>
      </c>
      <c r="C8042" t="inlineStr">
        <is>
          <t>57aae8a4-582b-4309-8045-c8127a9f86ae</t>
        </is>
      </c>
      <c r="D8042" t="n">
        <v>55.80914</v>
      </c>
      <c r="E8042" t="n">
        <v>37.81309</v>
      </c>
      <c r="F8042" t="inlineStr"/>
      <c r="G8042" t="inlineStr"/>
      <c r="H8042" t="inlineStr"/>
    </row>
    <row r="8043">
      <c r="A8043" t="inlineStr">
        <is>
          <t>98daf4b2-b82c-4740-9285-7621396e063a.jpg</t>
        </is>
      </c>
      <c r="B8043">
        <f>HYPERLINK("Объекты недвижимости, не соответствующие градостроительным нормам_00-022_Август/98daf4b2-b82c-4740-9285-7621396e063a.jpg","open")</f>
        <v/>
      </c>
      <c r="C8043" t="inlineStr">
        <is>
          <t>1a55986c-2c3f-40c0-b3d1-014dce77832e</t>
        </is>
      </c>
      <c r="D8043" t="n">
        <v>55.64347</v>
      </c>
      <c r="E8043" t="n">
        <v>37.5945</v>
      </c>
      <c r="F8043" t="inlineStr"/>
      <c r="G8043" t="inlineStr"/>
      <c r="H8043" t="inlineStr"/>
    </row>
    <row r="8044">
      <c r="A8044" t="inlineStr">
        <is>
          <t>9b81a5d9-f7a9-4b2d-859f-b33751f5637c.jpg</t>
        </is>
      </c>
      <c r="B8044">
        <f>HYPERLINK("Объекты недвижимости, не соответствующие градостроительным нормам_00-022_Август/9b81a5d9-f7a9-4b2d-859f-b33751f5637c.jpg","open")</f>
        <v/>
      </c>
      <c r="C8044" t="inlineStr">
        <is>
          <t>e26f5fc2-1353-4f29-85f3-87c56419161c</t>
        </is>
      </c>
      <c r="D8044" t="n">
        <v>55.79247</v>
      </c>
      <c r="E8044" t="n">
        <v>37.63091</v>
      </c>
      <c r="F8044" t="inlineStr"/>
      <c r="G8044" t="inlineStr"/>
      <c r="H8044" t="inlineStr"/>
    </row>
    <row r="8045">
      <c r="A8045" t="inlineStr">
        <is>
          <t>c817f788-7a91-4d8d-966f-38528cfd9f0c.jpg</t>
        </is>
      </c>
      <c r="B8045">
        <f>HYPERLINK("Объекты недвижимости, не соответствующие градостроительным нормам_00-022_Август/c817f788-7a91-4d8d-966f-38528cfd9f0c.jpg","open")</f>
        <v/>
      </c>
      <c r="C8045" t="inlineStr">
        <is>
          <t>57aae8a4-582b-4309-8045-c8127a9f86ae</t>
        </is>
      </c>
      <c r="D8045" t="n">
        <v>55.81101</v>
      </c>
      <c r="E8045" t="n">
        <v>37.81778</v>
      </c>
      <c r="F8045" t="inlineStr"/>
      <c r="G8045" t="inlineStr"/>
      <c r="H8045" t="inlineStr"/>
    </row>
    <row r="8046">
      <c r="A8046" t="inlineStr">
        <is>
          <t>432b8e1a-1834-4b53-a20f-16cd638caac1.jpg</t>
        </is>
      </c>
      <c r="B8046">
        <f>HYPERLINK("Объекты недвижимости, не соответствующие градостроительным нормам_00-022_Август/432b8e1a-1834-4b53-a20f-16cd638caac1.jpg","open")</f>
        <v/>
      </c>
      <c r="C8046" t="inlineStr">
        <is>
          <t>50e4626c-a80e-42ab-b999-b5092c2c063f</t>
        </is>
      </c>
      <c r="D8046" t="n">
        <v>55.74892</v>
      </c>
      <c r="E8046" t="n">
        <v>37.70019</v>
      </c>
      <c r="F8046" t="inlineStr"/>
      <c r="G8046" t="inlineStr"/>
      <c r="H8046" t="inlineStr"/>
    </row>
    <row r="8047">
      <c r="A8047" t="inlineStr">
        <is>
          <t>4ec2b503-0def-40fa-bd6d-c7fd91ad8254.jpg</t>
        </is>
      </c>
      <c r="B8047">
        <f>HYPERLINK("Объекты недвижимости, не соответствующие градостроительным нормам_00-022_Август/4ec2b503-0def-40fa-bd6d-c7fd91ad8254.jpg","open")</f>
        <v/>
      </c>
      <c r="C8047" t="inlineStr">
        <is>
          <t>ffd931da-542f-43e9-979f-5552b17fe3dc</t>
        </is>
      </c>
      <c r="D8047" t="n">
        <v>55.78383</v>
      </c>
      <c r="E8047" t="n">
        <v>37.71641</v>
      </c>
      <c r="F8047" t="inlineStr"/>
      <c r="G8047" t="inlineStr"/>
      <c r="H8047" t="inlineStr"/>
    </row>
    <row r="8048">
      <c r="A8048" t="inlineStr">
        <is>
          <t>976e0152-2694-4a7a-95d5-9a67f68c4725.jpg</t>
        </is>
      </c>
      <c r="B8048">
        <f>HYPERLINK("Объекты недвижимости, не соответствующие градостроительным нормам_00-022_Август/976e0152-2694-4a7a-95d5-9a67f68c4725.jpg","open")</f>
        <v/>
      </c>
      <c r="C8048" t="inlineStr">
        <is>
          <t>cbf95b01-f708-45a3-9ec0-3603469b538e</t>
        </is>
      </c>
      <c r="D8048" t="n">
        <v>55.77451</v>
      </c>
      <c r="E8048" t="n">
        <v>37.58926</v>
      </c>
      <c r="F8048" t="inlineStr"/>
      <c r="G8048" t="inlineStr"/>
      <c r="H8048" t="inlineStr"/>
    </row>
    <row r="8049">
      <c r="A8049" t="inlineStr">
        <is>
          <t>1327e470-4754-4505-8de2-b16111421bff.jpg</t>
        </is>
      </c>
      <c r="B8049">
        <f>HYPERLINK("Объекты недвижимости, не соответствующие градостроительным нормам_00-022_Август/1327e470-4754-4505-8de2-b16111421bff.jpg","open")</f>
        <v/>
      </c>
      <c r="C8049" t="inlineStr">
        <is>
          <t>cbf95b01-f708-45a3-9ec0-3603469b538e</t>
        </is>
      </c>
      <c r="D8049" t="n">
        <v>55.77452</v>
      </c>
      <c r="E8049" t="n">
        <v>37.59337</v>
      </c>
      <c r="F8049" t="inlineStr"/>
      <c r="G8049" t="inlineStr"/>
      <c r="H8049" t="inlineStr"/>
    </row>
    <row r="8050">
      <c r="A8050" t="inlineStr">
        <is>
          <t>8bb1f23f-4d90-4db5-9041-9ccbcab3cd32.jpg</t>
        </is>
      </c>
      <c r="B8050">
        <f>HYPERLINK("Объекты недвижимости, не соответствующие градостроительным нормам_00-022_Август/8bb1f23f-4d90-4db5-9041-9ccbcab3cd32.jpg","open")</f>
        <v/>
      </c>
      <c r="C8050" t="inlineStr">
        <is>
          <t>685d9054-b74f-49ab-857b-109fd2cec80d</t>
        </is>
      </c>
      <c r="D8050" t="n">
        <v>55.6174</v>
      </c>
      <c r="E8050" t="n">
        <v>37.49501</v>
      </c>
      <c r="F8050" t="inlineStr"/>
      <c r="G8050" t="inlineStr"/>
      <c r="H8050" t="inlineStr"/>
    </row>
    <row r="8051">
      <c r="A8051" t="inlineStr">
        <is>
          <t>71b4b8c7-13f1-4bf2-b82f-846ce1a3fa4a.jpg</t>
        </is>
      </c>
      <c r="B8051">
        <f>HYPERLINK("Объекты недвижимости, не соответствующие градостроительным нормам_00-022_Август/71b4b8c7-13f1-4bf2-b82f-846ce1a3fa4a.jpg","open")</f>
        <v/>
      </c>
      <c r="C8051" t="inlineStr">
        <is>
          <t>50e4626c-a80e-42ab-b999-b5092c2c063f</t>
        </is>
      </c>
      <c r="D8051" t="n">
        <v>55.74892</v>
      </c>
      <c r="E8051" t="n">
        <v>37.70019</v>
      </c>
      <c r="F8051" t="inlineStr"/>
      <c r="G8051" t="inlineStr"/>
      <c r="H8051" t="inlineStr"/>
    </row>
    <row r="8052">
      <c r="A8052" t="inlineStr">
        <is>
          <t>e70287c5-bfa7-462f-9a14-7c304d7022c1.jpg</t>
        </is>
      </c>
      <c r="B8052">
        <f>HYPERLINK("Объекты недвижимости, не соответствующие градостроительным нормам_00-022_Август/e70287c5-bfa7-462f-9a14-7c304d7022c1.jpg","open")</f>
        <v/>
      </c>
      <c r="C8052" t="inlineStr">
        <is>
          <t>a1a9db89-3f74-42ef-8fad-ad69705102cd</t>
        </is>
      </c>
      <c r="D8052" t="n">
        <v>55.77236</v>
      </c>
      <c r="E8052" t="n">
        <v>37.59698</v>
      </c>
      <c r="F8052" t="inlineStr"/>
      <c r="G8052" t="inlineStr"/>
      <c r="H8052" t="inlineStr"/>
    </row>
    <row r="8053">
      <c r="A8053" t="inlineStr">
        <is>
          <t>766135f4-5651-43ec-bc46-aeb9e5544db8.jpg</t>
        </is>
      </c>
      <c r="B8053">
        <f>HYPERLINK("Объекты недвижимости, не соответствующие градостроительным нормам_00-022_Август/766135f4-5651-43ec-bc46-aeb9e5544db8.jpg","open")</f>
        <v/>
      </c>
      <c r="C8053" t="inlineStr">
        <is>
          <t>31a713a9-b910-424b-b847-e0eaa2f70c70</t>
        </is>
      </c>
      <c r="D8053" t="n">
        <v>55.67495</v>
      </c>
      <c r="E8053" t="n">
        <v>37.5002</v>
      </c>
      <c r="F8053" t="inlineStr"/>
      <c r="G8053" t="inlineStr"/>
      <c r="H8053" t="inlineStr"/>
    </row>
    <row r="8054">
      <c r="A8054" t="inlineStr">
        <is>
          <t>dfa85c2b-23f8-4b0a-999a-7db65d56a5fb.jpg</t>
        </is>
      </c>
      <c r="B8054">
        <f>HYPERLINK("Объекты недвижимости, не соответствующие градостроительным нормам_00-022_Август/dfa85c2b-23f8-4b0a-999a-7db65d56a5fb.jpg","open")</f>
        <v/>
      </c>
      <c r="C8054" t="inlineStr">
        <is>
          <t>f6f80c84-5569-48fd-b627-6f41ce4c61c4</t>
        </is>
      </c>
      <c r="D8054" t="n">
        <v>55.72201</v>
      </c>
      <c r="E8054" t="n">
        <v>37.42807</v>
      </c>
      <c r="F8054" t="inlineStr"/>
      <c r="G8054" t="inlineStr"/>
      <c r="H8054" t="inlineStr"/>
    </row>
    <row r="8055">
      <c r="A8055" t="inlineStr">
        <is>
          <t>f72da9b5-e30f-4e55-80a9-1bdc1e7983d8.jpg</t>
        </is>
      </c>
      <c r="B8055">
        <f>HYPERLINK("Объекты недвижимости, не соответствующие градостроительным нормам_00-022_Август/f72da9b5-e30f-4e55-80a9-1bdc1e7983d8.jpg","open")</f>
        <v/>
      </c>
      <c r="C8055" t="inlineStr">
        <is>
          <t>a1a9db89-3f74-42ef-8fad-ad69705102cd</t>
        </is>
      </c>
      <c r="D8055" t="n">
        <v>55.77097</v>
      </c>
      <c r="E8055" t="n">
        <v>37.59798</v>
      </c>
      <c r="F8055" t="inlineStr"/>
      <c r="G8055" t="inlineStr"/>
      <c r="H8055" t="inlineStr"/>
    </row>
    <row r="8056">
      <c r="A8056" t="inlineStr">
        <is>
          <t>ffcb05bb-1550-457b-83dd-9fe4e6687137.jpg</t>
        </is>
      </c>
      <c r="B8056">
        <f>HYPERLINK("Объекты недвижимости, не соответствующие градостроительным нормам_00-022_Август/ffcb05bb-1550-457b-83dd-9fe4e6687137.jpg","open")</f>
        <v/>
      </c>
      <c r="C8056" t="inlineStr">
        <is>
          <t>cbf95b01-f708-45a3-9ec0-3603469b538e</t>
        </is>
      </c>
      <c r="D8056" t="n">
        <v>55.7702</v>
      </c>
      <c r="E8056" t="n">
        <v>37.59731</v>
      </c>
      <c r="F8056" t="inlineStr"/>
      <c r="G8056" t="inlineStr"/>
      <c r="H8056" t="inlineStr"/>
    </row>
    <row r="8057">
      <c r="A8057" t="inlineStr">
        <is>
          <t>bfffc4d5-de00-4609-8bbf-0e52e677d03a.jpg</t>
        </is>
      </c>
      <c r="B8057">
        <f>HYPERLINK("Объекты недвижимости, не соответствующие градостроительным нормам_00-022_Август/bfffc4d5-de00-4609-8bbf-0e52e677d03a.jpg","open")</f>
        <v/>
      </c>
      <c r="C8057" t="inlineStr">
        <is>
          <t>f6f80c84-5569-48fd-b627-6f41ce4c61c4</t>
        </is>
      </c>
      <c r="D8057" t="n">
        <v>55.72195</v>
      </c>
      <c r="E8057" t="n">
        <v>37.42785</v>
      </c>
      <c r="F8057" t="inlineStr"/>
      <c r="G8057" t="inlineStr"/>
      <c r="H8057" t="inlineStr"/>
    </row>
    <row r="8058">
      <c r="A8058" t="inlineStr">
        <is>
          <t>c20e4eb2-5cd5-44e8-8d1d-315d9db035e4.jpg</t>
        </is>
      </c>
      <c r="B8058">
        <f>HYPERLINK("Объекты недвижимости, не соответствующие градостроительным нормам_00-022_Август/c20e4eb2-5cd5-44e8-8d1d-315d9db035e4.jpg","open")</f>
        <v/>
      </c>
      <c r="C8058" t="inlineStr">
        <is>
          <t>a1a9db89-3f74-42ef-8fad-ad69705102cd</t>
        </is>
      </c>
      <c r="D8058" t="n">
        <v>55.77018</v>
      </c>
      <c r="E8058" t="n">
        <v>37.5973</v>
      </c>
      <c r="F8058" t="inlineStr"/>
      <c r="G8058" t="inlineStr"/>
      <c r="H8058" t="inlineStr"/>
    </row>
    <row r="8059">
      <c r="A8059" t="inlineStr">
        <is>
          <t>5198c486-226a-4b4c-a38c-2e4564029710.jpg</t>
        </is>
      </c>
      <c r="B8059">
        <f>HYPERLINK("Объекты недвижимости, не соответствующие градостроительным нормам_00-022_Август/5198c486-226a-4b4c-a38c-2e4564029710.jpg","open")</f>
        <v/>
      </c>
      <c r="C8059" t="inlineStr">
        <is>
          <t>cbf95b01-f708-45a3-9ec0-3603469b538e</t>
        </is>
      </c>
      <c r="D8059" t="n">
        <v>55.77001</v>
      </c>
      <c r="E8059" t="n">
        <v>37.59739</v>
      </c>
      <c r="F8059" t="inlineStr"/>
      <c r="G8059" t="inlineStr"/>
      <c r="H8059" t="inlineStr"/>
    </row>
    <row r="8060">
      <c r="A8060" t="inlineStr">
        <is>
          <t>67d7e96d-a265-413e-8286-206e1fc636a5.jpg</t>
        </is>
      </c>
      <c r="B8060">
        <f>HYPERLINK("Объекты недвижимости, не соответствующие градостроительным нормам_00-022_Август/67d7e96d-a265-413e-8286-206e1fc636a5.jpg","open")</f>
        <v/>
      </c>
      <c r="C8060" t="inlineStr">
        <is>
          <t>a1a9db89-3f74-42ef-8fad-ad69705102cd</t>
        </is>
      </c>
      <c r="D8060" t="n">
        <v>55.76983</v>
      </c>
      <c r="E8060" t="n">
        <v>37.59773</v>
      </c>
      <c r="F8060" t="inlineStr"/>
      <c r="G8060" t="inlineStr"/>
      <c r="H8060" t="inlineStr"/>
    </row>
    <row r="8061">
      <c r="A8061" t="inlineStr">
        <is>
          <t>83a36d4b-e637-4267-8a04-608f4bbc3bd1.jpg</t>
        </is>
      </c>
      <c r="B8061">
        <f>HYPERLINK("Объекты недвижимости, не соответствующие градостроительным нормам_00-022_Август/83a36d4b-e637-4267-8a04-608f4bbc3bd1.jpg","open")</f>
        <v/>
      </c>
      <c r="C8061" t="inlineStr">
        <is>
          <t>acedacc2-0d8b-4fc1-9622-25621a89d071</t>
        </is>
      </c>
      <c r="D8061" t="n">
        <v>55.80978</v>
      </c>
      <c r="E8061" t="n">
        <v>37.81931</v>
      </c>
      <c r="F8061" t="inlineStr"/>
      <c r="G8061" t="inlineStr"/>
      <c r="H8061" t="inlineStr"/>
    </row>
    <row r="8062">
      <c r="A8062" t="inlineStr">
        <is>
          <t>25f44494-08f3-45c7-a1ec-cee2633c0a1a.jpg</t>
        </is>
      </c>
      <c r="B8062">
        <f>HYPERLINK("Объекты недвижимости, не соответствующие градостроительным нормам_00-022_Август/25f44494-08f3-45c7-a1ec-cee2633c0a1a.jpg","open")</f>
        <v/>
      </c>
      <c r="C8062" t="inlineStr">
        <is>
          <t>91248771-2c4d-44f3-b3cf-d536bd4ae73c</t>
        </is>
      </c>
      <c r="D8062" t="n">
        <v>55.79077</v>
      </c>
      <c r="E8062" t="n">
        <v>37.6825</v>
      </c>
      <c r="F8062" t="inlineStr"/>
      <c r="G8062" t="inlineStr"/>
      <c r="H8062" t="inlineStr"/>
    </row>
    <row r="8063">
      <c r="A8063" t="inlineStr">
        <is>
          <t>dd55a569-c58d-447f-a699-f00e70dc5b8d.jpg</t>
        </is>
      </c>
      <c r="B8063">
        <f>HYPERLINK("Объекты недвижимости, не соответствующие градостроительным нормам_00-022_Август/dd55a569-c58d-447f-a699-f00e70dc5b8d.jpg","open")</f>
        <v/>
      </c>
      <c r="C8063" t="inlineStr">
        <is>
          <t>f20fbc2b-b369-4734-bb66-92af02fbb0d1</t>
        </is>
      </c>
      <c r="D8063" t="n">
        <v>55.70313</v>
      </c>
      <c r="E8063" t="n">
        <v>37.84506</v>
      </c>
      <c r="F8063" t="inlineStr"/>
      <c r="G8063" t="inlineStr"/>
      <c r="H8063" t="inlineStr"/>
    </row>
    <row r="8064">
      <c r="A8064" t="inlineStr">
        <is>
          <t>fc427a4c-d268-4bab-b010-36c4fda5cbf2.jpg</t>
        </is>
      </c>
      <c r="B8064">
        <f>HYPERLINK("Объекты недвижимости, не соответствующие градостроительным нормам_00-022_Август/fc427a4c-d268-4bab-b010-36c4fda5cbf2.jpg","open")</f>
        <v/>
      </c>
      <c r="C8064" t="inlineStr">
        <is>
          <t>a1a9db89-3f74-42ef-8fad-ad69705102cd</t>
        </is>
      </c>
      <c r="D8064" t="n">
        <v>55.77163</v>
      </c>
      <c r="E8064" t="n">
        <v>37.60393</v>
      </c>
      <c r="F8064" t="inlineStr"/>
      <c r="G8064" t="inlineStr"/>
      <c r="H8064" t="inlineStr"/>
    </row>
    <row r="8065">
      <c r="A8065" t="inlineStr">
        <is>
          <t>8c1280fb-fc33-4873-8bb7-208b255cbdf6.jpg</t>
        </is>
      </c>
      <c r="B8065">
        <f>HYPERLINK("Объекты недвижимости, не соответствующие градостроительным нормам_00-022_Август/8c1280fb-fc33-4873-8bb7-208b255cbdf6.jpg","open")</f>
        <v/>
      </c>
      <c r="C8065" t="inlineStr">
        <is>
          <t>8996eb30-6497-4318-8a0e-b95314b8172e</t>
        </is>
      </c>
      <c r="D8065" t="n">
        <v>55.85836</v>
      </c>
      <c r="E8065" t="n">
        <v>37.60083</v>
      </c>
      <c r="F8065" t="inlineStr"/>
      <c r="G8065" t="inlineStr"/>
      <c r="H8065" t="inlineStr"/>
    </row>
    <row r="8066">
      <c r="A8066" t="inlineStr">
        <is>
          <t>40c376c7-62e6-42f4-9dda-9564c1f48537.jpg</t>
        </is>
      </c>
      <c r="B8066">
        <f>HYPERLINK("Объекты недвижимости, не соответствующие градостроительным нормам_00-022_Август/40c376c7-62e6-42f4-9dda-9564c1f48537.jpg","open")</f>
        <v/>
      </c>
      <c r="C8066" t="inlineStr">
        <is>
          <t>91248771-2c4d-44f3-b3cf-d536bd4ae73c</t>
        </is>
      </c>
      <c r="D8066" t="n">
        <v>55.79081</v>
      </c>
      <c r="E8066" t="n">
        <v>37.68243</v>
      </c>
      <c r="F8066" t="inlineStr"/>
      <c r="G8066" t="inlineStr"/>
      <c r="H8066" t="inlineStr"/>
    </row>
    <row r="8067">
      <c r="A8067" t="inlineStr">
        <is>
          <t>b0e3ab9a-ae21-4347-9df5-5218462a78ac.jpg</t>
        </is>
      </c>
      <c r="B8067">
        <f>HYPERLINK("Объекты недвижимости, не соответствующие градостроительным нормам_00-022_Август/b0e3ab9a-ae21-4347-9df5-5218462a78ac.jpg","open")</f>
        <v/>
      </c>
      <c r="C8067" t="inlineStr">
        <is>
          <t>9fb3d110-951f-48da-9d90-cfd7e1b5800d</t>
        </is>
      </c>
      <c r="D8067" t="n">
        <v>55.9674</v>
      </c>
      <c r="E8067" t="n">
        <v>37.40265</v>
      </c>
      <c r="F8067" t="inlineStr"/>
      <c r="G8067" t="inlineStr"/>
      <c r="H8067" t="inlineStr"/>
    </row>
    <row r="8068">
      <c r="A8068" t="inlineStr">
        <is>
          <t>c441fde4-a51f-4c91-b2d2-1851bf482760.jpg</t>
        </is>
      </c>
      <c r="B8068">
        <f>HYPERLINK("Объекты недвижимости, не соответствующие градостроительным нормам_00-022_Август/c441fde4-a51f-4c91-b2d2-1851bf482760.jpg","open")</f>
        <v/>
      </c>
      <c r="C8068" t="inlineStr">
        <is>
          <t>1a55986c-2c3f-40c0-b3d1-014dce77832e</t>
        </is>
      </c>
      <c r="D8068" t="n">
        <v>55.64543</v>
      </c>
      <c r="E8068" t="n">
        <v>37.60263</v>
      </c>
      <c r="F8068" t="inlineStr"/>
      <c r="G8068" t="inlineStr"/>
      <c r="H8068" t="inlineStr"/>
    </row>
    <row r="8069">
      <c r="A8069" t="inlineStr">
        <is>
          <t>3afd95be-ad62-44eb-8d33-9efe08440d3b.jpg</t>
        </is>
      </c>
      <c r="B8069">
        <f>HYPERLINK("Объекты недвижимости, не соответствующие градостроительным нормам_00-022_Август/3afd95be-ad62-44eb-8d33-9efe08440d3b.jpg","open")</f>
        <v/>
      </c>
      <c r="C8069" t="inlineStr">
        <is>
          <t>1a55986c-2c3f-40c0-b3d1-014dce77832e</t>
        </is>
      </c>
      <c r="D8069" t="n">
        <v>55.64653</v>
      </c>
      <c r="E8069" t="n">
        <v>37.59857</v>
      </c>
      <c r="F8069" t="inlineStr"/>
      <c r="G8069" t="inlineStr"/>
      <c r="H8069" t="inlineStr"/>
    </row>
    <row r="8070">
      <c r="A8070" t="inlineStr">
        <is>
          <t>6018ba2a-68e4-446d-8e6a-6727f093914f.jpg</t>
        </is>
      </c>
      <c r="B8070">
        <f>HYPERLINK("Объекты недвижимости, не соответствующие градостроительным нормам_00-022_Август/6018ba2a-68e4-446d-8e6a-6727f093914f.jpg","open")</f>
        <v/>
      </c>
      <c r="C8070" t="inlineStr">
        <is>
          <t>1231bbc5-e64c-4dc7-9acc-77710f47607a</t>
        </is>
      </c>
      <c r="D8070" t="n">
        <v>55.61926</v>
      </c>
      <c r="E8070" t="n">
        <v>37.49117</v>
      </c>
      <c r="F8070" t="inlineStr"/>
      <c r="G8070" t="inlineStr"/>
      <c r="H8070" t="inlineStr"/>
    </row>
    <row r="8071">
      <c r="A8071" t="inlineStr">
        <is>
          <t>7a58a684-9277-45e1-a33c-94c98911c1f8.jpg</t>
        </is>
      </c>
      <c r="B8071">
        <f>HYPERLINK("Объекты недвижимости, не соответствующие градостроительным нормам_00-022_Август/7a58a684-9277-45e1-a33c-94c98911c1f8.jpg","open")</f>
        <v/>
      </c>
      <c r="C8071" t="inlineStr">
        <is>
          <t>18a5c468-d9e6-4814-8477-1caf4a2e1fe9</t>
        </is>
      </c>
      <c r="D8071" t="n">
        <v>55.75885</v>
      </c>
      <c r="E8071" t="n">
        <v>37.55925</v>
      </c>
      <c r="F8071" t="inlineStr"/>
      <c r="G8071" t="inlineStr"/>
      <c r="H8071" t="inlineStr"/>
    </row>
    <row r="8072">
      <c r="A8072" t="inlineStr">
        <is>
          <t>e43e4fca-0004-4371-986d-8f8a2aeec0b3.jpg</t>
        </is>
      </c>
      <c r="B8072">
        <f>HYPERLINK("Объекты недвижимости, не соответствующие градостроительным нормам_00-022_Август/e43e4fca-0004-4371-986d-8f8a2aeec0b3.jpg","open")</f>
        <v/>
      </c>
      <c r="C8072" t="inlineStr">
        <is>
          <t>685d9054-b74f-49ab-857b-109fd2cec80d</t>
        </is>
      </c>
      <c r="D8072" t="n">
        <v>55.61908</v>
      </c>
      <c r="E8072" t="n">
        <v>37.49078</v>
      </c>
      <c r="F8072" t="inlineStr"/>
      <c r="G8072" t="inlineStr"/>
      <c r="H8072" t="inlineStr"/>
    </row>
    <row r="8073">
      <c r="A8073" t="inlineStr">
        <is>
          <t>58ca56f8-5849-459f-bf9c-17bcb653c57c.jpg</t>
        </is>
      </c>
      <c r="B8073">
        <f>HYPERLINK("Объекты недвижимости, не соответствующие градостроительным нормам_00-022_Август/58ca56f8-5849-459f-bf9c-17bcb653c57c.jpg","open")</f>
        <v/>
      </c>
      <c r="C8073" t="inlineStr">
        <is>
          <t>b23a39fd-838c-435a-bacd-b4d6bb842c62</t>
        </is>
      </c>
      <c r="D8073" t="n">
        <v>55.86097</v>
      </c>
      <c r="E8073" t="n">
        <v>37.52536</v>
      </c>
      <c r="F8073" t="inlineStr"/>
      <c r="G8073" t="inlineStr"/>
      <c r="H8073" t="inlineStr"/>
    </row>
    <row r="8074">
      <c r="A8074" t="inlineStr">
        <is>
          <t>de1611ba-d490-4047-b703-a0e2919fd51f.jpg</t>
        </is>
      </c>
      <c r="B8074">
        <f>HYPERLINK("Объекты недвижимости, не соответствующие градостроительным нормам_00-022_Август/de1611ba-d490-4047-b703-a0e2919fd51f.jpg","open")</f>
        <v/>
      </c>
      <c r="C8074" t="inlineStr">
        <is>
          <t>685d9054-b74f-49ab-857b-109fd2cec80d</t>
        </is>
      </c>
      <c r="D8074" t="n">
        <v>55.61916</v>
      </c>
      <c r="E8074" t="n">
        <v>37.49072</v>
      </c>
      <c r="F8074" t="inlineStr"/>
      <c r="G8074" t="inlineStr"/>
      <c r="H8074" t="inlineStr"/>
    </row>
    <row r="8075">
      <c r="A8075" t="inlineStr">
        <is>
          <t>9a450ad2-f382-451d-8fc2-d41a3e43e5a0.jpg</t>
        </is>
      </c>
      <c r="B8075">
        <f>HYPERLINK("Объекты недвижимости, не соответствующие градостроительным нормам_00-022_Август/9a450ad2-f382-451d-8fc2-d41a3e43e5a0.jpg","open")</f>
        <v/>
      </c>
      <c r="C8075" t="inlineStr">
        <is>
          <t>685d9054-b74f-49ab-857b-109fd2cec80d</t>
        </is>
      </c>
      <c r="D8075" t="n">
        <v>55.61918</v>
      </c>
      <c r="E8075" t="n">
        <v>37.49079</v>
      </c>
      <c r="F8075" t="inlineStr"/>
      <c r="G8075" t="inlineStr"/>
      <c r="H8075" t="inlineStr"/>
    </row>
    <row r="8076">
      <c r="A8076" t="inlineStr">
        <is>
          <t>017e4425-57ad-4791-adb2-3a9bac59143f.jpg</t>
        </is>
      </c>
      <c r="B8076">
        <f>HYPERLINK("Объекты недвижимости, не соответствующие градостроительным нормам_00-022_Август/017e4425-57ad-4791-adb2-3a9bac59143f.jpg","open")</f>
        <v/>
      </c>
      <c r="C8076" t="inlineStr">
        <is>
          <t>57aae8a4-582b-4309-8045-c8127a9f86ae</t>
        </is>
      </c>
      <c r="D8076" t="n">
        <v>55.81098</v>
      </c>
      <c r="E8076" t="n">
        <v>37.8258</v>
      </c>
      <c r="F8076" t="inlineStr"/>
      <c r="G8076" t="inlineStr"/>
      <c r="H8076" t="inlineStr"/>
    </row>
    <row r="8077">
      <c r="A8077" t="inlineStr">
        <is>
          <t>e5e2b954-94c9-492d-a171-28ca408fb625.jpg</t>
        </is>
      </c>
      <c r="B8077">
        <f>HYPERLINK("Объекты недвижимости, не соответствующие градостроительным нормам_00-022_Август/e5e2b954-94c9-492d-a171-28ca408fb625.jpg","open")</f>
        <v/>
      </c>
      <c r="C8077" t="inlineStr">
        <is>
          <t>cbf95b01-f708-45a3-9ec0-3603469b538e</t>
        </is>
      </c>
      <c r="D8077" t="n">
        <v>55.63309</v>
      </c>
      <c r="E8077" t="n">
        <v>37.4724</v>
      </c>
      <c r="F8077" t="inlineStr"/>
      <c r="G8077" t="inlineStr"/>
      <c r="H8077" t="inlineStr"/>
    </row>
    <row r="8078">
      <c r="A8078" t="inlineStr">
        <is>
          <t>1da124b3-3d51-4b8e-9e08-d3980e4d631c.jpg</t>
        </is>
      </c>
      <c r="B8078">
        <f>HYPERLINK("Объекты недвижимости, не соответствующие градостроительным нормам_00-022_Август/1da124b3-3d51-4b8e-9e08-d3980e4d631c.jpg","open")</f>
        <v/>
      </c>
      <c r="C8078" t="inlineStr">
        <is>
          <t>036c664f-5408-4fd0-b479-342c00468eeb</t>
        </is>
      </c>
      <c r="D8078" t="n">
        <v>55.74231</v>
      </c>
      <c r="E8078" t="n">
        <v>37.43114</v>
      </c>
      <c r="F8078" t="inlineStr"/>
      <c r="G8078" t="inlineStr"/>
      <c r="H8078" t="inlineStr"/>
    </row>
    <row r="8079">
      <c r="A8079" t="inlineStr">
        <is>
          <t>7905b8b9-fb1f-437a-8ec7-a3451c3e59a1.jpg</t>
        </is>
      </c>
      <c r="B8079">
        <f>HYPERLINK("Объекты недвижимости, не соответствующие градостроительным нормам_00-022_Август/7905b8b9-fb1f-437a-8ec7-a3451c3e59a1.jpg","open")</f>
        <v/>
      </c>
      <c r="C8079" t="inlineStr">
        <is>
          <t>18a5c468-d9e6-4814-8477-1caf4a2e1fe9</t>
        </is>
      </c>
      <c r="D8079" t="n">
        <v>55.75885</v>
      </c>
      <c r="E8079" t="n">
        <v>37.55925</v>
      </c>
      <c r="F8079" t="inlineStr"/>
      <c r="G8079" t="inlineStr"/>
      <c r="H8079" t="inlineStr"/>
    </row>
    <row r="8080">
      <c r="A8080" t="inlineStr">
        <is>
          <t>2036e76b-9f17-482f-86e3-80c0596713af.jpg</t>
        </is>
      </c>
      <c r="B8080">
        <f>HYPERLINK("Объекты недвижимости, не соответствующие градостроительным нормам_00-022_Август/2036e76b-9f17-482f-86e3-80c0596713af.jpg","open")</f>
        <v/>
      </c>
      <c r="C8080" t="inlineStr">
        <is>
          <t>036c664f-5408-4fd0-b479-342c00468eeb</t>
        </is>
      </c>
      <c r="D8080" t="n">
        <v>55.74236</v>
      </c>
      <c r="E8080" t="n">
        <v>37.43123</v>
      </c>
      <c r="F8080" t="inlineStr"/>
      <c r="G8080" t="inlineStr"/>
      <c r="H8080" t="inlineStr"/>
    </row>
    <row r="8081">
      <c r="A8081" t="inlineStr">
        <is>
          <t>4efa0bd5-0968-4c4a-9b95-4f78aa30ab15.jpg</t>
        </is>
      </c>
      <c r="B8081">
        <f>HYPERLINK("Объекты недвижимости, не соответствующие градостроительным нормам_00-022_Август/4efa0bd5-0968-4c4a-9b95-4f78aa30ab15.jpg","open")</f>
        <v/>
      </c>
      <c r="C8081" t="inlineStr">
        <is>
          <t>cbf95b01-f708-45a3-9ec0-3603469b538e</t>
        </is>
      </c>
      <c r="D8081" t="n">
        <v>55.63309</v>
      </c>
      <c r="E8081" t="n">
        <v>37.4724</v>
      </c>
      <c r="F8081" t="inlineStr"/>
      <c r="G8081" t="inlineStr"/>
      <c r="H8081" t="inlineStr"/>
    </row>
    <row r="8082">
      <c r="A8082" t="inlineStr">
        <is>
          <t>814462fe-5d09-41d3-84dc-9b7249ba0f7b.jpg</t>
        </is>
      </c>
      <c r="B8082">
        <f>HYPERLINK("Объекты недвижимости, не соответствующие градостроительным нормам_00-022_Август/814462fe-5d09-41d3-84dc-9b7249ba0f7b.jpg","open")</f>
        <v/>
      </c>
      <c r="C8082" t="inlineStr">
        <is>
          <t>d2c4eccd-3e4b-406c-a903-0f5e43d0be35</t>
        </is>
      </c>
      <c r="D8082" t="n">
        <v>55.75885</v>
      </c>
      <c r="E8082" t="n">
        <v>37.55925</v>
      </c>
      <c r="F8082" t="inlineStr"/>
      <c r="G8082" t="inlineStr"/>
      <c r="H8082" t="inlineStr"/>
    </row>
    <row r="8083">
      <c r="A8083" t="inlineStr">
        <is>
          <t>574b8c2a-55c1-4282-97d4-4bc79b62a9ba.jpg</t>
        </is>
      </c>
      <c r="B8083">
        <f>HYPERLINK("Объекты недвижимости, не соответствующие градостроительным нормам_00-022_Август/574b8c2a-55c1-4282-97d4-4bc79b62a9ba.jpg","open")</f>
        <v/>
      </c>
      <c r="C8083" t="inlineStr">
        <is>
          <t>6e2567a0-1fb9-40d5-a0e7-0adb480d2965</t>
        </is>
      </c>
      <c r="D8083" t="n">
        <v>55.67936</v>
      </c>
      <c r="E8083" t="n">
        <v>37.43381</v>
      </c>
      <c r="F8083" t="inlineStr"/>
      <c r="G8083" t="inlineStr"/>
      <c r="H8083" t="inlineStr"/>
    </row>
    <row r="8084">
      <c r="A8084" t="inlineStr">
        <is>
          <t>361eb957-cac9-4303-884d-3558fe891d90.jpg</t>
        </is>
      </c>
      <c r="B8084">
        <f>HYPERLINK("Объекты недвижимости, не соответствующие градостроительным нормам_00-022_Август/361eb957-cac9-4303-884d-3558fe891d90.jpg","open")</f>
        <v/>
      </c>
      <c r="C8084" t="inlineStr">
        <is>
          <t>ed2bf0f1-3a66-4913-896e-4420a9796c0b</t>
        </is>
      </c>
      <c r="D8084" t="n">
        <v>55.64853</v>
      </c>
      <c r="E8084" t="n">
        <v>37.60525</v>
      </c>
      <c r="F8084" t="inlineStr"/>
      <c r="G8084" t="inlineStr"/>
      <c r="H8084" t="inlineStr"/>
    </row>
    <row r="8085">
      <c r="A8085" t="inlineStr">
        <is>
          <t>aba633bc-43fd-46c1-a060-1d0b9fbe529b.jpg</t>
        </is>
      </c>
      <c r="B8085">
        <f>HYPERLINK("Объекты недвижимости, не соответствующие градостроительным нормам_00-022_Август/aba633bc-43fd-46c1-a060-1d0b9fbe529b.jpg","open")</f>
        <v/>
      </c>
      <c r="C8085" t="inlineStr">
        <is>
          <t>cbf95b01-f708-45a3-9ec0-3603469b538e</t>
        </is>
      </c>
      <c r="D8085" t="n">
        <v>55.63309</v>
      </c>
      <c r="E8085" t="n">
        <v>37.4724</v>
      </c>
      <c r="F8085" t="inlineStr"/>
      <c r="G8085" t="inlineStr"/>
      <c r="H8085" t="inlineStr"/>
    </row>
    <row r="8086">
      <c r="A8086" t="inlineStr">
        <is>
          <t>c5246925-e27a-464d-8a4f-43584d87367f.jpg</t>
        </is>
      </c>
      <c r="B8086">
        <f>HYPERLINK("Объекты недвижимости, не соответствующие градостроительным нормам_00-022_Август/c5246925-e27a-464d-8a4f-43584d87367f.jpg","open")</f>
        <v/>
      </c>
      <c r="C8086" t="inlineStr">
        <is>
          <t>ffd931da-542f-43e9-979f-5552b17fe3dc</t>
        </is>
      </c>
      <c r="D8086" t="n">
        <v>55.78244</v>
      </c>
      <c r="E8086" t="n">
        <v>37.72516</v>
      </c>
      <c r="F8086" t="inlineStr"/>
      <c r="G8086" t="inlineStr"/>
      <c r="H8086" t="inlineStr"/>
    </row>
    <row r="8087">
      <c r="A8087" t="inlineStr">
        <is>
          <t>d4dcfc0c-6d6b-45d2-b127-6dec832c5f66.jpg</t>
        </is>
      </c>
      <c r="B8087">
        <f>HYPERLINK("Объекты недвижимости, не соответствующие градостроительным нормам_00-022_Август/d4dcfc0c-6d6b-45d2-b127-6dec832c5f66.jpg","open")</f>
        <v/>
      </c>
      <c r="C8087" t="inlineStr">
        <is>
          <t>1231bbc5-e64c-4dc7-9acc-77710f47607a</t>
        </is>
      </c>
      <c r="D8087" t="n">
        <v>55.61728</v>
      </c>
      <c r="E8087" t="n">
        <v>37.4899</v>
      </c>
      <c r="F8087" t="inlineStr"/>
      <c r="G8087" t="inlineStr"/>
      <c r="H8087" t="inlineStr"/>
    </row>
    <row r="8088">
      <c r="A8088" t="inlineStr">
        <is>
          <t>aab6a65b-f750-44b5-be96-d272977ef2ee.jpg</t>
        </is>
      </c>
      <c r="B8088">
        <f>HYPERLINK("Объекты недвижимости, не соответствующие градостроительным нормам_00-022_Август/aab6a65b-f750-44b5-be96-d272977ef2ee.jpg","open")</f>
        <v/>
      </c>
      <c r="C8088" t="inlineStr">
        <is>
          <t>685d9054-b74f-49ab-857b-109fd2cec80d</t>
        </is>
      </c>
      <c r="D8088" t="n">
        <v>55.61728</v>
      </c>
      <c r="E8088" t="n">
        <v>37.48991</v>
      </c>
      <c r="F8088" t="inlineStr"/>
      <c r="G8088" t="inlineStr"/>
      <c r="H8088" t="inlineStr"/>
    </row>
    <row r="8089">
      <c r="A8089" t="inlineStr">
        <is>
          <t>381cc37d-721a-4e06-bcdb-9ae798085fd6.jpg</t>
        </is>
      </c>
      <c r="B8089">
        <f>HYPERLINK("Объекты недвижимости, не соответствующие градостроительным нормам_00-022_Август/381cc37d-721a-4e06-bcdb-9ae798085fd6.jpg","open")</f>
        <v/>
      </c>
      <c r="C8089" t="inlineStr">
        <is>
          <t>cbf95b01-f708-45a3-9ec0-3603469b538e</t>
        </is>
      </c>
      <c r="D8089" t="n">
        <v>55.86242</v>
      </c>
      <c r="E8089" t="n">
        <v>38.86405</v>
      </c>
      <c r="F8089" t="inlineStr"/>
      <c r="G8089" t="inlineStr"/>
      <c r="H8089" t="inlineStr"/>
    </row>
    <row r="8090">
      <c r="A8090" t="inlineStr">
        <is>
          <t>caac9245-d989-4919-8e47-0117e1954b05.jpg</t>
        </is>
      </c>
      <c r="B8090">
        <f>HYPERLINK("Объекты недвижимости, не соответствующие градостроительным нормам_00-022_Август/caac9245-d989-4919-8e47-0117e1954b05.jpg","open")</f>
        <v/>
      </c>
      <c r="C8090" t="inlineStr">
        <is>
          <t>caa4772d-6278-4484-a046-ee25514bf521</t>
        </is>
      </c>
      <c r="D8090" t="n">
        <v>55.71894</v>
      </c>
      <c r="E8090" t="n">
        <v>37.40795</v>
      </c>
      <c r="F8090" t="inlineStr"/>
      <c r="G8090" t="inlineStr"/>
      <c r="H8090" t="inlineStr"/>
    </row>
    <row r="8091">
      <c r="A8091" t="inlineStr">
        <is>
          <t>ab65997e-da54-461d-b39f-816a16a98362.jpg</t>
        </is>
      </c>
      <c r="B8091">
        <f>HYPERLINK("Объекты недвижимости, не соответствующие градостроительным нормам_00-022_Август/ab65997e-da54-461d-b39f-816a16a98362.jpg","open")</f>
        <v/>
      </c>
      <c r="C8091" t="inlineStr">
        <is>
          <t>caa4772d-6278-4484-a046-ee25514bf521</t>
        </is>
      </c>
      <c r="D8091" t="n">
        <v>55.72277</v>
      </c>
      <c r="E8091" t="n">
        <v>37.4071</v>
      </c>
      <c r="F8091" t="inlineStr"/>
      <c r="G8091" t="inlineStr"/>
      <c r="H8091" t="inlineStr"/>
    </row>
    <row r="8092">
      <c r="A8092" t="inlineStr">
        <is>
          <t>52071d3c-34e0-4a52-8d51-081a46c1bffb.jpg</t>
        </is>
      </c>
      <c r="B8092">
        <f>HYPERLINK("Объекты недвижимости, не соответствующие градостроительным нормам_00-022_Август/52071d3c-34e0-4a52-8d51-081a46c1bffb.jpg","open")</f>
        <v/>
      </c>
      <c r="C8092" t="inlineStr">
        <is>
          <t>cbf95b01-f708-45a3-9ec0-3603469b538e</t>
        </is>
      </c>
      <c r="D8092" t="n">
        <v>55.86242</v>
      </c>
      <c r="E8092" t="n">
        <v>38.86405</v>
      </c>
      <c r="F8092" t="inlineStr"/>
      <c r="G8092" t="inlineStr"/>
      <c r="H8092" t="inlineStr"/>
    </row>
    <row r="8093">
      <c r="A8093" t="inlineStr">
        <is>
          <t>78ba90e2-b620-4d86-9072-25b3df6e324c.jpg</t>
        </is>
      </c>
      <c r="B8093">
        <f>HYPERLINK("Объекты недвижимости, не соответствующие градостроительным нормам_00-022_Август/78ba90e2-b620-4d86-9072-25b3df6e324c.jpg","open")</f>
        <v/>
      </c>
      <c r="C8093" t="inlineStr">
        <is>
          <t>cbf95b01-f708-45a3-9ec0-3603469b538e</t>
        </is>
      </c>
      <c r="D8093" t="n">
        <v>55.86242</v>
      </c>
      <c r="E8093" t="n">
        <v>38.86405</v>
      </c>
      <c r="F8093" t="inlineStr"/>
      <c r="G8093" t="inlineStr"/>
      <c r="H8093" t="inlineStr"/>
    </row>
    <row r="8094">
      <c r="A8094" t="inlineStr">
        <is>
          <t>1fbade98-cfe0-4588-8fe2-8ed69f782a49.jpg</t>
        </is>
      </c>
      <c r="B8094">
        <f>HYPERLINK("Объекты недвижимости, не соответствующие градостроительным нормам_00-022_Август/1fbade98-cfe0-4588-8fe2-8ed69f782a49.jpg","open")</f>
        <v/>
      </c>
      <c r="C8094" t="inlineStr">
        <is>
          <t>1a55986c-2c3f-40c0-b3d1-014dce77832e</t>
        </is>
      </c>
      <c r="D8094" t="n">
        <v>55.65333</v>
      </c>
      <c r="E8094" t="n">
        <v>37.60304</v>
      </c>
      <c r="F8094" t="inlineStr"/>
      <c r="G8094" t="inlineStr"/>
      <c r="H8094" t="inlineStr"/>
    </row>
    <row r="8095">
      <c r="A8095" t="inlineStr">
        <is>
          <t>71df48f5-f67d-4757-8157-8499fa4e4419.jpg</t>
        </is>
      </c>
      <c r="B8095">
        <f>HYPERLINK("Объекты недвижимости, не соответствующие градостроительным нормам_00-022_Август/71df48f5-f67d-4757-8157-8499fa4e4419.jpg","open")</f>
        <v/>
      </c>
      <c r="C8095" t="inlineStr">
        <is>
          <t>cbf95b01-f708-45a3-9ec0-3603469b538e</t>
        </is>
      </c>
      <c r="D8095" t="n">
        <v>55.86242</v>
      </c>
      <c r="E8095" t="n">
        <v>38.86405</v>
      </c>
      <c r="F8095" t="inlineStr"/>
      <c r="G8095" t="inlineStr"/>
      <c r="H8095" t="inlineStr"/>
    </row>
    <row r="8096">
      <c r="A8096" t="inlineStr">
        <is>
          <t>ea9caded-24bc-4dc5-a18e-2d68d5429e7f.jpg</t>
        </is>
      </c>
      <c r="B8096">
        <f>HYPERLINK("Объекты недвижимости, не соответствующие градостроительным нормам_00-022_Август/ea9caded-24bc-4dc5-a18e-2d68d5429e7f.jpg","open")</f>
        <v/>
      </c>
      <c r="C8096" t="inlineStr">
        <is>
          <t>cbf95b01-f708-45a3-9ec0-3603469b538e</t>
        </is>
      </c>
      <c r="D8096" t="n">
        <v>55.86242</v>
      </c>
      <c r="E8096" t="n">
        <v>38.86405</v>
      </c>
      <c r="F8096" t="inlineStr"/>
      <c r="G8096" t="inlineStr"/>
      <c r="H8096" t="inlineStr"/>
    </row>
    <row r="8097">
      <c r="A8097" t="inlineStr">
        <is>
          <t>6e30480c-ded7-463e-b698-1a4153587dba.jpg</t>
        </is>
      </c>
      <c r="B8097">
        <f>HYPERLINK("Объекты недвижимости, не соответствующие градостроительным нормам_00-022_Август/6e30480c-ded7-463e-b698-1a4153587dba.jpg","open")</f>
        <v/>
      </c>
      <c r="C8097" t="inlineStr">
        <is>
          <t>57aae8a4-582b-4309-8045-c8127a9f86ae</t>
        </is>
      </c>
      <c r="D8097" t="n">
        <v>55.81016</v>
      </c>
      <c r="E8097" t="n">
        <v>37.8257</v>
      </c>
      <c r="F8097" t="inlineStr"/>
      <c r="G8097" t="inlineStr"/>
      <c r="H8097" t="inlineStr"/>
    </row>
    <row r="8098">
      <c r="A8098" t="inlineStr">
        <is>
          <t>d3ef6a2f-3164-451f-8ba3-aaa1199a9971.jpg</t>
        </is>
      </c>
      <c r="B8098">
        <f>HYPERLINK("Объекты недвижимости, не соответствующие градостроительным нормам_00-022_Август/d3ef6a2f-3164-451f-8ba3-aaa1199a9971.jpg","open")</f>
        <v/>
      </c>
      <c r="C8098" t="inlineStr">
        <is>
          <t>1231bbc5-e64c-4dc7-9acc-77710f47607a</t>
        </is>
      </c>
      <c r="D8098" t="n">
        <v>55.62031</v>
      </c>
      <c r="E8098" t="n">
        <v>37.48968</v>
      </c>
      <c r="F8098" t="inlineStr"/>
      <c r="G8098" t="inlineStr"/>
      <c r="H8098" t="inlineStr"/>
    </row>
    <row r="8099">
      <c r="A8099" t="inlineStr">
        <is>
          <t>7a05a0d5-fe8e-4c85-8965-3bc8716f2675.jpg</t>
        </is>
      </c>
      <c r="B8099">
        <f>HYPERLINK("Объекты недвижимости, не соответствующие градостроительным нормам_00-022_Август/7a05a0d5-fe8e-4c85-8965-3bc8716f2675.jpg","open")</f>
        <v/>
      </c>
      <c r="C8099" t="inlineStr">
        <is>
          <t>685d9054-b74f-49ab-857b-109fd2cec80d</t>
        </is>
      </c>
      <c r="D8099" t="n">
        <v>55.62032</v>
      </c>
      <c r="E8099" t="n">
        <v>37.48975</v>
      </c>
      <c r="F8099" t="inlineStr"/>
      <c r="G8099" t="inlineStr"/>
      <c r="H8099" t="inlineStr"/>
    </row>
    <row r="8100">
      <c r="A8100" t="inlineStr">
        <is>
          <t>7e0dec04-f4eb-43a4-8f0e-9c5cc7845cee.jpg</t>
        </is>
      </c>
      <c r="B8100">
        <f>HYPERLINK("Объекты недвижимости, не соответствующие градостроительным нормам_00-022_Август/7e0dec04-f4eb-43a4-8f0e-9c5cc7845cee.jpg","open")</f>
        <v/>
      </c>
      <c r="C8100" t="inlineStr">
        <is>
          <t>caa4772d-6278-4484-a046-ee25514bf521</t>
        </is>
      </c>
      <c r="D8100" t="n">
        <v>55.72222</v>
      </c>
      <c r="E8100" t="n">
        <v>37.40668</v>
      </c>
      <c r="F8100" t="inlineStr"/>
      <c r="G8100" t="inlineStr"/>
      <c r="H8100" t="inlineStr"/>
    </row>
    <row r="8101">
      <c r="A8101" t="inlineStr">
        <is>
          <t>062f11a3-e9d9-4cf0-9608-712edebd26fa.jpg</t>
        </is>
      </c>
      <c r="B8101">
        <f>HYPERLINK("Объекты недвижимости, не соответствующие градостроительным нормам_00-022_Август/062f11a3-e9d9-4cf0-9608-712edebd26fa.jpg","open")</f>
        <v/>
      </c>
      <c r="C8101" t="inlineStr">
        <is>
          <t>12e795ad-2aa7-49de-b2da-2c6aa35a4559</t>
        </is>
      </c>
      <c r="D8101" t="n">
        <v>55.64142</v>
      </c>
      <c r="E8101" t="n">
        <v>37.53273</v>
      </c>
      <c r="F8101" t="inlineStr"/>
      <c r="G8101" t="inlineStr"/>
      <c r="H8101" t="inlineStr"/>
    </row>
    <row r="8102">
      <c r="A8102" t="inlineStr">
        <is>
          <t>0085ea72-7e61-4daa-bf9c-72c2ef4cdb9f.jpg</t>
        </is>
      </c>
      <c r="B8102">
        <f>HYPERLINK("Объекты недвижимости, не соответствующие градостроительным нормам_00-022_Август/0085ea72-7e61-4daa-bf9c-72c2ef4cdb9f.jpg","open")</f>
        <v/>
      </c>
      <c r="C8102" t="inlineStr">
        <is>
          <t>036c664f-5408-4fd0-b479-342c00468eeb</t>
        </is>
      </c>
      <c r="D8102" t="n">
        <v>55.74394</v>
      </c>
      <c r="E8102" t="n">
        <v>37.42722</v>
      </c>
      <c r="F8102" t="inlineStr"/>
      <c r="G8102" t="inlineStr"/>
      <c r="H8102" t="inlineStr"/>
    </row>
    <row r="8103">
      <c r="A8103" t="inlineStr">
        <is>
          <t>0c69f4f4-506b-49bb-a3bf-6af495bf80a5.jpg</t>
        </is>
      </c>
      <c r="B8103">
        <f>HYPERLINK("Объекты недвижимости, не соответствующие градостроительным нормам_00-022_Август/0c69f4f4-506b-49bb-a3bf-6af495bf80a5.jpg","open")</f>
        <v/>
      </c>
      <c r="C8103" t="inlineStr">
        <is>
          <t>12e795ad-2aa7-49de-b2da-2c6aa35a4559</t>
        </is>
      </c>
      <c r="D8103" t="n">
        <v>55.64149</v>
      </c>
      <c r="E8103" t="n">
        <v>37.53309</v>
      </c>
      <c r="F8103" t="inlineStr"/>
      <c r="G8103" t="inlineStr"/>
      <c r="H8103" t="inlineStr"/>
    </row>
    <row r="8104">
      <c r="A8104" t="inlineStr">
        <is>
          <t>4a4770f6-4c40-4540-9da8-6e3611838417.jpg</t>
        </is>
      </c>
      <c r="B8104">
        <f>HYPERLINK("Объекты недвижимости, не соответствующие градостроительным нормам_00-022_Август/4a4770f6-4c40-4540-9da8-6e3611838417.jpg","open")</f>
        <v/>
      </c>
      <c r="C8104" t="inlineStr">
        <is>
          <t>ad64e6b9-1ed5-44d7-a101-4945a1f9dec6</t>
        </is>
      </c>
      <c r="D8104" t="n">
        <v>55.6415</v>
      </c>
      <c r="E8104" t="n">
        <v>37.53305</v>
      </c>
      <c r="F8104" t="inlineStr"/>
      <c r="G8104" t="inlineStr"/>
      <c r="H8104" t="inlineStr"/>
    </row>
    <row r="8105">
      <c r="A8105" t="inlineStr">
        <is>
          <t>8ad5644a-4992-4e22-ac5f-8d66ef3f5333.jpg</t>
        </is>
      </c>
      <c r="B8105">
        <f>HYPERLINK("Объекты недвижимости, не соответствующие градостроительным нормам_00-022_Август/8ad5644a-4992-4e22-ac5f-8d66ef3f5333.jpg","open")</f>
        <v/>
      </c>
      <c r="C8105" t="inlineStr">
        <is>
          <t>18a5c468-d9e6-4814-8477-1caf4a2e1fe9</t>
        </is>
      </c>
      <c r="D8105" t="n">
        <v>55.75885</v>
      </c>
      <c r="E8105" t="n">
        <v>37.55925</v>
      </c>
      <c r="F8105" t="inlineStr"/>
      <c r="G8105" t="inlineStr"/>
      <c r="H8105" t="inlineStr"/>
    </row>
    <row r="8106">
      <c r="A8106" t="inlineStr">
        <is>
          <t>c8de57db-c5cc-4c3c-a39f-c2f699f6f93b.jpg</t>
        </is>
      </c>
      <c r="B8106">
        <f>HYPERLINK("Объекты недвижимости, не соответствующие градостроительным нормам_00-022_Август/c8de57db-c5cc-4c3c-a39f-c2f699f6f93b.jpg","open")</f>
        <v/>
      </c>
      <c r="C8106" t="inlineStr">
        <is>
          <t>caa4772d-6278-4484-a046-ee25514bf521</t>
        </is>
      </c>
      <c r="D8106" t="n">
        <v>55.71895</v>
      </c>
      <c r="E8106" t="n">
        <v>37.40798</v>
      </c>
      <c r="F8106" t="inlineStr"/>
      <c r="G8106" t="inlineStr"/>
      <c r="H8106" t="inlineStr"/>
    </row>
    <row r="8107">
      <c r="A8107" t="inlineStr">
        <is>
          <t>f2e86c45-7f18-4eff-983f-f9d28597a598.jpg</t>
        </is>
      </c>
      <c r="B8107">
        <f>HYPERLINK("Объекты недвижимости, не соответствующие градостроительным нормам_00-022_Август/f2e86c45-7f18-4eff-983f-f9d28597a598.jpg","open")</f>
        <v/>
      </c>
      <c r="C8107" t="inlineStr">
        <is>
          <t>8b2675e2-7f40-47a9-a462-7c9feecd299c</t>
        </is>
      </c>
      <c r="D8107" t="n">
        <v>55.71082</v>
      </c>
      <c r="E8107" t="n">
        <v>37.67178</v>
      </c>
      <c r="F8107" t="inlineStr"/>
      <c r="G8107" t="inlineStr"/>
      <c r="H8107" t="inlineStr"/>
    </row>
    <row r="8108">
      <c r="A8108" t="inlineStr">
        <is>
          <t>0691fdc2-7961-40bb-b485-051da68e4c36.jpg</t>
        </is>
      </c>
      <c r="B8108">
        <f>HYPERLINK("Объекты недвижимости, не соответствующие градостроительным нормам_00-022_Август/0691fdc2-7961-40bb-b485-051da68e4c36.jpg","open")</f>
        <v/>
      </c>
      <c r="C8108" t="inlineStr">
        <is>
          <t>caa4772d-6278-4484-a046-ee25514bf521</t>
        </is>
      </c>
      <c r="D8108" t="n">
        <v>55.72185</v>
      </c>
      <c r="E8108" t="n">
        <v>37.4071</v>
      </c>
      <c r="F8108" t="inlineStr"/>
      <c r="G8108" t="inlineStr"/>
      <c r="H8108" t="inlineStr"/>
    </row>
    <row r="8109">
      <c r="A8109" t="inlineStr">
        <is>
          <t>9df45712-301f-4bd3-b975-fb472d9109ae.jpg</t>
        </is>
      </c>
      <c r="B8109">
        <f>HYPERLINK("Объекты недвижимости, не соответствующие градостроительным нормам_00-022_Август/9df45712-301f-4bd3-b975-fb472d9109ae.jpg","open")</f>
        <v/>
      </c>
      <c r="C8109" t="inlineStr">
        <is>
          <t>18a5c468-d9e6-4814-8477-1caf4a2e1fe9</t>
        </is>
      </c>
      <c r="D8109" t="n">
        <v>55.75885</v>
      </c>
      <c r="E8109" t="n">
        <v>37.55925</v>
      </c>
      <c r="F8109" t="inlineStr"/>
      <c r="G8109" t="inlineStr"/>
      <c r="H8109" t="inlineStr"/>
    </row>
    <row r="8110">
      <c r="A8110" t="inlineStr">
        <is>
          <t>67e0d290-5535-4fcc-9f5f-e7a51f5dc119.jpg</t>
        </is>
      </c>
      <c r="B8110">
        <f>HYPERLINK("Объекты недвижимости, не соответствующие градостроительным нормам_00-022_Август/67e0d290-5535-4fcc-9f5f-e7a51f5dc119.jpg","open")</f>
        <v/>
      </c>
      <c r="C8110" t="inlineStr">
        <is>
          <t>50e4626c-a80e-42ab-b999-b5092c2c063f</t>
        </is>
      </c>
      <c r="D8110" t="n">
        <v>55.74892</v>
      </c>
      <c r="E8110" t="n">
        <v>37.70019</v>
      </c>
      <c r="F8110" t="inlineStr"/>
      <c r="G8110" t="inlineStr"/>
      <c r="H8110" t="inlineStr"/>
    </row>
    <row r="8111">
      <c r="A8111" t="inlineStr">
        <is>
          <t>20aa260b-e43e-43cf-8362-3fce65f2e724.jpg</t>
        </is>
      </c>
      <c r="B8111">
        <f>HYPERLINK("Объекты недвижимости, не соответствующие градостроительным нормам_00-022_Август/20aa260b-e43e-43cf-8362-3fce65f2e724.jpg","open")</f>
        <v/>
      </c>
      <c r="C8111" t="inlineStr">
        <is>
          <t>685d9054-b74f-49ab-857b-109fd2cec80d</t>
        </is>
      </c>
      <c r="D8111" t="n">
        <v>55.62039</v>
      </c>
      <c r="E8111" t="n">
        <v>37.48949</v>
      </c>
      <c r="F8111" t="inlineStr"/>
      <c r="G8111" t="inlineStr"/>
      <c r="H8111" t="inlineStr"/>
    </row>
    <row r="8112">
      <c r="A8112" t="inlineStr">
        <is>
          <t>9a47363b-df9c-4c6b-9229-8bf9694b3462.jpg</t>
        </is>
      </c>
      <c r="B8112">
        <f>HYPERLINK("Объекты недвижимости, не соответствующие градостроительным нормам_00-022_Август/9a47363b-df9c-4c6b-9229-8bf9694b3462.jpg","open")</f>
        <v/>
      </c>
      <c r="C8112" t="inlineStr">
        <is>
          <t>1231bbc5-e64c-4dc7-9acc-77710f47607a</t>
        </is>
      </c>
      <c r="D8112" t="n">
        <v>55.62039</v>
      </c>
      <c r="E8112" t="n">
        <v>37.48949</v>
      </c>
      <c r="F8112" t="inlineStr"/>
      <c r="G8112" t="inlineStr"/>
      <c r="H8112" t="inlineStr"/>
    </row>
    <row r="8113">
      <c r="A8113" t="inlineStr">
        <is>
          <t>f618c5fd-4ab7-4132-8fbf-f641fc655097.jpg</t>
        </is>
      </c>
      <c r="B8113">
        <f>HYPERLINK("Объекты недвижимости, не соответствующие градостроительным нормам_00-022_Август/f618c5fd-4ab7-4132-8fbf-f641fc655097.jpg","open")</f>
        <v/>
      </c>
      <c r="C8113" t="inlineStr">
        <is>
          <t>f6f80c84-5569-48fd-b627-6f41ce4c61c4</t>
        </is>
      </c>
      <c r="D8113" t="n">
        <v>55.72543</v>
      </c>
      <c r="E8113" t="n">
        <v>37.40656</v>
      </c>
      <c r="F8113" t="inlineStr"/>
      <c r="G8113" t="inlineStr"/>
      <c r="H8113" t="inlineStr"/>
    </row>
    <row r="8114">
      <c r="A8114" t="inlineStr">
        <is>
          <t>963be8fa-385b-4714-a532-3fc7906b4438.jpg</t>
        </is>
      </c>
      <c r="B8114">
        <f>HYPERLINK("Объекты недвижимости, не соответствующие градостроительным нормам_00-022_Август/963be8fa-385b-4714-a532-3fc7906b4438.jpg","open")</f>
        <v/>
      </c>
      <c r="C8114" t="inlineStr">
        <is>
          <t>caa4772d-6278-4484-a046-ee25514bf521</t>
        </is>
      </c>
      <c r="D8114" t="n">
        <v>55.72532</v>
      </c>
      <c r="E8114" t="n">
        <v>37.40402</v>
      </c>
      <c r="F8114" t="inlineStr"/>
      <c r="G8114" t="inlineStr"/>
      <c r="H8114" t="inlineStr"/>
    </row>
    <row r="8115">
      <c r="A8115" t="inlineStr">
        <is>
          <t>7a278e1c-2053-4aa2-b36e-c87123d7c9e3.jpg</t>
        </is>
      </c>
      <c r="B8115">
        <f>HYPERLINK("Объекты недвижимости, не соответствующие градостроительным нормам_00-022_Август/7a278e1c-2053-4aa2-b36e-c87123d7c9e3.jpg","open")</f>
        <v/>
      </c>
      <c r="C8115" t="inlineStr">
        <is>
          <t>f6f80c84-5569-48fd-b627-6f41ce4c61c4</t>
        </is>
      </c>
      <c r="D8115" t="n">
        <v>55.72533</v>
      </c>
      <c r="E8115" t="n">
        <v>37.40423</v>
      </c>
      <c r="F8115" t="inlineStr"/>
      <c r="G8115" t="inlineStr"/>
      <c r="H8115" t="inlineStr"/>
    </row>
    <row r="8116">
      <c r="A8116" t="inlineStr">
        <is>
          <t>ac1ed306-794f-47cf-8bc3-3ebec2787d8a.jpg</t>
        </is>
      </c>
      <c r="B8116">
        <f>HYPERLINK("Объекты недвижимости, не соответствующие градостроительным нормам_00-022_Август/ac1ed306-794f-47cf-8bc3-3ebec2787d8a.jpg","open")</f>
        <v/>
      </c>
      <c r="C8116" t="inlineStr">
        <is>
          <t>f6f80c84-5569-48fd-b627-6f41ce4c61c4</t>
        </is>
      </c>
      <c r="D8116" t="n">
        <v>55.72524</v>
      </c>
      <c r="E8116" t="n">
        <v>37.40335</v>
      </c>
      <c r="F8116" t="inlineStr"/>
      <c r="G8116" t="inlineStr"/>
      <c r="H8116" t="inlineStr"/>
    </row>
    <row r="8117">
      <c r="A8117" t="inlineStr">
        <is>
          <t>fbd6a0f6-be90-45b4-8543-ecf564e2700b.jpg</t>
        </is>
      </c>
      <c r="B8117">
        <f>HYPERLINK("Объекты недвижимости, не соответствующие градостроительным нормам_00-022_Август/fbd6a0f6-be90-45b4-8543-ecf564e2700b.jpg","open")</f>
        <v/>
      </c>
      <c r="C8117" t="inlineStr">
        <is>
          <t>caa4772d-6278-4484-a046-ee25514bf521</t>
        </is>
      </c>
      <c r="D8117" t="n">
        <v>55.72482</v>
      </c>
      <c r="E8117" t="n">
        <v>37.40205</v>
      </c>
      <c r="F8117" t="inlineStr"/>
      <c r="G8117" t="inlineStr"/>
      <c r="H8117" t="inlineStr"/>
    </row>
    <row r="8118">
      <c r="A8118" t="inlineStr">
        <is>
          <t>30112d6a-fefc-4d17-932c-aaebcb0cc968.jpg</t>
        </is>
      </c>
      <c r="B8118">
        <f>HYPERLINK("Объекты недвижимости, не соответствующие градостроительным нормам_00-022_Август/30112d6a-fefc-4d17-932c-aaebcb0cc968.jpg","open")</f>
        <v/>
      </c>
      <c r="C8118" t="inlineStr">
        <is>
          <t>f6f80c84-5569-48fd-b627-6f41ce4c61c4</t>
        </is>
      </c>
      <c r="D8118" t="n">
        <v>55.72482</v>
      </c>
      <c r="E8118" t="n">
        <v>37.40205</v>
      </c>
      <c r="F8118" t="inlineStr"/>
      <c r="G8118" t="inlineStr"/>
      <c r="H8118" t="inlineStr"/>
    </row>
    <row r="8119">
      <c r="A8119" t="inlineStr">
        <is>
          <t>018aae63-7c7b-46a1-9849-f9de53e792ca.jpg</t>
        </is>
      </c>
      <c r="B8119">
        <f>HYPERLINK("Объекты недвижимости, не соответствующие градостроительным нормам_00-022_Август/018aae63-7c7b-46a1-9849-f9de53e792ca.jpg","open")</f>
        <v/>
      </c>
      <c r="C8119" t="inlineStr">
        <is>
          <t>57aae8a4-582b-4309-8045-c8127a9f86ae</t>
        </is>
      </c>
      <c r="D8119" t="n">
        <v>55.80787</v>
      </c>
      <c r="E8119" t="n">
        <v>37.8266</v>
      </c>
      <c r="F8119" t="inlineStr"/>
      <c r="G8119" t="inlineStr"/>
      <c r="H8119" t="inlineStr"/>
    </row>
    <row r="8120">
      <c r="A8120" t="inlineStr">
        <is>
          <t>3f5c7ff8-618d-4c86-88d3-286eaf42c36b.jpg</t>
        </is>
      </c>
      <c r="B8120">
        <f>HYPERLINK("Объекты недвижимости, не соответствующие градостроительным нормам_00-022_Август/3f5c7ff8-618d-4c86-88d3-286eaf42c36b.jpg","open")</f>
        <v/>
      </c>
      <c r="C8120" t="inlineStr">
        <is>
          <t>ed2bf0f1-3a66-4913-896e-4420a9796c0b</t>
        </is>
      </c>
      <c r="D8120" t="n">
        <v>55.64712</v>
      </c>
      <c r="E8120" t="n">
        <v>37.59077</v>
      </c>
      <c r="F8120" t="inlineStr"/>
      <c r="G8120" t="inlineStr"/>
      <c r="H8120" t="inlineStr"/>
    </row>
    <row r="8121">
      <c r="A8121" t="inlineStr">
        <is>
          <t>5b5a98b7-af05-4ca3-bd09-faa4792dcdec.jpg</t>
        </is>
      </c>
      <c r="B8121">
        <f>HYPERLINK("Объекты недвижимости, не соответствующие градостроительным нормам_00-022_Август/5b5a98b7-af05-4ca3-bd09-faa4792dcdec.jpg","open")</f>
        <v/>
      </c>
      <c r="C8121" t="inlineStr">
        <is>
          <t>31a713a9-b910-424b-b847-e0eaa2f70c70</t>
        </is>
      </c>
      <c r="D8121" t="n">
        <v>55.68505</v>
      </c>
      <c r="E8121" t="n">
        <v>37.47867</v>
      </c>
      <c r="F8121" t="inlineStr"/>
      <c r="G8121" t="inlineStr"/>
      <c r="H8121" t="inlineStr"/>
    </row>
    <row r="8122">
      <c r="A8122" t="inlineStr">
        <is>
          <t>a975869a-f202-4fa9-96ca-d6292a9a25fd.jpg</t>
        </is>
      </c>
      <c r="B8122">
        <f>HYPERLINK("Объекты недвижимости, не соответствующие градостроительным нормам_00-022_Август/a975869a-f202-4fa9-96ca-d6292a9a25fd.jpg","open")</f>
        <v/>
      </c>
      <c r="C8122" t="inlineStr">
        <is>
          <t>1a55986c-2c3f-40c0-b3d1-014dce77832e</t>
        </is>
      </c>
      <c r="D8122" t="n">
        <v>55.64749</v>
      </c>
      <c r="E8122" t="n">
        <v>37.59112</v>
      </c>
      <c r="F8122" t="inlineStr"/>
      <c r="G8122" t="inlineStr"/>
      <c r="H8122" t="inlineStr"/>
    </row>
    <row r="8123">
      <c r="A8123" t="inlineStr">
        <is>
          <t>d758e8b9-e8bc-4453-9847-c25aa5cf2f7c.jpg</t>
        </is>
      </c>
      <c r="B8123">
        <f>HYPERLINK("Объекты недвижимости, не соответствующие градостроительным нормам_00-022_Август/d758e8b9-e8bc-4453-9847-c25aa5cf2f7c.jpg","open")</f>
        <v/>
      </c>
      <c r="C8123" t="inlineStr">
        <is>
          <t>cbf95b01-f708-45a3-9ec0-3603469b538e</t>
        </is>
      </c>
      <c r="D8123" t="n">
        <v>55.86242</v>
      </c>
      <c r="E8123" t="n">
        <v>38.86405</v>
      </c>
      <c r="F8123" t="inlineStr"/>
      <c r="G8123" t="inlineStr"/>
      <c r="H8123" t="inlineStr"/>
    </row>
    <row r="8124">
      <c r="A8124" t="inlineStr">
        <is>
          <t>668c315d-75a2-4b92-a21a-7751cd318c6a.jpg</t>
        </is>
      </c>
      <c r="B8124">
        <f>HYPERLINK("Объекты недвижимости, не соответствующие градостроительным нормам_00-022_Август/668c315d-75a2-4b92-a21a-7751cd318c6a.jpg","open")</f>
        <v/>
      </c>
      <c r="C8124" t="inlineStr">
        <is>
          <t>685d9054-b74f-49ab-857b-109fd2cec80d</t>
        </is>
      </c>
      <c r="D8124" t="n">
        <v>55.62006</v>
      </c>
      <c r="E8124" t="n">
        <v>37.48545</v>
      </c>
      <c r="F8124" t="inlineStr"/>
      <c r="G8124" t="inlineStr"/>
      <c r="H8124" t="inlineStr"/>
    </row>
    <row r="8125">
      <c r="A8125" t="inlineStr">
        <is>
          <t>7a13aecc-76b7-44cc-b297-3f3029bcfc31.jpg</t>
        </is>
      </c>
      <c r="B8125">
        <f>HYPERLINK("Объекты недвижимости, не соответствующие градостроительным нормам_00-022_Август/7a13aecc-76b7-44cc-b297-3f3029bcfc31.jpg","open")</f>
        <v/>
      </c>
      <c r="C8125" t="inlineStr">
        <is>
          <t>f60286ac-55e7-4099-85bd-cc599a7a0c65</t>
        </is>
      </c>
      <c r="D8125" t="n">
        <v>55.79237</v>
      </c>
      <c r="E8125" t="n">
        <v>37.7352</v>
      </c>
      <c r="F8125" t="inlineStr"/>
      <c r="G8125" t="inlineStr"/>
      <c r="H8125" t="inlineStr"/>
    </row>
    <row r="8126">
      <c r="A8126" t="inlineStr">
        <is>
          <t>b1499bc7-7008-4895-b406-4dbe5f12ffea.jpg</t>
        </is>
      </c>
      <c r="B8126">
        <f>HYPERLINK("Объекты недвижимости, не соответствующие градостроительным нормам_00-022_Август/b1499bc7-7008-4895-b406-4dbe5f12ffea.jpg","open")</f>
        <v/>
      </c>
      <c r="C8126" t="inlineStr">
        <is>
          <t>cbf95b01-f708-45a3-9ec0-3603469b538e</t>
        </is>
      </c>
      <c r="D8126" t="n">
        <v>55.86242</v>
      </c>
      <c r="E8126" t="n">
        <v>38.86405</v>
      </c>
      <c r="F8126" t="inlineStr"/>
      <c r="G8126" t="inlineStr"/>
      <c r="H8126" t="inlineStr"/>
    </row>
    <row r="8127">
      <c r="A8127" t="inlineStr">
        <is>
          <t>7b655936-c7fa-4bb7-9d63-d126fc45d65b.jpg</t>
        </is>
      </c>
      <c r="B8127">
        <f>HYPERLINK("Объекты недвижимости, не соответствующие градостроительным нормам_00-022_Август/7b655936-c7fa-4bb7-9d63-d126fc45d65b.jpg","open")</f>
        <v/>
      </c>
      <c r="C8127" t="inlineStr">
        <is>
          <t>57aae8a4-582b-4309-8045-c8127a9f86ae</t>
        </is>
      </c>
      <c r="D8127" t="n">
        <v>55.80687</v>
      </c>
      <c r="E8127" t="n">
        <v>37.82249</v>
      </c>
      <c r="F8127" t="inlineStr"/>
      <c r="G8127" t="inlineStr"/>
      <c r="H8127" t="inlineStr"/>
    </row>
    <row r="8128">
      <c r="A8128" t="inlineStr">
        <is>
          <t>4dad92c0-3a0e-4a24-8a52-e976c7eb352d.jpg</t>
        </is>
      </c>
      <c r="B8128">
        <f>HYPERLINK("Объекты недвижимости, не соответствующие градостроительным нормам_00-022_Август/4dad92c0-3a0e-4a24-8a52-e976c7eb352d.jpg","open")</f>
        <v/>
      </c>
      <c r="C8128" t="inlineStr">
        <is>
          <t>acedacc2-0d8b-4fc1-9622-25621a89d071</t>
        </is>
      </c>
      <c r="D8128" t="n">
        <v>55.80685</v>
      </c>
      <c r="E8128" t="n">
        <v>37.82254</v>
      </c>
      <c r="F8128" t="inlineStr"/>
      <c r="G8128" t="inlineStr"/>
      <c r="H8128" t="inlineStr"/>
    </row>
    <row r="8129">
      <c r="A8129" t="inlineStr">
        <is>
          <t>1ccd9e2e-41a8-4faa-95f2-59995861927b.jpg</t>
        </is>
      </c>
      <c r="B8129">
        <f>HYPERLINK("Объекты недвижимости, не соответствующие градостроительным нормам_00-022_Август/1ccd9e2e-41a8-4faa-95f2-59995861927b.jpg","open")</f>
        <v/>
      </c>
      <c r="C8129" t="inlineStr">
        <is>
          <t>1231bbc5-e64c-4dc7-9acc-77710f47607a</t>
        </is>
      </c>
      <c r="D8129" t="n">
        <v>55.62016</v>
      </c>
      <c r="E8129" t="n">
        <v>37.48543</v>
      </c>
      <c r="F8129" t="inlineStr"/>
      <c r="G8129" t="inlineStr"/>
      <c r="H8129" t="inlineStr"/>
    </row>
    <row r="8130">
      <c r="A8130" t="inlineStr">
        <is>
          <t>14645001-e682-41e2-a1d2-bcc42be261c2.jpg</t>
        </is>
      </c>
      <c r="B8130">
        <f>HYPERLINK("Объекты недвижимости, не соответствующие градостроительным нормам_00-022_Август/14645001-e682-41e2-a1d2-bcc42be261c2.jpg","open")</f>
        <v/>
      </c>
      <c r="C8130" t="inlineStr">
        <is>
          <t>cbf95b01-f708-45a3-9ec0-3603469b538e</t>
        </is>
      </c>
      <c r="D8130" t="n">
        <v>55.86242</v>
      </c>
      <c r="E8130" t="n">
        <v>38.86405</v>
      </c>
      <c r="F8130" t="inlineStr"/>
      <c r="G8130" t="inlineStr"/>
      <c r="H8130" t="inlineStr"/>
    </row>
    <row r="8131">
      <c r="A8131" t="inlineStr">
        <is>
          <t>b9de4fd8-68db-4f58-aa1f-c7efc742f5d8.jpg</t>
        </is>
      </c>
      <c r="B8131">
        <f>HYPERLINK("Объекты недвижимости, не соответствующие градостроительным нормам_00-022_Август/b9de4fd8-68db-4f58-aa1f-c7efc742f5d8.jpg","open")</f>
        <v/>
      </c>
      <c r="C8131" t="inlineStr">
        <is>
          <t>4cd87d14-7440-44b7-a5b2-a738e10006f7</t>
        </is>
      </c>
      <c r="D8131" t="n">
        <v>55.74709</v>
      </c>
      <c r="E8131" t="n">
        <v>37.65354</v>
      </c>
      <c r="F8131" t="inlineStr"/>
      <c r="G8131" t="inlineStr"/>
      <c r="H8131" t="inlineStr"/>
    </row>
    <row r="8132">
      <c r="A8132" t="inlineStr">
        <is>
          <t>3ec6a665-e594-4a4a-9057-30cc087785fb.jpg</t>
        </is>
      </c>
      <c r="B8132">
        <f>HYPERLINK("Объекты недвижимости, не соответствующие градостроительным нормам_00-022_Август/3ec6a665-e594-4a4a-9057-30cc087785fb.jpg","open")</f>
        <v/>
      </c>
      <c r="C8132" t="inlineStr">
        <is>
          <t>4cd87d14-7440-44b7-a5b2-a738e10006f7</t>
        </is>
      </c>
      <c r="D8132" t="n">
        <v>55.74709</v>
      </c>
      <c r="E8132" t="n">
        <v>37.65354</v>
      </c>
      <c r="F8132" t="inlineStr"/>
      <c r="G8132" t="inlineStr"/>
      <c r="H8132" t="inlineStr"/>
    </row>
    <row r="8133">
      <c r="A8133" t="inlineStr">
        <is>
          <t>58a1e758-518f-46b8-8af5-952d34c77dd8.jpg</t>
        </is>
      </c>
      <c r="B8133">
        <f>HYPERLINK("Объекты недвижимости, не соответствующие градостроительным нормам_00-022_Август/58a1e758-518f-46b8-8af5-952d34c77dd8.jpg","open")</f>
        <v/>
      </c>
      <c r="C8133" t="inlineStr">
        <is>
          <t>a1a9db89-3f74-42ef-8fad-ad69705102cd</t>
        </is>
      </c>
      <c r="D8133" t="n">
        <v>55.86242</v>
      </c>
      <c r="E8133" t="n">
        <v>38.86405</v>
      </c>
      <c r="F8133" t="inlineStr"/>
      <c r="G8133" t="inlineStr"/>
      <c r="H8133" t="inlineStr"/>
    </row>
    <row r="8134">
      <c r="A8134" t="inlineStr">
        <is>
          <t>162d0d1c-fca8-47e0-92b0-dd1b2f1165f0.jpg</t>
        </is>
      </c>
      <c r="B8134">
        <f>HYPERLINK("Объекты недвижимости, не соответствующие градостроительным нормам_00-022_Август/162d0d1c-fca8-47e0-92b0-dd1b2f1165f0.jpg","open")</f>
        <v/>
      </c>
      <c r="C8134" t="inlineStr">
        <is>
          <t>cbf95b01-f708-45a3-9ec0-3603469b538e</t>
        </is>
      </c>
      <c r="D8134" t="n">
        <v>55.86242</v>
      </c>
      <c r="E8134" t="n">
        <v>38.86405</v>
      </c>
      <c r="F8134" t="inlineStr"/>
      <c r="G8134" t="inlineStr"/>
      <c r="H8134" t="inlineStr"/>
    </row>
    <row r="8135">
      <c r="A8135" t="inlineStr">
        <is>
          <t>e0396a6b-16b9-4e39-aaf9-e46ff1b2c5c5.jpg</t>
        </is>
      </c>
      <c r="B8135">
        <f>HYPERLINK("Объекты недвижимости, не соответствующие градостроительным нормам_00-022_Август/e0396a6b-16b9-4e39-aaf9-e46ff1b2c5c5.jpg","open")</f>
        <v/>
      </c>
      <c r="C8135" t="inlineStr">
        <is>
          <t>18a5c468-d9e6-4814-8477-1caf4a2e1fe9</t>
        </is>
      </c>
      <c r="D8135" t="n">
        <v>55.75885</v>
      </c>
      <c r="E8135" t="n">
        <v>37.55925</v>
      </c>
      <c r="F8135" t="inlineStr"/>
      <c r="G8135" t="inlineStr"/>
      <c r="H8135" t="inlineStr"/>
    </row>
    <row r="8136">
      <c r="A8136" t="inlineStr">
        <is>
          <t>150a8fbf-9a61-4d6b-9e6b-cbd9a3ce183e.jpg</t>
        </is>
      </c>
      <c r="B8136">
        <f>HYPERLINK("Объекты недвижимости, не соответствующие градостроительным нормам_00-022_Август/150a8fbf-9a61-4d6b-9e6b-cbd9a3ce183e.jpg","open")</f>
        <v/>
      </c>
      <c r="C8136" t="inlineStr">
        <is>
          <t>cbf95b01-f708-45a3-9ec0-3603469b538e</t>
        </is>
      </c>
      <c r="D8136" t="n">
        <v>55.86242</v>
      </c>
      <c r="E8136" t="n">
        <v>38.86405</v>
      </c>
      <c r="F8136" t="inlineStr"/>
      <c r="G8136" t="inlineStr"/>
      <c r="H8136" t="inlineStr"/>
    </row>
    <row r="8137">
      <c r="A8137" t="inlineStr">
        <is>
          <t>e761a263-6ef2-48ea-90cc-045eea678e51.jpg</t>
        </is>
      </c>
      <c r="B8137">
        <f>HYPERLINK("Объекты недвижимости, не соответствующие градостроительным нормам_00-022_Август/e761a263-6ef2-48ea-90cc-045eea678e51.jpg","open")</f>
        <v/>
      </c>
      <c r="C8137" t="inlineStr">
        <is>
          <t>cbf95b01-f708-45a3-9ec0-3603469b538e</t>
        </is>
      </c>
      <c r="D8137" t="n">
        <v>55.7227</v>
      </c>
      <c r="E8137" t="n">
        <v>37.58524</v>
      </c>
      <c r="F8137" t="inlineStr"/>
      <c r="G8137" t="inlineStr"/>
      <c r="H8137" t="inlineStr"/>
    </row>
    <row r="8138">
      <c r="A8138" t="inlineStr">
        <is>
          <t>08e58762-b11f-4ecc-af4c-dd67dee3fb93.jpg</t>
        </is>
      </c>
      <c r="B8138">
        <f>HYPERLINK("Объекты недвижимости, не соответствующие градостроительным нормам_00-022_Август/08e58762-b11f-4ecc-af4c-dd67dee3fb93.jpg","open")</f>
        <v/>
      </c>
      <c r="C8138" t="inlineStr">
        <is>
          <t>685d9054-b74f-49ab-857b-109fd2cec80d</t>
        </is>
      </c>
      <c r="D8138" t="n">
        <v>55.62051</v>
      </c>
      <c r="E8138" t="n">
        <v>37.48965</v>
      </c>
      <c r="F8138" t="inlineStr"/>
      <c r="G8138" t="inlineStr"/>
      <c r="H8138" t="inlineStr"/>
    </row>
    <row r="8139">
      <c r="A8139" t="inlineStr">
        <is>
          <t>0ac12225-23e9-45f2-a232-0d41b08b35de.jpg</t>
        </is>
      </c>
      <c r="B8139">
        <f>HYPERLINK("Объекты недвижимости, не соответствующие градостроительным нормам_00-022_Август/0ac12225-23e9-45f2-a232-0d41b08b35de.jpg","open")</f>
        <v/>
      </c>
      <c r="C8139" t="inlineStr">
        <is>
          <t>cbf95b01-f708-45a3-9ec0-3603469b538e</t>
        </is>
      </c>
      <c r="D8139" t="n">
        <v>55.68686</v>
      </c>
      <c r="E8139" t="n">
        <v>37.62677</v>
      </c>
      <c r="F8139" t="inlineStr"/>
      <c r="G8139" t="inlineStr"/>
      <c r="H8139" t="inlineStr"/>
    </row>
    <row r="8140">
      <c r="A8140" t="inlineStr">
        <is>
          <t>3fe1da3e-bdeb-4ee0-8122-433d262ab9e5.jpg</t>
        </is>
      </c>
      <c r="B8140">
        <f>HYPERLINK("Объекты недвижимости, не соответствующие градостроительным нормам_00-022_Август/3fe1da3e-bdeb-4ee0-8122-433d262ab9e5.jpg","open")</f>
        <v/>
      </c>
      <c r="C8140" t="inlineStr">
        <is>
          <t>685d9054-b74f-49ab-857b-109fd2cec80d</t>
        </is>
      </c>
      <c r="D8140" t="n">
        <v>55.62031</v>
      </c>
      <c r="E8140" t="n">
        <v>37.4893</v>
      </c>
      <c r="F8140" t="inlineStr"/>
      <c r="G8140" t="inlineStr"/>
      <c r="H8140" t="inlineStr"/>
    </row>
    <row r="8141">
      <c r="A8141" t="inlineStr">
        <is>
          <t>662a4151-1bb9-4323-b11c-e78aecdd7db1.jpg</t>
        </is>
      </c>
      <c r="B8141">
        <f>HYPERLINK("Объекты недвижимости, не соответствующие градостроительным нормам_00-022_Август/662a4151-1bb9-4323-b11c-e78aecdd7db1.jpg","open")</f>
        <v/>
      </c>
      <c r="C8141" t="inlineStr">
        <is>
          <t>cbf95b01-f708-45a3-9ec0-3603469b538e</t>
        </is>
      </c>
      <c r="D8141" t="n">
        <v>55.71248</v>
      </c>
      <c r="E8141" t="n">
        <v>37.49392</v>
      </c>
      <c r="F8141" t="inlineStr"/>
      <c r="G8141" t="inlineStr"/>
      <c r="H8141" t="inlineStr"/>
    </row>
    <row r="8142">
      <c r="A8142" t="inlineStr">
        <is>
          <t>d32ec11b-8dbf-48d1-a00c-7fc424f6abbe.jpg</t>
        </is>
      </c>
      <c r="B8142">
        <f>HYPERLINK("Объекты недвижимости, не соответствующие градостроительным нормам_00-022_Август/d32ec11b-8dbf-48d1-a00c-7fc424f6abbe.jpg","open")</f>
        <v/>
      </c>
      <c r="C8142" t="inlineStr">
        <is>
          <t>ad64e6b9-1ed5-44d7-a101-4945a1f9dec6</t>
        </is>
      </c>
      <c r="D8142" t="n">
        <v>55.64595</v>
      </c>
      <c r="E8142" t="n">
        <v>37.53667</v>
      </c>
      <c r="F8142" t="inlineStr"/>
      <c r="G8142" t="inlineStr"/>
      <c r="H8142" t="inlineStr"/>
    </row>
    <row r="8143">
      <c r="A8143" t="inlineStr">
        <is>
          <t>c8e6e4bb-aaae-4692-a71f-a2fcc206ad2a.jpg</t>
        </is>
      </c>
      <c r="B8143">
        <f>HYPERLINK("Объекты недвижимости, не соответствующие градостроительным нормам_00-022_Август/c8e6e4bb-aaae-4692-a71f-a2fcc206ad2a.jpg","open")</f>
        <v/>
      </c>
      <c r="C8143" t="inlineStr">
        <is>
          <t>ed2bf0f1-3a66-4913-896e-4420a9796c0b</t>
        </is>
      </c>
      <c r="D8143" t="n">
        <v>55.64965</v>
      </c>
      <c r="E8143" t="n">
        <v>37.56454</v>
      </c>
      <c r="F8143" t="inlineStr"/>
      <c r="G8143" t="inlineStr"/>
      <c r="H8143" t="inlineStr"/>
    </row>
    <row r="8144">
      <c r="A8144" t="inlineStr">
        <is>
          <t>a3ff7e03-7c03-491a-876d-ff62b03f707a.jpg</t>
        </is>
      </c>
      <c r="B8144">
        <f>HYPERLINK("Объекты недвижимости, не соответствующие градостроительным нормам_00-022_Август/a3ff7e03-7c03-491a-876d-ff62b03f707a.jpg","open")</f>
        <v/>
      </c>
      <c r="C8144" t="inlineStr">
        <is>
          <t>cbf95b01-f708-45a3-9ec0-3603469b538e</t>
        </is>
      </c>
      <c r="D8144" t="n">
        <v>55.70475</v>
      </c>
      <c r="E8144" t="n">
        <v>37.48409</v>
      </c>
      <c r="F8144" t="inlineStr"/>
      <c r="G8144" t="inlineStr"/>
      <c r="H8144" t="inlineStr"/>
    </row>
    <row r="8145">
      <c r="A8145" t="inlineStr">
        <is>
          <t>b80d8656-2baf-4fc7-8e52-af02146795d8.jpg</t>
        </is>
      </c>
      <c r="B8145">
        <f>HYPERLINK("Объекты недвижимости, не соответствующие градостроительным нормам_00-022_Август/b80d8656-2baf-4fc7-8e52-af02146795d8.jpg","open")</f>
        <v/>
      </c>
      <c r="C8145" t="inlineStr">
        <is>
          <t>036c664f-5408-4fd0-b479-342c00468eeb</t>
        </is>
      </c>
      <c r="D8145" t="n">
        <v>55.74329</v>
      </c>
      <c r="E8145" t="n">
        <v>37.41589</v>
      </c>
      <c r="F8145" t="inlineStr"/>
      <c r="G8145" t="inlineStr"/>
      <c r="H8145" t="inlineStr"/>
    </row>
    <row r="8146">
      <c r="A8146" t="inlineStr">
        <is>
          <t>fd5f56a7-be48-41c3-a555-d8bc46165796.jpg</t>
        </is>
      </c>
      <c r="B8146">
        <f>HYPERLINK("Объекты недвижимости, не соответствующие градостроительным нормам_00-022_Август/fd5f56a7-be48-41c3-a555-d8bc46165796.jpg","open")</f>
        <v/>
      </c>
      <c r="C8146" t="inlineStr">
        <is>
          <t>a28f597e-d1cd-4d3b-b572-c86d033412e9</t>
        </is>
      </c>
      <c r="D8146" t="n">
        <v>55.74329</v>
      </c>
      <c r="E8146" t="n">
        <v>37.41588</v>
      </c>
      <c r="F8146" t="inlineStr"/>
      <c r="G8146" t="inlineStr"/>
      <c r="H8146" t="inlineStr"/>
    </row>
    <row r="8147">
      <c r="A8147" t="inlineStr">
        <is>
          <t>1b194ef0-e26b-460b-9c83-ba7833a4bc7e.jpg</t>
        </is>
      </c>
      <c r="B8147">
        <f>HYPERLINK("Объекты недвижимости, не соответствующие градостроительным нормам_00-022_Август/1b194ef0-e26b-460b-9c83-ba7833a4bc7e.jpg","open")</f>
        <v/>
      </c>
      <c r="C8147" t="inlineStr">
        <is>
          <t>685d9054-b74f-49ab-857b-109fd2cec80d</t>
        </is>
      </c>
      <c r="D8147" t="n">
        <v>55.62251</v>
      </c>
      <c r="E8147" t="n">
        <v>37.48886</v>
      </c>
      <c r="F8147" t="inlineStr"/>
      <c r="G8147" t="inlineStr"/>
      <c r="H8147" t="inlineStr"/>
    </row>
    <row r="8148">
      <c r="A8148" t="inlineStr">
        <is>
          <t>60df22ab-a558-4231-81c6-4e5049d5dd4f.jpg</t>
        </is>
      </c>
      <c r="B8148">
        <f>HYPERLINK("Объекты недвижимости, не соответствующие градостроительным нормам_00-022_Август/60df22ab-a558-4231-81c6-4e5049d5dd4f.jpg","open")</f>
        <v/>
      </c>
      <c r="C8148" t="inlineStr">
        <is>
          <t>57aae8a4-582b-4309-8045-c8127a9f86ae</t>
        </is>
      </c>
      <c r="D8148" t="n">
        <v>55.80542</v>
      </c>
      <c r="E8148" t="n">
        <v>37.81844</v>
      </c>
      <c r="F8148" t="inlineStr"/>
      <c r="G8148" t="inlineStr"/>
      <c r="H8148" t="inlineStr"/>
    </row>
    <row r="8149">
      <c r="A8149" t="inlineStr">
        <is>
          <t>5854fbc9-a0ec-4805-aba8-84750b239f31.jpg</t>
        </is>
      </c>
      <c r="B8149">
        <f>HYPERLINK("Объекты недвижимости, не соответствующие градостроительным нормам_00-022_Август/5854fbc9-a0ec-4805-aba8-84750b239f31.jpg","open")</f>
        <v/>
      </c>
      <c r="C8149" t="inlineStr">
        <is>
          <t>cbf95b01-f708-45a3-9ec0-3603469b538e</t>
        </is>
      </c>
      <c r="D8149" t="n">
        <v>55.68987</v>
      </c>
      <c r="E8149" t="n">
        <v>37.44148</v>
      </c>
      <c r="F8149" t="inlineStr"/>
      <c r="G8149" t="inlineStr"/>
      <c r="H8149" t="inlineStr"/>
    </row>
    <row r="8150">
      <c r="A8150" t="inlineStr">
        <is>
          <t>c858132d-4e10-4cb2-a0a3-85e5561f9efb.jpg</t>
        </is>
      </c>
      <c r="B8150">
        <f>HYPERLINK("Объекты недвижимости, не соответствующие градостроительным нормам_00-022_Август/c858132d-4e10-4cb2-a0a3-85e5561f9efb.jpg","open")</f>
        <v/>
      </c>
      <c r="C8150" t="inlineStr">
        <is>
          <t>cbf95b01-f708-45a3-9ec0-3603469b538e</t>
        </is>
      </c>
      <c r="D8150" t="n">
        <v>55.68715</v>
      </c>
      <c r="E8150" t="n">
        <v>37.42705</v>
      </c>
      <c r="F8150" t="inlineStr"/>
      <c r="G8150" t="inlineStr"/>
      <c r="H8150" t="inlineStr"/>
    </row>
    <row r="8151">
      <c r="A8151" t="inlineStr">
        <is>
          <t>84a53d63-d3ee-462c-85b8-87b37153abf3.jpg</t>
        </is>
      </c>
      <c r="B8151">
        <f>HYPERLINK("Объекты недвижимости, не соответствующие градостроительным нормам_00-022_Август/84a53d63-d3ee-462c-85b8-87b37153abf3.jpg","open")</f>
        <v/>
      </c>
      <c r="C8151" t="inlineStr">
        <is>
          <t>cbf95b01-f708-45a3-9ec0-3603469b538e</t>
        </is>
      </c>
      <c r="D8151" t="n">
        <v>55.68794</v>
      </c>
      <c r="E8151" t="n">
        <v>37.43143</v>
      </c>
      <c r="F8151" t="inlineStr"/>
      <c r="G8151" t="inlineStr"/>
      <c r="H8151" t="inlineStr"/>
    </row>
    <row r="8152">
      <c r="A8152" t="inlineStr">
        <is>
          <t>034e2f97-3553-4e69-9720-941a6a274ded.jpg</t>
        </is>
      </c>
      <c r="B8152">
        <f>HYPERLINK("Объекты недвижимости, не соответствующие градостроительным нормам_00-022_Август/034e2f97-3553-4e69-9720-941a6a274ded.jpg","open")</f>
        <v/>
      </c>
      <c r="C8152" t="inlineStr">
        <is>
          <t>e26f5fc2-1353-4f29-85f3-87c56419161c</t>
        </is>
      </c>
      <c r="D8152" t="n">
        <v>55.74709</v>
      </c>
      <c r="E8152" t="n">
        <v>37.65354</v>
      </c>
      <c r="F8152" t="inlineStr"/>
      <c r="G8152" t="inlineStr"/>
      <c r="H8152" t="inlineStr"/>
    </row>
    <row r="8153">
      <c r="A8153" t="inlineStr">
        <is>
          <t>c1482c54-8ecd-44d9-8111-2e033bb00b9e.jpg</t>
        </is>
      </c>
      <c r="B8153">
        <f>HYPERLINK("Объекты недвижимости, не соответствующие градостроительным нормам_00-022_Август/c1482c54-8ecd-44d9-8111-2e033bb00b9e.jpg","open")</f>
        <v/>
      </c>
      <c r="C8153" t="inlineStr">
        <is>
          <t>b23a39fd-838c-435a-bacd-b4d6bb842c62</t>
        </is>
      </c>
      <c r="D8153" t="n">
        <v>55.8432</v>
      </c>
      <c r="E8153" t="n">
        <v>37.49146</v>
      </c>
      <c r="F8153" t="inlineStr"/>
      <c r="G8153" t="inlineStr"/>
      <c r="H8153" t="inlineStr"/>
    </row>
    <row r="8154">
      <c r="A8154" t="inlineStr">
        <is>
          <t>9830c765-0ea7-453c-973d-4c5d2dfbc73a.jpg</t>
        </is>
      </c>
      <c r="B8154">
        <f>HYPERLINK("Объекты недвижимости, не соответствующие градостроительным нормам_00-022_Август/9830c765-0ea7-453c-973d-4c5d2dfbc73a.jpg","open")</f>
        <v/>
      </c>
      <c r="C8154" t="inlineStr">
        <is>
          <t>b0429a31-0c70-4b9f-8ea5-73929d82f89e</t>
        </is>
      </c>
      <c r="D8154" t="n">
        <v>55.74789</v>
      </c>
      <c r="E8154" t="n">
        <v>37.70108</v>
      </c>
      <c r="F8154" t="inlineStr"/>
      <c r="G8154" t="inlineStr"/>
      <c r="H8154" t="inlineStr"/>
    </row>
    <row r="8155">
      <c r="A8155" t="inlineStr">
        <is>
          <t>258caed1-aa9f-4f40-90a1-130506751bfe.jpg</t>
        </is>
      </c>
      <c r="B8155">
        <f>HYPERLINK("Объекты недвижимости, не соответствующие градостроительным нормам_00-022_Август/258caed1-aa9f-4f40-90a1-130506751bfe.jpg","open")</f>
        <v/>
      </c>
      <c r="C8155" t="inlineStr">
        <is>
          <t>1231bbc5-e64c-4dc7-9acc-77710f47607a</t>
        </is>
      </c>
      <c r="D8155" t="n">
        <v>55.62357</v>
      </c>
      <c r="E8155" t="n">
        <v>37.48504</v>
      </c>
      <c r="F8155" t="inlineStr"/>
      <c r="G8155" t="inlineStr"/>
      <c r="H8155" t="inlineStr"/>
    </row>
    <row r="8156">
      <c r="A8156" t="inlineStr">
        <is>
          <t>ad4bed7b-454a-4083-8878-bf70d0ba020c.jpg</t>
        </is>
      </c>
      <c r="B8156">
        <f>HYPERLINK("Объекты недвижимости, не соответствующие градостроительным нормам_00-022_Август/ad4bed7b-454a-4083-8878-bf70d0ba020c.jpg","open")</f>
        <v/>
      </c>
      <c r="C8156" t="inlineStr">
        <is>
          <t>fb9a37cc-57a6-447c-98bb-0b299f09c809</t>
        </is>
      </c>
      <c r="D8156" t="n">
        <v>55.84578</v>
      </c>
      <c r="E8156" t="n">
        <v>37.48947</v>
      </c>
      <c r="F8156" t="inlineStr"/>
      <c r="G8156" t="inlineStr"/>
      <c r="H8156" t="inlineStr"/>
    </row>
    <row r="8157">
      <c r="A8157" t="inlineStr">
        <is>
          <t>546bcfa7-5188-4cfc-b1a5-1fb6a77dad23.jpg</t>
        </is>
      </c>
      <c r="B8157">
        <f>HYPERLINK("Объекты недвижимости, не соответствующие градостроительным нормам_00-022_Август/546bcfa7-5188-4cfc-b1a5-1fb6a77dad23.jpg","open")</f>
        <v/>
      </c>
      <c r="C8157" t="inlineStr">
        <is>
          <t>f20fbc2b-b369-4734-bb66-92af02fbb0d1</t>
        </is>
      </c>
      <c r="D8157" t="n">
        <v>55.70843</v>
      </c>
      <c r="E8157" t="n">
        <v>37.82572</v>
      </c>
      <c r="F8157" t="inlineStr"/>
      <c r="G8157" t="inlineStr"/>
      <c r="H8157" t="inlineStr"/>
    </row>
    <row r="8158">
      <c r="A8158" t="inlineStr">
        <is>
          <t>8a96fa6a-169e-4fd3-b828-27c9306deaaa.jpg</t>
        </is>
      </c>
      <c r="B8158">
        <f>HYPERLINK("Объекты недвижимости, не соответствующие градостроительным нормам_00-022_Август/8a96fa6a-169e-4fd3-b828-27c9306deaaa.jpg","open")</f>
        <v/>
      </c>
      <c r="C8158" t="inlineStr">
        <is>
          <t>b23a39fd-838c-435a-bacd-b4d6bb842c62</t>
        </is>
      </c>
      <c r="D8158" t="n">
        <v>55.84311</v>
      </c>
      <c r="E8158" t="n">
        <v>37.49148</v>
      </c>
      <c r="F8158" t="inlineStr"/>
      <c r="G8158" t="inlineStr"/>
      <c r="H8158" t="inlineStr"/>
    </row>
    <row r="8159">
      <c r="A8159" t="inlineStr">
        <is>
          <t>245c003c-7da7-4a9f-8165-fd3a9b1b2866.jpg</t>
        </is>
      </c>
      <c r="B8159">
        <f>HYPERLINK("Объекты недвижимости, не соответствующие градостроительным нормам_00-022_Август/245c003c-7da7-4a9f-8165-fd3a9b1b2866.jpg","open")</f>
        <v/>
      </c>
      <c r="C8159" t="inlineStr">
        <is>
          <t>fb9a37cc-57a6-447c-98bb-0b299f09c809</t>
        </is>
      </c>
      <c r="D8159" t="n">
        <v>55.84306</v>
      </c>
      <c r="E8159" t="n">
        <v>37.49151</v>
      </c>
      <c r="F8159" t="inlineStr"/>
      <c r="G8159" t="inlineStr"/>
      <c r="H8159" t="inlineStr"/>
    </row>
    <row r="8160">
      <c r="A8160" t="inlineStr">
        <is>
          <t>1cab3f82-fc7a-4a8d-a89b-b135c4d6e8c9.jpg</t>
        </is>
      </c>
      <c r="B8160">
        <f>HYPERLINK("Объекты недвижимости, не соответствующие градостроительным нормам_00-022_Август/1cab3f82-fc7a-4a8d-a89b-b135c4d6e8c9.jpg","open")</f>
        <v/>
      </c>
      <c r="C8160" t="inlineStr">
        <is>
          <t>1231bbc5-e64c-4dc7-9acc-77710f47607a</t>
        </is>
      </c>
      <c r="D8160" t="n">
        <v>55.62211</v>
      </c>
      <c r="E8160" t="n">
        <v>37.48481</v>
      </c>
      <c r="F8160" t="inlineStr"/>
      <c r="G8160" t="inlineStr"/>
      <c r="H8160" t="inlineStr"/>
    </row>
    <row r="8161">
      <c r="A8161" t="inlineStr">
        <is>
          <t>775c7d77-03bc-4d55-b814-28f9db7fb02b.jpg</t>
        </is>
      </c>
      <c r="B8161">
        <f>HYPERLINK("Объекты недвижимости, не соответствующие градостроительным нормам_00-022_Август/775c7d77-03bc-4d55-b814-28f9db7fb02b.jpg","open")</f>
        <v/>
      </c>
      <c r="C8161" t="inlineStr">
        <is>
          <t>1231bbc5-e64c-4dc7-9acc-77710f47607a</t>
        </is>
      </c>
      <c r="D8161" t="n">
        <v>55.62251</v>
      </c>
      <c r="E8161" t="n">
        <v>37.48427</v>
      </c>
      <c r="F8161" t="inlineStr"/>
      <c r="G8161" t="inlineStr"/>
      <c r="H8161" t="inlineStr"/>
    </row>
    <row r="8162">
      <c r="A8162" t="inlineStr">
        <is>
          <t>269c2cb5-81fc-4c2c-8a7a-2362f0e7113b.jpg</t>
        </is>
      </c>
      <c r="B8162">
        <f>HYPERLINK("Объекты недвижимости, не соответствующие градостроительным нормам_00-022_Август/269c2cb5-81fc-4c2c-8a7a-2362f0e7113b.jpg","open")</f>
        <v/>
      </c>
      <c r="C8162" t="inlineStr">
        <is>
          <t>685d9054-b74f-49ab-857b-109fd2cec80d</t>
        </is>
      </c>
      <c r="D8162" t="n">
        <v>55.62243</v>
      </c>
      <c r="E8162" t="n">
        <v>37.48404</v>
      </c>
      <c r="F8162" t="inlineStr"/>
      <c r="G8162" t="inlineStr"/>
      <c r="H8162" t="inlineStr"/>
    </row>
    <row r="8163">
      <c r="A8163" t="inlineStr">
        <is>
          <t>9ba42fc6-90f2-4703-8747-932790a0916b.jpg</t>
        </is>
      </c>
      <c r="B8163">
        <f>HYPERLINK("Объекты недвижимости, не соответствующие градостроительным нормам_00-022_Август/9ba42fc6-90f2-4703-8747-932790a0916b.jpg","open")</f>
        <v/>
      </c>
      <c r="C8163" t="inlineStr">
        <is>
          <t>1a55986c-2c3f-40c0-b3d1-014dce77832e</t>
        </is>
      </c>
      <c r="D8163" t="n">
        <v>55.65463</v>
      </c>
      <c r="E8163" t="n">
        <v>37.59246</v>
      </c>
      <c r="F8163" t="inlineStr"/>
      <c r="G8163" t="inlineStr"/>
      <c r="H8163" t="inlineStr"/>
    </row>
    <row r="8164">
      <c r="A8164" t="inlineStr">
        <is>
          <t>b6d2fffb-66cd-4827-b756-73709a500acd.jpg</t>
        </is>
      </c>
      <c r="B8164">
        <f>HYPERLINK("Объекты недвижимости, не соответствующие градостроительным нормам_00-022_Август/b6d2fffb-66cd-4827-b756-73709a500acd.jpg","open")</f>
        <v/>
      </c>
      <c r="C8164" t="inlineStr">
        <is>
          <t>036c664f-5408-4fd0-b479-342c00468eeb</t>
        </is>
      </c>
      <c r="D8164" t="n">
        <v>55.74029</v>
      </c>
      <c r="E8164" t="n">
        <v>37.41498</v>
      </c>
      <c r="F8164" t="inlineStr"/>
      <c r="G8164" t="inlineStr"/>
      <c r="H8164" t="inlineStr"/>
    </row>
    <row r="8165">
      <c r="A8165" t="inlineStr">
        <is>
          <t>f3ff8210-4df5-4050-8904-8854931372ac.jpg</t>
        </is>
      </c>
      <c r="B8165">
        <f>HYPERLINK("Объекты недвижимости, не соответствующие градостроительным нормам_00-022_Август/f3ff8210-4df5-4050-8904-8854931372ac.jpg","open")</f>
        <v/>
      </c>
      <c r="C8165" t="inlineStr">
        <is>
          <t>036c664f-5408-4fd0-b479-342c00468eeb</t>
        </is>
      </c>
      <c r="D8165" t="n">
        <v>55.7397</v>
      </c>
      <c r="E8165" t="n">
        <v>37.41409</v>
      </c>
      <c r="F8165" t="inlineStr"/>
      <c r="G8165" t="inlineStr"/>
      <c r="H8165" t="inlineStr"/>
    </row>
    <row r="8166">
      <c r="A8166" t="inlineStr">
        <is>
          <t>6b47182f-08dc-4a58-82c4-f9223f1c1291.jpg</t>
        </is>
      </c>
      <c r="B8166">
        <f>HYPERLINK("Объекты недвижимости, не соответствующие градостроительным нормам_00-022_Август/6b47182f-08dc-4a58-82c4-f9223f1c1291.jpg","open")</f>
        <v/>
      </c>
      <c r="C8166" t="inlineStr">
        <is>
          <t>7b951050-981e-4ccd-816e-e002f271ab6a</t>
        </is>
      </c>
      <c r="D8166" t="n">
        <v>55.79087</v>
      </c>
      <c r="E8166" t="n">
        <v>37.6825</v>
      </c>
      <c r="F8166" t="inlineStr"/>
      <c r="G8166" t="inlineStr"/>
      <c r="H8166" t="inlineStr"/>
    </row>
    <row r="8167">
      <c r="A8167" t="inlineStr">
        <is>
          <t>d0dd12d8-0bb0-4ac0-9f2d-7a3ab44fa55f.jpg</t>
        </is>
      </c>
      <c r="B8167">
        <f>HYPERLINK("Объекты недвижимости, не соответствующие градостроительным нормам_00-022_Август/d0dd12d8-0bb0-4ac0-9f2d-7a3ab44fa55f.jpg","open")</f>
        <v/>
      </c>
      <c r="C8167" t="inlineStr">
        <is>
          <t>0dd30d74-4dbc-46a8-b638-91e1431bb398</t>
        </is>
      </c>
      <c r="D8167" t="n">
        <v>55.87667</v>
      </c>
      <c r="E8167" t="n">
        <v>37.59016</v>
      </c>
      <c r="F8167" t="inlineStr"/>
      <c r="G8167" t="inlineStr"/>
      <c r="H8167" t="inlineStr"/>
    </row>
    <row r="8168">
      <c r="A8168" t="inlineStr">
        <is>
          <t>4dbc4836-a3f7-4aca-b39b-36d97eec81b9.jpg</t>
        </is>
      </c>
      <c r="B8168">
        <f>HYPERLINK("Объекты недвижимости, не соответствующие градостроительным нормам_00-022_Август/4dbc4836-a3f7-4aca-b39b-36d97eec81b9.jpg","open")</f>
        <v/>
      </c>
      <c r="C8168" t="inlineStr">
        <is>
          <t>caa4772d-6278-4484-a046-ee25514bf521</t>
        </is>
      </c>
      <c r="D8168" t="n">
        <v>55.72626</v>
      </c>
      <c r="E8168" t="n">
        <v>37.4249</v>
      </c>
      <c r="F8168" t="inlineStr"/>
      <c r="G8168" t="inlineStr"/>
      <c r="H8168" t="inlineStr"/>
    </row>
    <row r="8169">
      <c r="A8169" t="inlineStr">
        <is>
          <t>df98e064-6cf7-46c7-8e1e-b52a9a6fdd1e.jpg</t>
        </is>
      </c>
      <c r="B8169">
        <f>HYPERLINK("Объекты недвижимости, не соответствующие градостроительным нормам_00-022_Август/df98e064-6cf7-46c7-8e1e-b52a9a6fdd1e.jpg","open")</f>
        <v/>
      </c>
      <c r="C8169" t="inlineStr">
        <is>
          <t>93848fc8-17e7-4748-9ebc-c7e379e11d2f</t>
        </is>
      </c>
      <c r="D8169" t="n">
        <v>55.87661</v>
      </c>
      <c r="E8169" t="n">
        <v>37.59016</v>
      </c>
      <c r="F8169" t="inlineStr"/>
      <c r="G8169" t="inlineStr"/>
      <c r="H8169" t="inlineStr"/>
    </row>
    <row r="8170">
      <c r="A8170" t="inlineStr">
        <is>
          <t>35092834-2536-4413-abf4-45306bb6600b.jpg</t>
        </is>
      </c>
      <c r="B8170">
        <f>HYPERLINK("Объекты недвижимости, не соответствующие градостроительным нормам_00-022_Август/35092834-2536-4413-abf4-45306bb6600b.jpg","open")</f>
        <v/>
      </c>
      <c r="C8170" t="inlineStr">
        <is>
          <t>0dd30d74-4dbc-46a8-b638-91e1431bb398</t>
        </is>
      </c>
      <c r="D8170" t="n">
        <v>55.87661</v>
      </c>
      <c r="E8170" t="n">
        <v>37.59017</v>
      </c>
      <c r="F8170" t="inlineStr"/>
      <c r="G8170" t="inlineStr"/>
      <c r="H8170" t="inlineStr"/>
    </row>
    <row r="8171">
      <c r="A8171" t="inlineStr">
        <is>
          <t>7c768343-a067-4427-8666-e6829ce46974.jpg</t>
        </is>
      </c>
      <c r="B8171">
        <f>HYPERLINK("Объекты недвижимости, не соответствующие градостроительным нормам_00-022_Август/7c768343-a067-4427-8666-e6829ce46974.jpg","open")</f>
        <v/>
      </c>
      <c r="C8171" t="inlineStr">
        <is>
          <t>93848fc8-17e7-4748-9ebc-c7e379e11d2f</t>
        </is>
      </c>
      <c r="D8171" t="n">
        <v>55.87662</v>
      </c>
      <c r="E8171" t="n">
        <v>37.59015</v>
      </c>
      <c r="F8171" t="inlineStr"/>
      <c r="G8171" t="inlineStr"/>
      <c r="H8171" t="inlineStr"/>
    </row>
    <row r="8172">
      <c r="A8172" t="inlineStr">
        <is>
          <t>08ca96e1-a412-4f01-81e3-aa6692d7f44b.jpg</t>
        </is>
      </c>
      <c r="B8172">
        <f>HYPERLINK("Объекты недвижимости, не соответствующие градостроительным нормам_00-022_Август/08ca96e1-a412-4f01-81e3-aa6692d7f44b.jpg","open")</f>
        <v/>
      </c>
      <c r="C8172" t="inlineStr">
        <is>
          <t>0dd30d74-4dbc-46a8-b638-91e1431bb398</t>
        </is>
      </c>
      <c r="D8172" t="n">
        <v>55.87683</v>
      </c>
      <c r="E8172" t="n">
        <v>37.5895</v>
      </c>
      <c r="F8172" t="inlineStr"/>
      <c r="G8172" t="inlineStr"/>
      <c r="H8172" t="inlineStr"/>
    </row>
    <row r="8173">
      <c r="A8173" t="inlineStr">
        <is>
          <t>58fa7ef1-6ec0-4cfb-8b0d-1023aa300d43.jpg</t>
        </is>
      </c>
      <c r="B8173">
        <f>HYPERLINK("Объекты недвижимости, не соответствующие градостроительным нормам_00-022_Август/58fa7ef1-6ec0-4cfb-8b0d-1023aa300d43.jpg","open")</f>
        <v/>
      </c>
      <c r="C8173" t="inlineStr">
        <is>
          <t>7b951050-981e-4ccd-816e-e002f271ab6a</t>
        </is>
      </c>
      <c r="D8173" t="n">
        <v>55.79089</v>
      </c>
      <c r="E8173" t="n">
        <v>37.68249</v>
      </c>
      <c r="F8173" t="inlineStr"/>
      <c r="G8173" t="inlineStr"/>
      <c r="H8173" t="inlineStr"/>
    </row>
    <row r="8174">
      <c r="A8174" t="inlineStr">
        <is>
          <t>41f59024-60ae-4c94-8f39-2a063da4315a.jpg</t>
        </is>
      </c>
      <c r="B8174">
        <f>HYPERLINK("Объекты недвижимости, не соответствующие градостроительным нормам_00-022_Август/41f59024-60ae-4c94-8f39-2a063da4315a.jpg","open")</f>
        <v/>
      </c>
      <c r="C8174" t="inlineStr">
        <is>
          <t>7b951050-981e-4ccd-816e-e002f271ab6a</t>
        </is>
      </c>
      <c r="D8174" t="n">
        <v>55.7909</v>
      </c>
      <c r="E8174" t="n">
        <v>37.68249</v>
      </c>
      <c r="F8174" t="inlineStr"/>
      <c r="G8174" t="inlineStr"/>
      <c r="H8174" t="inlineStr"/>
    </row>
    <row r="8175">
      <c r="A8175" t="inlineStr">
        <is>
          <t>f4f68b08-a2f3-4148-b14c-6bfb059f321c.jpg</t>
        </is>
      </c>
      <c r="B8175">
        <f>HYPERLINK("Объекты недвижимости, не соответствующие градостроительным нормам_00-022_Август/f4f68b08-a2f3-4148-b14c-6bfb059f321c.jpg","open")</f>
        <v/>
      </c>
      <c r="C8175" t="inlineStr">
        <is>
          <t>7b951050-981e-4ccd-816e-e002f271ab6a</t>
        </is>
      </c>
      <c r="D8175" t="n">
        <v>55.79087</v>
      </c>
      <c r="E8175" t="n">
        <v>37.68252</v>
      </c>
      <c r="F8175" t="inlineStr"/>
      <c r="G8175" t="inlineStr"/>
      <c r="H8175" t="inlineStr"/>
    </row>
    <row r="8176">
      <c r="A8176" t="inlineStr">
        <is>
          <t>de1c8479-b981-4b41-a135-19771cabb1b9.jpg</t>
        </is>
      </c>
      <c r="B8176">
        <f>HYPERLINK("Объекты недвижимости, не соответствующие градостроительным нормам_00-022_Август/de1c8479-b981-4b41-a135-19771cabb1b9.jpg","open")</f>
        <v/>
      </c>
      <c r="C8176" t="inlineStr">
        <is>
          <t>7b951050-981e-4ccd-816e-e002f271ab6a</t>
        </is>
      </c>
      <c r="D8176" t="n">
        <v>55.79092</v>
      </c>
      <c r="E8176" t="n">
        <v>37.6825</v>
      </c>
      <c r="F8176" t="inlineStr"/>
      <c r="G8176" t="inlineStr"/>
      <c r="H8176" t="inlineStr"/>
    </row>
    <row r="8177">
      <c r="A8177" t="inlineStr">
        <is>
          <t>829249f7-f460-45ce-aaaf-74d58e445776.jpg</t>
        </is>
      </c>
      <c r="B8177">
        <f>HYPERLINK("Объекты недвижимости, не соответствующие градостроительным нормам_00-022_Август/829249f7-f460-45ce-aaaf-74d58e445776.jpg","open")</f>
        <v/>
      </c>
      <c r="C8177" t="inlineStr">
        <is>
          <t>7b951050-981e-4ccd-816e-e002f271ab6a</t>
        </is>
      </c>
      <c r="D8177" t="n">
        <v>55.79093</v>
      </c>
      <c r="E8177" t="n">
        <v>37.68249</v>
      </c>
      <c r="F8177" t="inlineStr"/>
      <c r="G8177" t="inlineStr"/>
      <c r="H8177" t="inlineStr"/>
    </row>
    <row r="8178">
      <c r="A8178" t="inlineStr">
        <is>
          <t>9cec8b21-ff06-482e-a7a7-ae9a4bada887.jpg</t>
        </is>
      </c>
      <c r="B8178">
        <f>HYPERLINK("Объекты недвижимости, не соответствующие градостроительным нормам_00-022_Август/9cec8b21-ff06-482e-a7a7-ae9a4bada887.jpg","open")</f>
        <v/>
      </c>
      <c r="C8178" t="inlineStr">
        <is>
          <t>ad64e6b9-1ed5-44d7-a101-4945a1f9dec6</t>
        </is>
      </c>
      <c r="D8178" t="n">
        <v>55.64001</v>
      </c>
      <c r="E8178" t="n">
        <v>37.54214</v>
      </c>
      <c r="F8178" t="inlineStr"/>
      <c r="G8178" t="inlineStr"/>
      <c r="H8178" t="inlineStr"/>
    </row>
    <row r="8179">
      <c r="A8179" t="inlineStr">
        <is>
          <t>9b4c3c80-51b2-4479-99ea-b865df8dd2fb.jpg</t>
        </is>
      </c>
      <c r="B8179">
        <f>HYPERLINK("Объекты недвижимости, не соответствующие градостроительным нормам_00-022_Август/9b4c3c80-51b2-4479-99ea-b865df8dd2fb.jpg","open")</f>
        <v/>
      </c>
      <c r="C8179" t="inlineStr">
        <is>
          <t>fb40ed24-21ef-458a-a239-038ab19932cc</t>
        </is>
      </c>
      <c r="D8179" t="n">
        <v>55.78271</v>
      </c>
      <c r="E8179" t="n">
        <v>37.731</v>
      </c>
      <c r="F8179" t="inlineStr"/>
      <c r="G8179" t="inlineStr"/>
      <c r="H8179" t="inlineStr"/>
    </row>
    <row r="8180">
      <c r="A8180" t="inlineStr">
        <is>
          <t>2fd66d68-3b0e-4e64-b7f7-8095bbe62d93.jpg</t>
        </is>
      </c>
      <c r="B8180">
        <f>HYPERLINK("Объекты недвижимости, не соответствующие градостроительным нормам_00-022_Август/2fd66d68-3b0e-4e64-b7f7-8095bbe62d93.jpg","open")</f>
        <v/>
      </c>
      <c r="C8180" t="inlineStr">
        <is>
          <t>1a55986c-2c3f-40c0-b3d1-014dce77832e</t>
        </is>
      </c>
      <c r="D8180" t="n">
        <v>55.66412</v>
      </c>
      <c r="E8180" t="n">
        <v>37.592</v>
      </c>
      <c r="F8180" t="inlineStr"/>
      <c r="G8180" t="inlineStr"/>
      <c r="H8180" t="inlineStr"/>
    </row>
    <row r="8181">
      <c r="A8181" t="inlineStr">
        <is>
          <t>65fbbded-d12e-4501-9cf2-217242ac847b.jpg</t>
        </is>
      </c>
      <c r="B8181">
        <f>HYPERLINK("Объекты недвижимости, не соответствующие градостроительным нормам_00-022_Август/65fbbded-d12e-4501-9cf2-217242ac847b.jpg","open")</f>
        <v/>
      </c>
      <c r="C8181" t="inlineStr">
        <is>
          <t>ed2bf0f1-3a66-4913-896e-4420a9796c0b</t>
        </is>
      </c>
      <c r="D8181" t="n">
        <v>55.66412</v>
      </c>
      <c r="E8181" t="n">
        <v>37.592</v>
      </c>
      <c r="F8181" t="inlineStr"/>
      <c r="G8181" t="inlineStr"/>
      <c r="H8181" t="inlineStr"/>
    </row>
    <row r="8182">
      <c r="A8182" t="inlineStr">
        <is>
          <t>d9e8b855-dba9-4818-bff1-7e5706b5bde5.jpg</t>
        </is>
      </c>
      <c r="B8182">
        <f>HYPERLINK("Объекты недвижимости, не соответствующие градостроительным нормам_00-022_Август/d9e8b855-dba9-4818-bff1-7e5706b5bde5.jpg","open")</f>
        <v/>
      </c>
      <c r="C8182" t="inlineStr">
        <is>
          <t>7b951050-981e-4ccd-816e-e002f271ab6a</t>
        </is>
      </c>
      <c r="D8182" t="n">
        <v>55.79093</v>
      </c>
      <c r="E8182" t="n">
        <v>37.6825</v>
      </c>
      <c r="F8182" t="inlineStr"/>
      <c r="G8182" t="inlineStr"/>
      <c r="H8182" t="inlineStr"/>
    </row>
    <row r="8183">
      <c r="A8183" t="inlineStr">
        <is>
          <t>cd418cfc-2748-44a6-9932-d9b03ca0db9a.jpg</t>
        </is>
      </c>
      <c r="B8183">
        <f>HYPERLINK("Объекты недвижимости, не соответствующие градостроительным нормам_00-022_Август/cd418cfc-2748-44a6-9932-d9b03ca0db9a.jpg","open")</f>
        <v/>
      </c>
      <c r="C8183" t="inlineStr">
        <is>
          <t>caa4772d-6278-4484-a046-ee25514bf521</t>
        </is>
      </c>
      <c r="D8183" t="n">
        <v>55.72626</v>
      </c>
      <c r="E8183" t="n">
        <v>37.44397</v>
      </c>
      <c r="F8183" t="inlineStr"/>
      <c r="G8183" t="inlineStr"/>
      <c r="H8183" t="inlineStr"/>
    </row>
    <row r="8184">
      <c r="A8184" t="inlineStr">
        <is>
          <t>7290c7a4-3d54-41c5-8281-856bbc9aaf65.jpg</t>
        </is>
      </c>
      <c r="B8184">
        <f>HYPERLINK("Объекты недвижимости, не соответствующие градостроительным нормам_00-022_Август/7290c7a4-3d54-41c5-8281-856bbc9aaf65.jpg","open")</f>
        <v/>
      </c>
      <c r="C8184" t="inlineStr">
        <is>
          <t>93848fc8-17e7-4748-9ebc-c7e379e11d2f</t>
        </is>
      </c>
      <c r="D8184" t="n">
        <v>55.87994</v>
      </c>
      <c r="E8184" t="n">
        <v>37.59631</v>
      </c>
      <c r="F8184" t="inlineStr"/>
      <c r="G8184" t="inlineStr"/>
      <c r="H8184" t="inlineStr"/>
    </row>
    <row r="8185">
      <c r="A8185" t="inlineStr">
        <is>
          <t>911db210-ac47-4ab4-b943-50059eb5444c.jpg</t>
        </is>
      </c>
      <c r="B8185">
        <f>HYPERLINK("Объекты недвижимости, не соответствующие градостроительным нормам_00-022_Август/911db210-ac47-4ab4-b943-50059eb5444c.jpg","open")</f>
        <v/>
      </c>
      <c r="C8185" t="inlineStr">
        <is>
          <t>1a55986c-2c3f-40c0-b3d1-014dce77832e</t>
        </is>
      </c>
      <c r="D8185" t="n">
        <v>55.66214</v>
      </c>
      <c r="E8185" t="n">
        <v>37.59048</v>
      </c>
      <c r="F8185" t="inlineStr"/>
      <c r="G8185" t="inlineStr"/>
      <c r="H8185" t="inlineStr"/>
    </row>
    <row r="8186">
      <c r="A8186" t="inlineStr">
        <is>
          <t>8dd5cd02-6e15-452e-a652-152af7bf26e0.jpg</t>
        </is>
      </c>
      <c r="B8186">
        <f>HYPERLINK("Объекты недвижимости, не соответствующие градостроительным нормам_00-022_Август/8dd5cd02-6e15-452e-a652-152af7bf26e0.jpg","open")</f>
        <v/>
      </c>
      <c r="C8186" t="inlineStr">
        <is>
          <t>12e795ad-2aa7-49de-b2da-2c6aa35a4559</t>
        </is>
      </c>
      <c r="D8186" t="n">
        <v>55.64205</v>
      </c>
      <c r="E8186" t="n">
        <v>37.54079</v>
      </c>
      <c r="F8186" t="inlineStr"/>
      <c r="G8186" t="inlineStr"/>
      <c r="H8186" t="inlineStr"/>
    </row>
    <row r="8187">
      <c r="A8187" t="inlineStr">
        <is>
          <t>6d9087de-7e30-472d-af9e-0734cc03f568.jpg</t>
        </is>
      </c>
      <c r="B8187">
        <f>HYPERLINK("Объекты недвижимости, не соответствующие градостроительным нормам_00-022_Август/6d9087de-7e30-472d-af9e-0734cc03f568.jpg","open")</f>
        <v/>
      </c>
      <c r="C8187" t="inlineStr">
        <is>
          <t>dd48f742-b338-42e2-bbaf-b3a9701b437c</t>
        </is>
      </c>
      <c r="D8187" t="n">
        <v>55.77751</v>
      </c>
      <c r="E8187" t="n">
        <v>37.53457</v>
      </c>
      <c r="F8187" t="inlineStr"/>
      <c r="G8187" t="inlineStr"/>
      <c r="H8187" t="inlineStr"/>
    </row>
    <row r="8188">
      <c r="A8188" t="inlineStr">
        <is>
          <t>b6163d81-c2e1-4252-aeef-94001654b1e2.jpg</t>
        </is>
      </c>
      <c r="B8188">
        <f>HYPERLINK("Объекты недвижимости, не соответствующие градостроительным нормам_00-022_Август/b6163d81-c2e1-4252-aeef-94001654b1e2.jpg","open")</f>
        <v/>
      </c>
      <c r="C8188" t="inlineStr">
        <is>
          <t>dd48f742-b338-42e2-bbaf-b3a9701b437c</t>
        </is>
      </c>
      <c r="D8188" t="n">
        <v>55.77751</v>
      </c>
      <c r="E8188" t="n">
        <v>37.53457</v>
      </c>
      <c r="F8188" t="inlineStr"/>
      <c r="G8188" t="inlineStr"/>
      <c r="H8188" t="inlineStr"/>
    </row>
    <row r="8189">
      <c r="A8189" t="inlineStr">
        <is>
          <t>46953f9b-9a64-496a-866d-b04b80ac7260.jpg</t>
        </is>
      </c>
      <c r="B8189">
        <f>HYPERLINK("Объекты недвижимости, не соответствующие градостроительным нормам_00-022_Август/46953f9b-9a64-496a-866d-b04b80ac7260.jpg","open")</f>
        <v/>
      </c>
      <c r="C8189" t="inlineStr">
        <is>
          <t>9c930d0e-e445-452d-a046-325646b21ab7</t>
        </is>
      </c>
      <c r="D8189" t="n">
        <v>55.77751</v>
      </c>
      <c r="E8189" t="n">
        <v>37.53457</v>
      </c>
      <c r="F8189" t="inlineStr"/>
      <c r="G8189" t="inlineStr"/>
      <c r="H8189" t="inlineStr"/>
    </row>
    <row r="8190">
      <c r="A8190" t="inlineStr">
        <is>
          <t>e7608e4b-3c51-4357-b53a-479cb5142a88.jpg</t>
        </is>
      </c>
      <c r="B8190">
        <f>HYPERLINK("Объекты недвижимости, не соответствующие градостроительным нормам_00-022_Август/e7608e4b-3c51-4357-b53a-479cb5142a88.jpg","open")</f>
        <v/>
      </c>
      <c r="C8190" t="inlineStr">
        <is>
          <t>ffd931da-542f-43e9-979f-5552b17fe3dc</t>
        </is>
      </c>
      <c r="D8190" t="n">
        <v>55.78696</v>
      </c>
      <c r="E8190" t="n">
        <v>37.7397</v>
      </c>
      <c r="F8190" t="inlineStr"/>
      <c r="G8190" t="inlineStr"/>
      <c r="H8190" t="inlineStr"/>
    </row>
    <row r="8191">
      <c r="A8191" t="inlineStr">
        <is>
          <t>60c5c4ad-5f0c-44c7-b689-93b533c4b65d.jpg</t>
        </is>
      </c>
      <c r="B8191">
        <f>HYPERLINK("Объекты недвижимости, не соответствующие градостроительным нормам_00-022_Август/60c5c4ad-5f0c-44c7-b689-93b533c4b65d.jpg","open")</f>
        <v/>
      </c>
      <c r="C8191" t="inlineStr">
        <is>
          <t>caa4772d-6278-4484-a046-ee25514bf521</t>
        </is>
      </c>
      <c r="D8191" t="n">
        <v>55.72092</v>
      </c>
      <c r="E8191" t="n">
        <v>37.40123</v>
      </c>
      <c r="F8191" t="inlineStr"/>
      <c r="G8191" t="inlineStr"/>
      <c r="H8191" t="inlineStr"/>
    </row>
    <row r="8192">
      <c r="A8192" t="inlineStr">
        <is>
          <t>2005a2d0-fbe6-41b9-9ec4-c6738e41a37b.jpg</t>
        </is>
      </c>
      <c r="B8192">
        <f>HYPERLINK("Объекты недвижимости, не соответствующие градостроительным нормам_00-022_Август/2005a2d0-fbe6-41b9-9ec4-c6738e41a37b.jpg","open")</f>
        <v/>
      </c>
      <c r="C8192" t="inlineStr">
        <is>
          <t>b23a39fd-838c-435a-bacd-b4d6bb842c62</t>
        </is>
      </c>
      <c r="D8192" t="n">
        <v>55.84318</v>
      </c>
      <c r="E8192" t="n">
        <v>37.49149</v>
      </c>
      <c r="F8192" t="inlineStr"/>
      <c r="G8192" t="inlineStr"/>
      <c r="H8192" t="inlineStr"/>
    </row>
    <row r="8193">
      <c r="A8193" t="inlineStr">
        <is>
          <t>eaf1edc3-0417-47a1-b2e6-b3cab0d7dc99.jpg</t>
        </is>
      </c>
      <c r="B8193">
        <f>HYPERLINK("Объекты недвижимости, не соответствующие градостроительным нормам_00-022_Август/eaf1edc3-0417-47a1-b2e6-b3cab0d7dc99.jpg","open")</f>
        <v/>
      </c>
      <c r="C8193" t="inlineStr">
        <is>
          <t>7b951050-981e-4ccd-816e-e002f271ab6a</t>
        </is>
      </c>
      <c r="D8193" t="n">
        <v>55.78907</v>
      </c>
      <c r="E8193" t="n">
        <v>37.71662</v>
      </c>
      <c r="F8193" t="inlineStr"/>
      <c r="G8193" t="inlineStr"/>
      <c r="H8193" t="inlineStr"/>
    </row>
    <row r="8194">
      <c r="A8194" t="inlineStr">
        <is>
          <t>ffe95129-9f4b-490f-b33b-3b81879d465d.jpg</t>
        </is>
      </c>
      <c r="B8194">
        <f>HYPERLINK("Объекты недвижимости, не соответствующие градостроительным нормам_00-022_Август/ffe95129-9f4b-490f-b33b-3b81879d465d.jpg","open")</f>
        <v/>
      </c>
      <c r="C8194" t="inlineStr">
        <is>
          <t>fb9a37cc-57a6-447c-98bb-0b299f09c809</t>
        </is>
      </c>
      <c r="D8194" t="n">
        <v>55.84314</v>
      </c>
      <c r="E8194" t="n">
        <v>37.49151</v>
      </c>
      <c r="F8194" t="inlineStr"/>
      <c r="G8194" t="inlineStr"/>
      <c r="H8194" t="inlineStr"/>
    </row>
    <row r="8195">
      <c r="A8195" t="inlineStr">
        <is>
          <t>7dec64ee-05e6-4cca-8f9d-4a0e75788fd1.jpg</t>
        </is>
      </c>
      <c r="B8195">
        <f>HYPERLINK("Объекты недвижимости, не соответствующие градостроительным нормам_00-022_Август/7dec64ee-05e6-4cca-8f9d-4a0e75788fd1.jpg","open")</f>
        <v/>
      </c>
      <c r="C8195" t="inlineStr">
        <is>
          <t>caa4772d-6278-4484-a046-ee25514bf521</t>
        </is>
      </c>
      <c r="D8195" t="n">
        <v>55.72225</v>
      </c>
      <c r="E8195" t="n">
        <v>37.40665</v>
      </c>
      <c r="F8195" t="inlineStr"/>
      <c r="G8195" t="inlineStr"/>
      <c r="H8195" t="inlineStr"/>
    </row>
    <row r="8196">
      <c r="A8196" t="inlineStr">
        <is>
          <t>a8a11d05-8c9b-4a5e-bf3e-1804fd376c80.jpg</t>
        </is>
      </c>
      <c r="B8196">
        <f>HYPERLINK("Объекты недвижимости, не соответствующие градостроительным нормам_00-022_Август/a8a11d05-8c9b-4a5e-bf3e-1804fd376c80.jpg","open")</f>
        <v/>
      </c>
      <c r="C8196" t="inlineStr">
        <is>
          <t>57aae8a4-582b-4309-8045-c8127a9f86ae</t>
        </is>
      </c>
      <c r="D8196" t="n">
        <v>55.80655</v>
      </c>
      <c r="E8196" t="n">
        <v>37.82885</v>
      </c>
      <c r="F8196" t="inlineStr"/>
      <c r="G8196" t="inlineStr"/>
      <c r="H8196" t="inlineStr"/>
    </row>
    <row r="8197">
      <c r="A8197" t="inlineStr">
        <is>
          <t>2c1d309d-2fd2-4d3c-89c2-e7ad74af5a0b.jpg</t>
        </is>
      </c>
      <c r="B8197">
        <f>HYPERLINK("Объекты недвижимости, не соответствующие градостроительным нормам_00-022_Август/2c1d309d-2fd2-4d3c-89c2-e7ad74af5a0b.jpg","open")</f>
        <v/>
      </c>
      <c r="C8197" t="inlineStr">
        <is>
          <t>dd48f742-b338-42e2-bbaf-b3a9701b437c</t>
        </is>
      </c>
      <c r="D8197" t="n">
        <v>55.84482</v>
      </c>
      <c r="E8197" t="n">
        <v>37.66993</v>
      </c>
      <c r="F8197" t="inlineStr"/>
      <c r="G8197" t="inlineStr"/>
      <c r="H8197" t="inlineStr"/>
    </row>
    <row r="8198">
      <c r="A8198" t="inlineStr">
        <is>
          <t>2c29cffa-143e-45b4-b62c-32a433293d5f.jpg</t>
        </is>
      </c>
      <c r="B8198">
        <f>HYPERLINK("Объекты недвижимости, не соответствующие градостроительным нормам_00-022_Август/2c29cffa-143e-45b4-b62c-32a433293d5f.jpg","open")</f>
        <v/>
      </c>
      <c r="C8198" t="inlineStr">
        <is>
          <t>fb9a37cc-57a6-447c-98bb-0b299f09c809</t>
        </is>
      </c>
      <c r="D8198" t="n">
        <v>55.83934</v>
      </c>
      <c r="E8198" t="n">
        <v>37.48392</v>
      </c>
      <c r="F8198" t="inlineStr"/>
      <c r="G8198" t="inlineStr"/>
      <c r="H8198" t="inlineStr"/>
    </row>
    <row r="8199">
      <c r="A8199" t="inlineStr">
        <is>
          <t>1d4866f1-486e-4e28-a730-03b86c12ded1.jpg</t>
        </is>
      </c>
      <c r="B8199">
        <f>HYPERLINK("Объекты недвижимости, не соответствующие градостроительным нормам_00-022_Август/1d4866f1-486e-4e28-a730-03b86c12ded1.jpg","open")</f>
        <v/>
      </c>
      <c r="C8199" t="inlineStr">
        <is>
          <t>8996eb30-6497-4318-8a0e-b95314b8172e</t>
        </is>
      </c>
      <c r="D8199" t="n">
        <v>55.65739</v>
      </c>
      <c r="E8199" t="n">
        <v>37.71394</v>
      </c>
      <c r="F8199" t="inlineStr"/>
      <c r="G8199" t="inlineStr"/>
      <c r="H8199" t="inlineStr"/>
    </row>
    <row r="8200">
      <c r="A8200" t="inlineStr">
        <is>
          <t>7633ec49-bad0-4f57-94aa-4847c35714e4.jpg</t>
        </is>
      </c>
      <c r="B8200">
        <f>HYPERLINK("Объекты недвижимости, не соответствующие градостроительным нормам_00-022_Август/7633ec49-bad0-4f57-94aa-4847c35714e4.jpg","open")</f>
        <v/>
      </c>
      <c r="C8200" t="inlineStr">
        <is>
          <t>57aae8a4-582b-4309-8045-c8127a9f86ae</t>
        </is>
      </c>
      <c r="D8200" t="n">
        <v>55.80741</v>
      </c>
      <c r="E8200" t="n">
        <v>37.82691</v>
      </c>
      <c r="F8200" t="inlineStr"/>
      <c r="G8200" t="inlineStr"/>
      <c r="H8200" t="inlineStr"/>
    </row>
    <row r="8201">
      <c r="A8201" t="inlineStr">
        <is>
          <t>97adc79e-380f-4077-86a5-4859a2bfe263.jpg</t>
        </is>
      </c>
      <c r="B8201">
        <f>HYPERLINK("Объекты недвижимости, не соответствующие градостроительным нормам_00-022_Август/97adc79e-380f-4077-86a5-4859a2bfe263.jpg","open")</f>
        <v/>
      </c>
      <c r="C8201" t="inlineStr">
        <is>
          <t>ffd931da-542f-43e9-979f-5552b17fe3dc</t>
        </is>
      </c>
      <c r="D8201" t="n">
        <v>55.78845</v>
      </c>
      <c r="E8201" t="n">
        <v>37.73647</v>
      </c>
      <c r="F8201" t="inlineStr"/>
      <c r="G8201" t="inlineStr"/>
      <c r="H8201" t="inlineStr"/>
    </row>
    <row r="8202">
      <c r="A8202" t="inlineStr">
        <is>
          <t>c746c9cb-32fb-4c6d-bc3f-a4b6db2d7543.jpg</t>
        </is>
      </c>
      <c r="B8202">
        <f>HYPERLINK("Объекты недвижимости, не соответствующие градостроительным нормам_00-022_Август/c746c9cb-32fb-4c6d-bc3f-a4b6db2d7543.jpg","open")</f>
        <v/>
      </c>
      <c r="C8202" t="inlineStr">
        <is>
          <t>f60286ac-55e7-4099-85bd-cc599a7a0c65</t>
        </is>
      </c>
      <c r="D8202" t="n">
        <v>55.78845</v>
      </c>
      <c r="E8202" t="n">
        <v>37.73647</v>
      </c>
      <c r="F8202" t="inlineStr"/>
      <c r="G8202" t="inlineStr"/>
      <c r="H8202" t="inlineStr"/>
    </row>
    <row r="8203">
      <c r="A8203" t="inlineStr">
        <is>
          <t>fac8bb59-22a3-43a9-b297-d642302a48b4.jpg</t>
        </is>
      </c>
      <c r="B8203">
        <f>HYPERLINK("Объекты недвижимости, не соответствующие градостроительным нормам_00-022_Август/fac8bb59-22a3-43a9-b297-d642302a48b4.jpg","open")</f>
        <v/>
      </c>
      <c r="C8203" t="inlineStr">
        <is>
          <t>ffd931da-542f-43e9-979f-5552b17fe3dc</t>
        </is>
      </c>
      <c r="D8203" t="n">
        <v>55.78845</v>
      </c>
      <c r="E8203" t="n">
        <v>37.73647</v>
      </c>
      <c r="F8203" t="inlineStr"/>
      <c r="G8203" t="inlineStr"/>
      <c r="H8203" t="inlineStr"/>
    </row>
    <row r="8204">
      <c r="A8204" t="inlineStr">
        <is>
          <t>cd551ea4-d717-4974-b78b-59a5fbb6b8ff.jpg</t>
        </is>
      </c>
      <c r="B8204">
        <f>HYPERLINK("Объекты недвижимости, не соответствующие градостроительным нормам_00-022_Август/cd551ea4-d717-4974-b78b-59a5fbb6b8ff.jpg","open")</f>
        <v/>
      </c>
      <c r="C8204" t="inlineStr">
        <is>
          <t>b0b7ea82-53be-40d0-b992-e2fd18611d5c</t>
        </is>
      </c>
      <c r="D8204" t="n">
        <v>55.7068</v>
      </c>
      <c r="E8204" t="n">
        <v>37.8223</v>
      </c>
      <c r="F8204" t="inlineStr"/>
      <c r="G8204" t="inlineStr"/>
      <c r="H8204" t="inlineStr"/>
    </row>
    <row r="8205">
      <c r="A8205" t="inlineStr">
        <is>
          <t>8ac42902-b1f8-4867-a449-dd605c06a317.jpg</t>
        </is>
      </c>
      <c r="B8205">
        <f>HYPERLINK("Объекты недвижимости, не соответствующие градостроительным нормам_00-022_Август/8ac42902-b1f8-4867-a449-dd605c06a317.jpg","open")</f>
        <v/>
      </c>
      <c r="C8205" t="inlineStr">
        <is>
          <t>57aae8a4-582b-4309-8045-c8127a9f86ae</t>
        </is>
      </c>
      <c r="D8205" t="n">
        <v>55.80715</v>
      </c>
      <c r="E8205" t="n">
        <v>37.82819</v>
      </c>
      <c r="F8205" t="inlineStr"/>
      <c r="G8205" t="inlineStr"/>
      <c r="H8205" t="inlineStr"/>
    </row>
    <row r="8206">
      <c r="A8206" t="inlineStr">
        <is>
          <t>31bee327-da93-43e3-ae80-18dfa17e9990.jpg</t>
        </is>
      </c>
      <c r="B8206">
        <f>HYPERLINK("Объекты недвижимости, не соответствующие градостроительным нормам_00-022_Август/31bee327-da93-43e3-ae80-18dfa17e9990.jpg","open")</f>
        <v/>
      </c>
      <c r="C8206" t="inlineStr">
        <is>
          <t>9fb3d110-951f-48da-9d90-cfd7e1b5800d</t>
        </is>
      </c>
      <c r="D8206" t="n">
        <v>55.67926</v>
      </c>
      <c r="E8206" t="n">
        <v>37.45348</v>
      </c>
      <c r="F8206" t="inlineStr"/>
      <c r="G8206" t="inlineStr"/>
      <c r="H8206" t="inlineStr"/>
    </row>
    <row r="8207">
      <c r="A8207" t="inlineStr">
        <is>
          <t>ecbc3b43-b775-4349-985f-0332576c445c.jpg</t>
        </is>
      </c>
      <c r="B8207">
        <f>HYPERLINK("Объекты недвижимости, не соответствующие градостроительным нормам_00-022_Август/ecbc3b43-b775-4349-985f-0332576c445c.jpg","open")</f>
        <v/>
      </c>
      <c r="C8207" t="inlineStr">
        <is>
          <t>61936922-4d4b-458e-80ea-6d4c450aa1d5</t>
        </is>
      </c>
      <c r="D8207" t="n">
        <v>55.67926</v>
      </c>
      <c r="E8207" t="n">
        <v>37.45348</v>
      </c>
      <c r="F8207" t="inlineStr"/>
      <c r="G8207" t="inlineStr"/>
      <c r="H8207" t="inlineStr"/>
    </row>
    <row r="8208">
      <c r="A8208" t="inlineStr">
        <is>
          <t>369cb381-96d4-44bc-9139-37be25ff2429.jpg</t>
        </is>
      </c>
      <c r="B8208">
        <f>HYPERLINK("Объекты недвижимости, не соответствующие градостроительным нормам_00-022_Август/369cb381-96d4-44bc-9139-37be25ff2429.jpg","open")</f>
        <v/>
      </c>
      <c r="C8208" t="inlineStr">
        <is>
          <t>8996eb30-6497-4318-8a0e-b95314b8172e</t>
        </is>
      </c>
      <c r="D8208" t="n">
        <v>55.64919</v>
      </c>
      <c r="E8208" t="n">
        <v>37.70506</v>
      </c>
      <c r="F8208" t="inlineStr"/>
      <c r="G8208" t="inlineStr"/>
      <c r="H8208" t="inlineStr"/>
    </row>
    <row r="8209">
      <c r="A8209" t="inlineStr">
        <is>
          <t>1775c11e-b5b9-40b8-8ca5-31f5f693e57b.jpg</t>
        </is>
      </c>
      <c r="B8209">
        <f>HYPERLINK("Объекты недвижимости, не соответствующие градостроительным нормам_00-022_Август/1775c11e-b5b9-40b8-8ca5-31f5f693e57b.jpg","open")</f>
        <v/>
      </c>
      <c r="C8209" t="inlineStr">
        <is>
          <t>1c951e11-4940-43c6-a447-394097e5609a</t>
        </is>
      </c>
      <c r="D8209" t="n">
        <v>55.60949</v>
      </c>
      <c r="E8209" t="n">
        <v>37.60895</v>
      </c>
      <c r="F8209" t="inlineStr"/>
      <c r="G8209" t="inlineStr"/>
      <c r="H8209" t="inlineStr"/>
    </row>
    <row r="8210">
      <c r="A8210" t="inlineStr">
        <is>
          <t>2b244c04-7de6-445c-a36b-2e3c9c721d64.jpg</t>
        </is>
      </c>
      <c r="B8210">
        <f>HYPERLINK("Объекты недвижимости, не соответствующие градостроительным нормам_00-022_Август/2b244c04-7de6-445c-a36b-2e3c9c721d64.jpg","open")</f>
        <v/>
      </c>
      <c r="C8210" t="inlineStr">
        <is>
          <t>8cde1fd0-eca1-4510-86ab-3c743b65fdfc</t>
        </is>
      </c>
      <c r="D8210" t="n">
        <v>55.60979</v>
      </c>
      <c r="E8210" t="n">
        <v>37.60909</v>
      </c>
      <c r="F8210" t="inlineStr"/>
      <c r="G8210" t="inlineStr"/>
      <c r="H8210" t="inlineStr"/>
    </row>
    <row r="8211">
      <c r="A8211" t="inlineStr">
        <is>
          <t>ea9c6c74-3b24-4a51-bc3d-63dd42fe8dd5.jpg</t>
        </is>
      </c>
      <c r="B8211">
        <f>HYPERLINK("Объекты недвижимости, не соответствующие градостроительным нормам_00-022_Август/ea9c6c74-3b24-4a51-bc3d-63dd42fe8dd5.jpg","open")</f>
        <v/>
      </c>
      <c r="C8211" t="inlineStr">
        <is>
          <t>b23a39fd-838c-435a-bacd-b4d6bb842c62</t>
        </is>
      </c>
      <c r="D8211" t="n">
        <v>55.85754</v>
      </c>
      <c r="E8211" t="n">
        <v>37.51084</v>
      </c>
      <c r="F8211" t="inlineStr"/>
      <c r="G8211" t="inlineStr"/>
      <c r="H8211" t="inlineStr"/>
    </row>
    <row r="8212">
      <c r="A8212" t="inlineStr">
        <is>
          <t>7baf1585-f963-441c-940a-db5d726c5b91.jpg</t>
        </is>
      </c>
      <c r="B8212">
        <f>HYPERLINK("Объекты недвижимости, не соответствующие градостроительным нормам_00-022_Август/7baf1585-f963-441c-940a-db5d726c5b91.jpg","open")</f>
        <v/>
      </c>
      <c r="C8212" t="inlineStr">
        <is>
          <t>fb9a37cc-57a6-447c-98bb-0b299f09c809</t>
        </is>
      </c>
      <c r="D8212" t="n">
        <v>55.85755</v>
      </c>
      <c r="E8212" t="n">
        <v>37.51085</v>
      </c>
      <c r="F8212" t="inlineStr"/>
      <c r="G8212" t="inlineStr"/>
      <c r="H8212" t="inlineStr"/>
    </row>
    <row r="8213">
      <c r="A8213" t="inlineStr">
        <is>
          <t>a3f2b799-1b50-461a-a448-225f29c4e6e5.jpg</t>
        </is>
      </c>
      <c r="B8213">
        <f>HYPERLINK("Объекты недвижимости, не соответствующие градостроительным нормам_00-022_Август/a3f2b799-1b50-461a-a448-225f29c4e6e5.jpg","open")</f>
        <v/>
      </c>
      <c r="C8213" t="inlineStr">
        <is>
          <t>caa4772d-6278-4484-a046-ee25514bf521</t>
        </is>
      </c>
      <c r="D8213" t="n">
        <v>55.70884</v>
      </c>
      <c r="E8213" t="n">
        <v>37.40142</v>
      </c>
      <c r="F8213" t="inlineStr"/>
      <c r="G8213" t="inlineStr"/>
      <c r="H8213" t="inlineStr"/>
    </row>
    <row r="8214">
      <c r="A8214" t="inlineStr">
        <is>
          <t>15d3e39e-a5cb-48c3-a19d-2ca03a8ae291.jpg</t>
        </is>
      </c>
      <c r="B8214">
        <f>HYPERLINK("Объекты недвижимости, не соответствующие градостроительным нормам_00-022_Август/15d3e39e-a5cb-48c3-a19d-2ca03a8ae291.jpg","open")</f>
        <v/>
      </c>
      <c r="C8214" t="inlineStr">
        <is>
          <t>936502dd-24a4-4256-9fdf-0d8fb72af3ed</t>
        </is>
      </c>
      <c r="D8214" t="n">
        <v>55.60881</v>
      </c>
      <c r="E8214" t="n">
        <v>37.72281</v>
      </c>
      <c r="F8214" t="inlineStr"/>
      <c r="G8214" t="inlineStr"/>
      <c r="H8214" t="inlineStr"/>
    </row>
    <row r="8215">
      <c r="A8215" t="inlineStr">
        <is>
          <t>f2dfad76-ea58-4b36-8bed-06e7386858fd.jpg</t>
        </is>
      </c>
      <c r="B8215">
        <f>HYPERLINK("Объекты недвижимости, не соответствующие градостроительным нормам_00-022_Август/f2dfad76-ea58-4b36-8bed-06e7386858fd.jpg","open")</f>
        <v/>
      </c>
      <c r="C8215" t="inlineStr">
        <is>
          <t>685d9054-b74f-49ab-857b-109fd2cec80d</t>
        </is>
      </c>
      <c r="D8215" t="n">
        <v>55.70201</v>
      </c>
      <c r="E8215" t="n">
        <v>37.57013</v>
      </c>
      <c r="F8215" t="inlineStr"/>
      <c r="G8215" t="inlineStr"/>
      <c r="H8215" t="inlineStr"/>
    </row>
    <row r="8216">
      <c r="A8216" t="inlineStr">
        <is>
          <t>4d9556a2-1549-4ffa-a56f-afb8920b9727.jpg</t>
        </is>
      </c>
      <c r="B8216">
        <f>HYPERLINK("Объекты недвижимости, не соответствующие градостроительным нормам_00-022_Август/4d9556a2-1549-4ffa-a56f-afb8920b9727.jpg","open")</f>
        <v/>
      </c>
      <c r="C8216" t="inlineStr">
        <is>
          <t>fb9a37cc-57a6-447c-98bb-0b299f09c809</t>
        </is>
      </c>
      <c r="D8216" t="n">
        <v>55.84464</v>
      </c>
      <c r="E8216" t="n">
        <v>37.6532</v>
      </c>
      <c r="F8216" t="inlineStr"/>
      <c r="G8216" t="inlineStr"/>
      <c r="H8216" t="inlineStr"/>
    </row>
    <row r="8217">
      <c r="A8217" t="inlineStr">
        <is>
          <t>430b8320-a8fc-427c-93ec-82c6b9a857e4.jpg</t>
        </is>
      </c>
      <c r="B8217">
        <f>HYPERLINK("Объекты недвижимости, не соответствующие градостроительным нормам_00-022_Август/430b8320-a8fc-427c-93ec-82c6b9a857e4.jpg","open")</f>
        <v/>
      </c>
      <c r="C8217" t="inlineStr">
        <is>
          <t>93848fc8-17e7-4748-9ebc-c7e379e11d2f</t>
        </is>
      </c>
      <c r="D8217" t="n">
        <v>55.7689</v>
      </c>
      <c r="E8217" t="n">
        <v>37.66599</v>
      </c>
      <c r="F8217" t="inlineStr"/>
      <c r="G8217" t="inlineStr"/>
      <c r="H8217" t="inlineStr"/>
    </row>
    <row r="8218">
      <c r="A8218" t="inlineStr">
        <is>
          <t>11de4beb-0718-4dce-b808-374ecee64cef.jpg</t>
        </is>
      </c>
      <c r="B8218">
        <f>HYPERLINK("Объекты недвижимости, не соответствующие градостроительным нормам_00-022_Август/11de4beb-0718-4dce-b808-374ecee64cef.jpg","open")</f>
        <v/>
      </c>
      <c r="C8218" t="inlineStr">
        <is>
          <t>685d9054-b74f-49ab-857b-109fd2cec80d</t>
        </is>
      </c>
      <c r="D8218" t="n">
        <v>55.72207</v>
      </c>
      <c r="E8218" t="n">
        <v>37.59815</v>
      </c>
      <c r="F8218" t="inlineStr"/>
      <c r="G8218" t="inlineStr"/>
      <c r="H8218" t="inlineStr"/>
    </row>
    <row r="8219">
      <c r="A8219" t="inlineStr">
        <is>
          <t>e857ffa1-9f14-4e20-8826-c581bac0f013.jpg</t>
        </is>
      </c>
      <c r="B8219">
        <f>HYPERLINK("Объекты недвижимости, не соответствующие градостроительным нормам_00-022_Август/e857ffa1-9f14-4e20-8826-c581bac0f013.jpg","open")</f>
        <v/>
      </c>
      <c r="C8219" t="inlineStr">
        <is>
          <t>caa4772d-6278-4484-a046-ee25514bf521</t>
        </is>
      </c>
      <c r="D8219" t="n">
        <v>55.72021</v>
      </c>
      <c r="E8219" t="n">
        <v>37.4277</v>
      </c>
      <c r="F8219" t="inlineStr"/>
      <c r="G8219" t="inlineStr"/>
      <c r="H8219" t="inlineStr"/>
    </row>
    <row r="8220">
      <c r="A8220" t="inlineStr">
        <is>
          <t>8064c832-766c-4cde-a30a-c9e6494b18db.jpg</t>
        </is>
      </c>
      <c r="B8220">
        <f>HYPERLINK("Объекты недвижимости, не соответствующие градостроительным нормам_00-022_Август/8064c832-766c-4cde-a30a-c9e6494b18db.jpg","open")</f>
        <v/>
      </c>
      <c r="C8220" t="inlineStr">
        <is>
          <t>caa4772d-6278-4484-a046-ee25514bf521</t>
        </is>
      </c>
      <c r="D8220" t="n">
        <v>55.72041</v>
      </c>
      <c r="E8220" t="n">
        <v>37.42979</v>
      </c>
      <c r="F8220" t="inlineStr"/>
      <c r="G8220" t="inlineStr"/>
      <c r="H8220" t="inlineStr"/>
    </row>
    <row r="8221">
      <c r="A8221" t="inlineStr">
        <is>
          <t>1399cbef-22a7-4182-b6ae-4f532a10794c.jpg</t>
        </is>
      </c>
      <c r="B8221">
        <f>HYPERLINK("Объекты недвижимости, не соответствующие градостроительным нормам_00-022_Август/1399cbef-22a7-4182-b6ae-4f532a10794c.jpg","open")</f>
        <v/>
      </c>
      <c r="C8221" t="inlineStr">
        <is>
          <t>ed2bf0f1-3a66-4913-896e-4420a9796c0b</t>
        </is>
      </c>
      <c r="D8221" t="n">
        <v>55.70361</v>
      </c>
      <c r="E8221" t="n">
        <v>37.65846</v>
      </c>
      <c r="F8221" t="inlineStr"/>
      <c r="G8221" t="inlineStr"/>
      <c r="H8221" t="inlineStr"/>
    </row>
    <row r="8222">
      <c r="A8222" t="inlineStr">
        <is>
          <t>eccf9743-05a0-486b-8b22-d73872ef5a53.jpg</t>
        </is>
      </c>
      <c r="B8222">
        <f>HYPERLINK("Объекты недвижимости, не соответствующие градостроительным нормам_00-022_Август/eccf9743-05a0-486b-8b22-d73872ef5a53.jpg","open")</f>
        <v/>
      </c>
      <c r="C8222" t="inlineStr">
        <is>
          <t>685d9054-b74f-49ab-857b-109fd2cec80d</t>
        </is>
      </c>
      <c r="D8222" t="n">
        <v>55.70124</v>
      </c>
      <c r="E8222" t="n">
        <v>37.53402</v>
      </c>
      <c r="F8222" t="inlineStr"/>
      <c r="G8222" t="inlineStr"/>
      <c r="H8222" t="inlineStr"/>
    </row>
    <row r="8223">
      <c r="A8223" t="inlineStr">
        <is>
          <t>8f3676a1-a03b-43fb-b72e-6eae78dc82f9.jpg</t>
        </is>
      </c>
      <c r="B8223">
        <f>HYPERLINK("Объекты недвижимости, не соответствующие градостроительным нормам_00-022_Август/8f3676a1-a03b-43fb-b72e-6eae78dc82f9.jpg","open")</f>
        <v/>
      </c>
      <c r="C8223" t="inlineStr">
        <is>
          <t>f6f80c84-5569-48fd-b627-6f41ce4c61c4</t>
        </is>
      </c>
      <c r="D8223" t="n">
        <v>55.71375</v>
      </c>
      <c r="E8223" t="n">
        <v>37.38417</v>
      </c>
      <c r="F8223" t="inlineStr"/>
      <c r="G8223" t="inlineStr"/>
      <c r="H8223" t="inlineStr"/>
    </row>
    <row r="8224">
      <c r="A8224" t="inlineStr">
        <is>
          <t>ac6c9ec3-5c42-4786-9604-5ba989bcd8b2.jpg</t>
        </is>
      </c>
      <c r="B8224">
        <f>HYPERLINK("Объекты недвижимости, не соответствующие градостроительным нормам_00-022_Август/ac6c9ec3-5c42-4786-9604-5ba989bcd8b2.jpg","open")</f>
        <v/>
      </c>
      <c r="C8224" t="inlineStr">
        <is>
          <t>ed2bf0f1-3a66-4913-896e-4420a9796c0b</t>
        </is>
      </c>
      <c r="D8224" t="n">
        <v>55.7165</v>
      </c>
      <c r="E8224" t="n">
        <v>37.68787</v>
      </c>
      <c r="F8224" t="inlineStr"/>
      <c r="G8224" t="inlineStr"/>
      <c r="H8224" t="inlineStr"/>
    </row>
    <row r="8225">
      <c r="A8225" t="inlineStr">
        <is>
          <t>9f363dcb-0893-45dc-b152-a7e2040b8eff.jpg</t>
        </is>
      </c>
      <c r="B8225">
        <f>HYPERLINK("Объекты недвижимости, не соответствующие градостроительным нормам_00-022_Август/9f363dcb-0893-45dc-b152-a7e2040b8eff.jpg","open")</f>
        <v/>
      </c>
      <c r="C8225" t="inlineStr">
        <is>
          <t>1a55986c-2c3f-40c0-b3d1-014dce77832e</t>
        </is>
      </c>
      <c r="D8225" t="n">
        <v>55.72087</v>
      </c>
      <c r="E8225" t="n">
        <v>37.70527</v>
      </c>
      <c r="F8225" t="inlineStr"/>
      <c r="G8225" t="inlineStr"/>
      <c r="H8225" t="inlineStr"/>
    </row>
    <row r="8226">
      <c r="A8226" t="inlineStr">
        <is>
          <t>e41a7a31-6287-408f-98eb-7c09c86132e4.jpg</t>
        </is>
      </c>
      <c r="B8226">
        <f>HYPERLINK("Объекты недвижимости, не соответствующие градостроительным нормам_00-022_Август/e41a7a31-6287-408f-98eb-7c09c86132e4.jpg","open")</f>
        <v/>
      </c>
      <c r="C8226" t="inlineStr">
        <is>
          <t>ed2bf0f1-3a66-4913-896e-4420a9796c0b</t>
        </is>
      </c>
      <c r="D8226" t="n">
        <v>55.74332</v>
      </c>
      <c r="E8226" t="n">
        <v>37.69822</v>
      </c>
      <c r="F8226" t="inlineStr"/>
      <c r="G8226" t="inlineStr"/>
      <c r="H8226" t="inlineStr"/>
    </row>
    <row r="8227">
      <c r="A8227" t="inlineStr">
        <is>
          <t>df2c4526-709d-467e-a0f7-fef31ddeca77.jpg</t>
        </is>
      </c>
      <c r="B8227">
        <f>HYPERLINK("Объекты недвижимости, не соответствующие градостроительным нормам_00-022_Август/df2c4526-709d-467e-a0f7-fef31ddeca77.jpg","open")</f>
        <v/>
      </c>
      <c r="C8227" t="inlineStr">
        <is>
          <t>f60286ac-55e7-4099-85bd-cc599a7a0c65</t>
        </is>
      </c>
      <c r="D8227" t="n">
        <v>55.78648</v>
      </c>
      <c r="E8227" t="n">
        <v>37.74036</v>
      </c>
      <c r="F8227" t="inlineStr"/>
      <c r="G8227" t="inlineStr"/>
      <c r="H8227" t="inlineStr"/>
    </row>
    <row r="8228">
      <c r="A8228" t="inlineStr">
        <is>
          <t>933d5523-3883-44ee-9d35-6e7910407416.jpg</t>
        </is>
      </c>
      <c r="B8228">
        <f>HYPERLINK("Объекты недвижимости, не соответствующие градостроительным нормам_00-022_Август/933d5523-3883-44ee-9d35-6e7910407416.jpg","open")</f>
        <v/>
      </c>
      <c r="C8228" t="inlineStr">
        <is>
          <t>a28f597e-d1cd-4d3b-b572-c86d033412e9</t>
        </is>
      </c>
      <c r="D8228" t="n">
        <v>55.74152</v>
      </c>
      <c r="E8228" t="n">
        <v>37.40136</v>
      </c>
      <c r="F8228" t="inlineStr"/>
      <c r="G8228" t="inlineStr"/>
      <c r="H8228" t="inlineStr"/>
    </row>
    <row r="8229">
      <c r="A8229" t="inlineStr">
        <is>
          <t>0e12e89a-9cad-4637-a30b-b6db1741bec2.jpg</t>
        </is>
      </c>
      <c r="B8229">
        <f>HYPERLINK("Объекты недвижимости, не соответствующие градостроительным нормам_00-022_Август/0e12e89a-9cad-4637-a30b-b6db1741bec2.jpg","open")</f>
        <v/>
      </c>
      <c r="C8229" t="inlineStr">
        <is>
          <t>036c664f-5408-4fd0-b479-342c00468eeb</t>
        </is>
      </c>
      <c r="D8229" t="n">
        <v>55.74153</v>
      </c>
      <c r="E8229" t="n">
        <v>37.40141</v>
      </c>
      <c r="F8229" t="inlineStr"/>
      <c r="G8229" t="inlineStr"/>
      <c r="H8229" t="inlineStr"/>
    </row>
    <row r="8230">
      <c r="A8230" t="inlineStr">
        <is>
          <t>180a2cff-4dd2-4624-b500-1994f70003bf.jpg</t>
        </is>
      </c>
      <c r="B8230">
        <f>HYPERLINK("Объекты недвижимости, не соответствующие градостроительным нормам_00-022_Август/180a2cff-4dd2-4624-b500-1994f70003bf.jpg","open")</f>
        <v/>
      </c>
      <c r="C8230" t="inlineStr">
        <is>
          <t>936502dd-24a4-4256-9fdf-0d8fb72af3ed</t>
        </is>
      </c>
      <c r="D8230" t="n">
        <v>55.69713</v>
      </c>
      <c r="E8230" t="n">
        <v>37.73005</v>
      </c>
      <c r="F8230" t="inlineStr"/>
      <c r="G8230" t="inlineStr"/>
      <c r="H8230" t="inlineStr"/>
    </row>
    <row r="8231">
      <c r="A8231" t="inlineStr">
        <is>
          <t>9f2ba1a0-ed78-4aad-a0a0-bdec84eaf457.jpg</t>
        </is>
      </c>
      <c r="B8231">
        <f>HYPERLINK("Объекты недвижимости, не соответствующие градостроительным нормам_00-022_Август/9f2ba1a0-ed78-4aad-a0a0-bdec84eaf457.jpg","open")</f>
        <v/>
      </c>
      <c r="C8231" t="inlineStr">
        <is>
          <t>036c664f-5408-4fd0-b479-342c00468eeb</t>
        </is>
      </c>
      <c r="D8231" t="n">
        <v>55.73941</v>
      </c>
      <c r="E8231" t="n">
        <v>37.4043</v>
      </c>
      <c r="F8231" t="inlineStr"/>
      <c r="G8231" t="inlineStr"/>
      <c r="H8231" t="inlineStr"/>
    </row>
    <row r="8232">
      <c r="A8232" t="inlineStr">
        <is>
          <t>4c1fe21f-01e9-43d9-b42d-9ddd554af157.jpg</t>
        </is>
      </c>
      <c r="B8232">
        <f>HYPERLINK("Объекты недвижимости, не соответствующие градостроительным нормам_00-022_Август/4c1fe21f-01e9-43d9-b42d-9ddd554af157.jpg","open")</f>
        <v/>
      </c>
      <c r="C8232" t="inlineStr">
        <is>
          <t>a28f597e-d1cd-4d3b-b572-c86d033412e9</t>
        </is>
      </c>
      <c r="D8232" t="n">
        <v>55.73941</v>
      </c>
      <c r="E8232" t="n">
        <v>37.40431</v>
      </c>
      <c r="F8232" t="inlineStr"/>
      <c r="G8232" t="inlineStr"/>
      <c r="H8232" t="inlineStr"/>
    </row>
    <row r="8233">
      <c r="A8233" t="inlineStr">
        <is>
          <t>4547b36e-e475-4eba-8d5c-e34efdee660e.jpg</t>
        </is>
      </c>
      <c r="B8233">
        <f>HYPERLINK("Объекты недвижимости, не соответствующие градостроительным нормам_00-022_Август/4547b36e-e475-4eba-8d5c-e34efdee660e.jpg","open")</f>
        <v/>
      </c>
      <c r="C8233" t="inlineStr">
        <is>
          <t>036c664f-5408-4fd0-b479-342c00468eeb</t>
        </is>
      </c>
      <c r="D8233" t="n">
        <v>55.73941</v>
      </c>
      <c r="E8233" t="n">
        <v>37.40431</v>
      </c>
      <c r="F8233" t="inlineStr"/>
      <c r="G8233" t="inlineStr"/>
      <c r="H8233" t="inlineStr"/>
    </row>
    <row r="8234">
      <c r="A8234" t="inlineStr">
        <is>
          <t>84b180a8-f3e5-4ffe-93c0-a8e1b401435c.jpg</t>
        </is>
      </c>
      <c r="B8234">
        <f>HYPERLINK("Объекты недвижимости, не соответствующие градостроительным нормам_00-022_Август/84b180a8-f3e5-4ffe-93c0-a8e1b401435c.jpg","open")</f>
        <v/>
      </c>
      <c r="C8234" t="inlineStr">
        <is>
          <t>ed2bf0f1-3a66-4913-896e-4420a9796c0b</t>
        </is>
      </c>
      <c r="D8234" t="n">
        <v>55.74625</v>
      </c>
      <c r="E8234" t="n">
        <v>37.70323</v>
      </c>
      <c r="F8234" t="inlineStr"/>
      <c r="G8234" t="inlineStr"/>
      <c r="H8234" t="inlineStr"/>
    </row>
    <row r="8235">
      <c r="A8235" t="inlineStr">
        <is>
          <t>f0d8d124-42a1-45ee-8513-59ee92fbe191.jpg</t>
        </is>
      </c>
      <c r="B8235">
        <f>HYPERLINK("Объекты недвижимости, не соответствующие градостроительным нормам_00-022_Август/f0d8d124-42a1-45ee-8513-59ee92fbe191.jpg","open")</f>
        <v/>
      </c>
      <c r="C8235" t="inlineStr">
        <is>
          <t>1a55986c-2c3f-40c0-b3d1-014dce77832e</t>
        </is>
      </c>
      <c r="D8235" t="n">
        <v>55.7461</v>
      </c>
      <c r="E8235" t="n">
        <v>37.70374</v>
      </c>
      <c r="F8235" t="inlineStr"/>
      <c r="G8235" t="inlineStr"/>
      <c r="H8235" t="inlineStr"/>
    </row>
    <row r="8236">
      <c r="A8236" t="inlineStr">
        <is>
          <t>ef5da34a-c9ae-4a75-912c-4fbfb3210696.jpg</t>
        </is>
      </c>
      <c r="B8236">
        <f>HYPERLINK("Объекты недвижимости, не соответствующие градостроительным нормам_00-022_Август/ef5da34a-c9ae-4a75-912c-4fbfb3210696.jpg","open")</f>
        <v/>
      </c>
      <c r="C8236" t="inlineStr">
        <is>
          <t>ed2bf0f1-3a66-4913-896e-4420a9796c0b</t>
        </is>
      </c>
      <c r="D8236" t="n">
        <v>55.7461</v>
      </c>
      <c r="E8236" t="n">
        <v>37.70374</v>
      </c>
      <c r="F8236" t="inlineStr"/>
      <c r="G8236" t="inlineStr"/>
      <c r="H8236" t="inlineStr"/>
    </row>
    <row r="8237">
      <c r="A8237" t="inlineStr">
        <is>
          <t>cc4c94cc-fa5b-4732-a2e4-dd725f295d29.jpg</t>
        </is>
      </c>
      <c r="B8237">
        <f>HYPERLINK("Объекты недвижимости, не соответствующие градостроительным нормам_00-022_Август/cc4c94cc-fa5b-4732-a2e4-dd725f295d29.jpg","open")</f>
        <v/>
      </c>
      <c r="C8237" t="inlineStr">
        <is>
          <t>1a55986c-2c3f-40c0-b3d1-014dce77832e</t>
        </is>
      </c>
      <c r="D8237" t="n">
        <v>55.7461</v>
      </c>
      <c r="E8237" t="n">
        <v>37.70374</v>
      </c>
      <c r="F8237" t="inlineStr"/>
      <c r="G8237" t="inlineStr"/>
      <c r="H8237" t="inlineStr"/>
    </row>
    <row r="8238">
      <c r="A8238" t="inlineStr">
        <is>
          <t>69ef8076-3035-48b9-bced-1f9820306f3c.jpg</t>
        </is>
      </c>
      <c r="B8238">
        <f>HYPERLINK("Объекты недвижимости, не соответствующие градостроительным нормам_00-022_Август/69ef8076-3035-48b9-bced-1f9820306f3c.jpg","open")</f>
        <v/>
      </c>
      <c r="C8238" t="inlineStr">
        <is>
          <t>f60286ac-55e7-4099-85bd-cc599a7a0c65</t>
        </is>
      </c>
      <c r="D8238" t="n">
        <v>55.78548</v>
      </c>
      <c r="E8238" t="n">
        <v>37.73969</v>
      </c>
      <c r="F8238" t="inlineStr"/>
      <c r="G8238" t="inlineStr"/>
      <c r="H8238" t="inlineStr"/>
    </row>
    <row r="8239">
      <c r="A8239" t="inlineStr">
        <is>
          <t>f1190c67-50f8-4ca1-927e-80c719372e0e.jpg</t>
        </is>
      </c>
      <c r="B8239">
        <f>HYPERLINK("Объекты недвижимости, не соответствующие градостроительным нормам_00-022_Август/f1190c67-50f8-4ca1-927e-80c719372e0e.jpg","open")</f>
        <v/>
      </c>
      <c r="C8239" t="inlineStr">
        <is>
          <t>7b951050-981e-4ccd-816e-e002f271ab6a</t>
        </is>
      </c>
      <c r="D8239" t="n">
        <v>55.70358</v>
      </c>
      <c r="E8239" t="n">
        <v>37.59985</v>
      </c>
      <c r="F8239" t="inlineStr"/>
      <c r="G8239" t="inlineStr"/>
      <c r="H8239" t="inlineStr"/>
    </row>
    <row r="8240">
      <c r="A8240" t="inlineStr">
        <is>
          <t>3d14d3bc-55ce-40eb-807a-7465f07c3015.jpg</t>
        </is>
      </c>
      <c r="B8240">
        <f>HYPERLINK("Объекты недвижимости, не соответствующие градостроительным нормам_00-022_Август/3d14d3bc-55ce-40eb-807a-7465f07c3015.jpg","open")</f>
        <v/>
      </c>
      <c r="C8240" t="inlineStr">
        <is>
          <t>936502dd-24a4-4256-9fdf-0d8fb72af3ed</t>
        </is>
      </c>
      <c r="D8240" t="n">
        <v>55.73495</v>
      </c>
      <c r="E8240" t="n">
        <v>37.70652</v>
      </c>
      <c r="F8240" t="inlineStr"/>
      <c r="G8240" t="inlineStr"/>
      <c r="H8240" t="inlineStr"/>
    </row>
    <row r="8241">
      <c r="A8241" t="inlineStr">
        <is>
          <t>9217b41e-7b60-4125-b856-8709507fd592.jpg</t>
        </is>
      </c>
      <c r="B8241">
        <f>HYPERLINK("Объекты недвижимости, не соответствующие градостроительным нормам_00-022_Август/9217b41e-7b60-4125-b856-8709507fd592.jpg","open")</f>
        <v/>
      </c>
      <c r="C8241" t="inlineStr">
        <is>
          <t>8cde1fd0-eca1-4510-86ab-3c743b65fdfc</t>
        </is>
      </c>
      <c r="D8241" t="n">
        <v>55.60429</v>
      </c>
      <c r="E8241" t="n">
        <v>37.63273</v>
      </c>
      <c r="F8241" t="inlineStr"/>
      <c r="G8241" t="inlineStr"/>
      <c r="H8241" t="inlineStr"/>
    </row>
    <row r="8242">
      <c r="A8242" t="inlineStr">
        <is>
          <t>4d60b62f-62ba-4cc5-ace7-d849986f9f2e.jpg</t>
        </is>
      </c>
      <c r="B8242">
        <f>HYPERLINK("Объекты недвижимости, не соответствующие градостроительным нормам_00-022_Август/4d60b62f-62ba-4cc5-ace7-d849986f9f2e.jpg","open")</f>
        <v/>
      </c>
      <c r="C8242" t="inlineStr">
        <is>
          <t>1c951e11-4940-43c6-a447-394097e5609a</t>
        </is>
      </c>
      <c r="D8242" t="n">
        <v>55.61218</v>
      </c>
      <c r="E8242" t="n">
        <v>37.64115</v>
      </c>
      <c r="F8242" t="inlineStr"/>
      <c r="G8242" t="inlineStr"/>
      <c r="H8242" t="inlineStr"/>
    </row>
    <row r="8243">
      <c r="A8243" t="inlineStr">
        <is>
          <t>4f33e192-4966-4b36-811f-90cbd1578fbd.jpg</t>
        </is>
      </c>
      <c r="B8243">
        <f>HYPERLINK("Объекты недвижимости, не соответствующие градостроительным нормам_00-022_Август/4f33e192-4966-4b36-811f-90cbd1578fbd.jpg","open")</f>
        <v/>
      </c>
      <c r="C8243" t="inlineStr">
        <is>
          <t>8cde1fd0-eca1-4510-86ab-3c743b65fdfc</t>
        </is>
      </c>
      <c r="D8243" t="n">
        <v>55.62265</v>
      </c>
      <c r="E8243" t="n">
        <v>37.64441</v>
      </c>
      <c r="F8243" t="inlineStr"/>
      <c r="G8243" t="inlineStr"/>
      <c r="H8243" t="inlineStr"/>
    </row>
    <row r="8244">
      <c r="A8244" t="inlineStr">
        <is>
          <t>5b7f012d-ed9f-4f45-bfd3-5cbe81733d9f.jpg</t>
        </is>
      </c>
      <c r="B8244">
        <f>HYPERLINK("Объекты недвижимости, не соответствующие градостроительным нормам_00-022_Август/5b7f012d-ed9f-4f45-bfd3-5cbe81733d9f.jpg","open")</f>
        <v/>
      </c>
      <c r="C8244" t="inlineStr">
        <is>
          <t>8cde1fd0-eca1-4510-86ab-3c743b65fdfc</t>
        </is>
      </c>
      <c r="D8244" t="n">
        <v>55.63837</v>
      </c>
      <c r="E8244" t="n">
        <v>37.65568</v>
      </c>
      <c r="F8244" t="inlineStr"/>
      <c r="G8244" t="inlineStr"/>
      <c r="H8244" t="inlineStr"/>
    </row>
    <row r="8245">
      <c r="A8245" t="inlineStr">
        <is>
          <t>45fa750d-e880-4437-ac46-987ac5290450.jpg</t>
        </is>
      </c>
      <c r="B8245">
        <f>HYPERLINK("Объекты недвижимости, не соответствующие градостроительным нормам_00-022_Август/45fa750d-e880-4437-ac46-987ac5290450.jpg","open")</f>
        <v/>
      </c>
      <c r="C8245" t="inlineStr">
        <is>
          <t>8cde1fd0-eca1-4510-86ab-3c743b65fdfc</t>
        </is>
      </c>
      <c r="D8245" t="n">
        <v>55.63739</v>
      </c>
      <c r="E8245" t="n">
        <v>37.66946</v>
      </c>
      <c r="F8245" t="inlineStr"/>
      <c r="G8245" t="inlineStr"/>
      <c r="H8245" t="inlineStr"/>
    </row>
    <row r="8246">
      <c r="A8246" t="inlineStr">
        <is>
          <t>46220b62-10be-409c-881a-81d2e7d89cd5.jpg</t>
        </is>
      </c>
      <c r="B8246">
        <f>HYPERLINK("Объекты недвижимости, не соответствующие градостроительным нормам_00-022_Август/46220b62-10be-409c-881a-81d2e7d89cd5.jpg","open")</f>
        <v/>
      </c>
      <c r="C8246" t="inlineStr">
        <is>
          <t>8cde1fd0-eca1-4510-86ab-3c743b65fdfc</t>
        </is>
      </c>
      <c r="D8246" t="n">
        <v>55.63735</v>
      </c>
      <c r="E8246" t="n">
        <v>37.67002</v>
      </c>
      <c r="F8246" t="inlineStr"/>
      <c r="G8246" t="inlineStr"/>
      <c r="H8246" t="inlineStr"/>
    </row>
    <row r="8247">
      <c r="A8247" t="inlineStr">
        <is>
          <t>15a6b7d2-8700-492a-81bf-14b31e6795c6.jpg</t>
        </is>
      </c>
      <c r="B8247">
        <f>HYPERLINK("Объекты недвижимости, не соответствующие градостроительным нормам_00-022_Август/15a6b7d2-8700-492a-81bf-14b31e6795c6.jpg","open")</f>
        <v/>
      </c>
      <c r="C8247" t="inlineStr">
        <is>
          <t>fb40ed24-21ef-458a-a239-038ab19932cc</t>
        </is>
      </c>
      <c r="D8247" t="n">
        <v>55.80248</v>
      </c>
      <c r="E8247" t="n">
        <v>37.7705</v>
      </c>
      <c r="F8247" t="inlineStr"/>
      <c r="G8247" t="inlineStr"/>
      <c r="H8247" t="inlineStr"/>
    </row>
    <row r="8248">
      <c r="A8248" t="inlineStr">
        <is>
          <t>6fd1d063-650a-4734-a12c-970827723ebf.jpg</t>
        </is>
      </c>
      <c r="B8248">
        <f>HYPERLINK("Объекты недвижимости, не соответствующие градостроительным нормам_00-022_Август/6fd1d063-650a-4734-a12c-970827723ebf.jpg","open")</f>
        <v/>
      </c>
      <c r="C8248" t="inlineStr">
        <is>
          <t>1231bbc5-e64c-4dc7-9acc-77710f47607a</t>
        </is>
      </c>
      <c r="D8248" t="n">
        <v>55.70124</v>
      </c>
      <c r="E8248" t="n">
        <v>37.53402</v>
      </c>
      <c r="F8248" t="inlineStr"/>
      <c r="G8248" t="inlineStr"/>
      <c r="H8248" t="inlineStr"/>
    </row>
    <row r="8249">
      <c r="A8249" t="inlineStr">
        <is>
          <t>e3c8a51b-6337-44f6-8ee8-5c76aa93e445.jpg</t>
        </is>
      </c>
      <c r="B8249">
        <f>HYPERLINK("Объекты недвижимости, не соответствующие градостроительным нормам_00-022_Август/e3c8a51b-6337-44f6-8ee8-5c76aa93e445.jpg","open")</f>
        <v/>
      </c>
      <c r="C8249" t="inlineStr">
        <is>
          <t>8cde1fd0-eca1-4510-86ab-3c743b65fdfc</t>
        </is>
      </c>
      <c r="D8249" t="n">
        <v>55.66177</v>
      </c>
      <c r="E8249" t="n">
        <v>37.71507</v>
      </c>
      <c r="F8249" t="inlineStr"/>
      <c r="G8249" t="inlineStr"/>
      <c r="H8249" t="inlineStr"/>
    </row>
    <row r="8250">
      <c r="A8250" t="inlineStr">
        <is>
          <t>b90a2ca4-661f-4ea2-b70f-e75e7c0f5760.jpg</t>
        </is>
      </c>
      <c r="B8250">
        <f>HYPERLINK("Объекты недвижимости, не соответствующие градостроительным нормам_00-022_Август/b90a2ca4-661f-4ea2-b70f-e75e7c0f5760.jpg","open")</f>
        <v/>
      </c>
      <c r="C8250" t="inlineStr">
        <is>
          <t>caa4772d-6278-4484-a046-ee25514bf521</t>
        </is>
      </c>
      <c r="D8250" t="n">
        <v>55.72545</v>
      </c>
      <c r="E8250" t="n">
        <v>37.50937</v>
      </c>
      <c r="F8250" t="inlineStr"/>
      <c r="G8250" t="inlineStr"/>
      <c r="H8250" t="inlineStr"/>
    </row>
    <row r="8251">
      <c r="A8251" t="inlineStr">
        <is>
          <t>04f06aa6-6831-4097-b711-b967ed5ce0d1.jpg</t>
        </is>
      </c>
      <c r="B8251">
        <f>HYPERLINK("Объекты недвижимости, не соответствующие градостроительным нормам_00-022_Август/04f06aa6-6831-4097-b711-b967ed5ce0d1.jpg","open")</f>
        <v/>
      </c>
      <c r="C8251" t="inlineStr">
        <is>
          <t>1a55986c-2c3f-40c0-b3d1-014dce77832e</t>
        </is>
      </c>
      <c r="D8251" t="n">
        <v>55.99041</v>
      </c>
      <c r="E8251" t="n">
        <v>38.01281</v>
      </c>
      <c r="F8251" t="inlineStr"/>
      <c r="G8251" t="inlineStr"/>
      <c r="H8251" t="inlineStr"/>
    </row>
    <row r="8252">
      <c r="A8252" t="inlineStr">
        <is>
          <t>aea88774-43bc-4f2d-ad04-349298083f5e.jpg</t>
        </is>
      </c>
      <c r="B8252">
        <f>HYPERLINK("Объекты недвижимости, не соответствующие градостроительным нормам_00-022_Август/aea88774-43bc-4f2d-ad04-349298083f5e.jpg","open")</f>
        <v/>
      </c>
      <c r="C8252" t="inlineStr">
        <is>
          <t>1c951e11-4940-43c6-a447-394097e5609a</t>
        </is>
      </c>
      <c r="D8252" t="n">
        <v>55.73425</v>
      </c>
      <c r="E8252" t="n">
        <v>37.70903</v>
      </c>
      <c r="F8252" t="inlineStr"/>
      <c r="G8252" t="inlineStr"/>
      <c r="H8252" t="inlineStr"/>
    </row>
    <row r="8253">
      <c r="A8253" t="inlineStr">
        <is>
          <t>bd92ee46-d293-4a17-84c2-ac8e75133bfb.jpg</t>
        </is>
      </c>
      <c r="B8253">
        <f>HYPERLINK("Объекты недвижимости, не соответствующие градостроительным нормам_00-022_Август/bd92ee46-d293-4a17-84c2-ac8e75133bfb.jpg","open")</f>
        <v/>
      </c>
      <c r="C8253" t="inlineStr">
        <is>
          <t>8cde1fd0-eca1-4510-86ab-3c743b65fdfc</t>
        </is>
      </c>
      <c r="D8253" t="n">
        <v>55.7348</v>
      </c>
      <c r="E8253" t="n">
        <v>37.70697</v>
      </c>
      <c r="F8253" t="inlineStr"/>
      <c r="G8253" t="inlineStr"/>
      <c r="H8253" t="inlineStr"/>
    </row>
    <row r="8254">
      <c r="A8254" t="inlineStr">
        <is>
          <t>3f0f9348-fe13-40c0-b1b6-ff17eea8ca1f.jpg</t>
        </is>
      </c>
      <c r="B8254">
        <f>HYPERLINK("Объекты недвижимости, не соответствующие градостроительным нормам_00-022_Август/3f0f9348-fe13-40c0-b1b6-ff17eea8ca1f.jpg","open")</f>
        <v/>
      </c>
      <c r="C8254" t="inlineStr">
        <is>
          <t>8cde1fd0-eca1-4510-86ab-3c743b65fdfc</t>
        </is>
      </c>
      <c r="D8254" t="n">
        <v>55.73487</v>
      </c>
      <c r="E8254" t="n">
        <v>37.70671</v>
      </c>
      <c r="F8254" t="inlineStr"/>
      <c r="G8254" t="inlineStr"/>
      <c r="H8254" t="inlineStr"/>
    </row>
    <row r="8255">
      <c r="A8255" t="inlineStr">
        <is>
          <t>b797cfb3-ecad-4513-bde7-773ce73c57b1.jpg</t>
        </is>
      </c>
      <c r="B8255">
        <f>HYPERLINK("Объекты недвижимости, не соответствующие градостроительным нормам_00-022_Август/b797cfb3-ecad-4513-bde7-773ce73c57b1.jpg","open")</f>
        <v/>
      </c>
      <c r="C8255" t="inlineStr">
        <is>
          <t>8cde1fd0-eca1-4510-86ab-3c743b65fdfc</t>
        </is>
      </c>
      <c r="D8255" t="n">
        <v>55.73499</v>
      </c>
      <c r="E8255" t="n">
        <v>37.70618</v>
      </c>
      <c r="F8255" t="inlineStr"/>
      <c r="G8255" t="inlineStr"/>
      <c r="H8255" t="inlineStr"/>
    </row>
    <row r="8256">
      <c r="A8256" t="inlineStr">
        <is>
          <t>0eabcf29-f1cb-4c99-9036-ac024c9cb475.jpg</t>
        </is>
      </c>
      <c r="B8256">
        <f>HYPERLINK("Объекты недвижимости, не соответствующие градостроительным нормам_00-022_Август/0eabcf29-f1cb-4c99-9036-ac024c9cb475.jpg","open")</f>
        <v/>
      </c>
      <c r="C8256" t="inlineStr">
        <is>
          <t>8cde1fd0-eca1-4510-86ab-3c743b65fdfc</t>
        </is>
      </c>
      <c r="D8256" t="n">
        <v>55.742</v>
      </c>
      <c r="E8256" t="n">
        <v>37.69791</v>
      </c>
      <c r="F8256" t="inlineStr"/>
      <c r="G8256" t="inlineStr"/>
      <c r="H8256" t="inlineStr"/>
    </row>
    <row r="8257">
      <c r="A8257" t="inlineStr">
        <is>
          <t>899a7e67-f5ef-4ee7-839d-f68a568c0b7a.jpg</t>
        </is>
      </c>
      <c r="B8257">
        <f>HYPERLINK("Объекты недвижимости, не соответствующие градостроительным нормам_00-022_Август/899a7e67-f5ef-4ee7-839d-f68a568c0b7a.jpg","open")</f>
        <v/>
      </c>
      <c r="C8257" t="inlineStr">
        <is>
          <t>a28f597e-d1cd-4d3b-b572-c86d033412e9</t>
        </is>
      </c>
      <c r="D8257" t="n">
        <v>55.75997</v>
      </c>
      <c r="E8257" t="n">
        <v>37.5815</v>
      </c>
      <c r="F8257" t="inlineStr"/>
      <c r="G8257" t="inlineStr"/>
      <c r="H8257" t="inlineStr"/>
    </row>
    <row r="8258">
      <c r="A8258" t="inlineStr">
        <is>
          <t>3cf94cde-b385-475c-8774-52867431e357.jpg</t>
        </is>
      </c>
      <c r="B8258">
        <f>HYPERLINK("Объекты недвижимости, не соответствующие градостроительным нормам_00-022_Август/3cf94cde-b385-475c-8774-52867431e357.jpg","open")</f>
        <v/>
      </c>
      <c r="C8258" t="inlineStr">
        <is>
          <t>036c664f-5408-4fd0-b479-342c00468eeb</t>
        </is>
      </c>
      <c r="D8258" t="n">
        <v>55.75991</v>
      </c>
      <c r="E8258" t="n">
        <v>37.5816</v>
      </c>
      <c r="F8258" t="inlineStr"/>
      <c r="G8258" t="inlineStr"/>
      <c r="H8258" t="inlineStr"/>
    </row>
    <row r="8259">
      <c r="A8259" t="inlineStr">
        <is>
          <t>48453e39-549f-4510-a9fe-f1ae1178cbcc.jpg</t>
        </is>
      </c>
      <c r="B8259">
        <f>HYPERLINK("Объекты недвижимости, не соответствующие градостроительным нормам_00-022_Август/48453e39-549f-4510-a9fe-f1ae1178cbcc.jpg","open")</f>
        <v/>
      </c>
      <c r="C8259" t="inlineStr">
        <is>
          <t>b0b7ea82-53be-40d0-b992-e2fd18611d5c</t>
        </is>
      </c>
      <c r="D8259" t="n">
        <v>55.75456</v>
      </c>
      <c r="E8259" t="n">
        <v>37.78262</v>
      </c>
      <c r="F8259" t="inlineStr"/>
      <c r="G8259" t="inlineStr"/>
      <c r="H8259" t="inlineStr"/>
    </row>
    <row r="8260">
      <c r="A8260" t="inlineStr">
        <is>
          <t>14e09905-6130-4568-a86e-eaaf47a592a2.jpg</t>
        </is>
      </c>
      <c r="B8260">
        <f>HYPERLINK("Объекты недвижимости, не соответствующие градостроительным нормам_00-022_Август/14e09905-6130-4568-a86e-eaaf47a592a2.jpg","open")</f>
        <v/>
      </c>
      <c r="C8260" t="inlineStr">
        <is>
          <t>8cde1fd0-eca1-4510-86ab-3c743b65fdfc</t>
        </is>
      </c>
      <c r="D8260" t="n">
        <v>55.74812</v>
      </c>
      <c r="E8260" t="n">
        <v>37.70158</v>
      </c>
      <c r="F8260" t="inlineStr"/>
      <c r="G8260" t="inlineStr"/>
      <c r="H8260" t="inlineStr"/>
    </row>
    <row r="8261">
      <c r="A8261" t="inlineStr">
        <is>
          <t>17aba5b7-9952-40f6-97cb-bfbcf2f68d5b.jpg</t>
        </is>
      </c>
      <c r="B8261">
        <f>HYPERLINK("Объекты недвижимости, не соответствующие градостроительным нормам_00-022_Август/17aba5b7-9952-40f6-97cb-bfbcf2f68d5b.jpg","open")</f>
        <v/>
      </c>
      <c r="C8261" t="inlineStr">
        <is>
          <t>8cde1fd0-eca1-4510-86ab-3c743b65fdfc</t>
        </is>
      </c>
      <c r="D8261" t="n">
        <v>55.74812</v>
      </c>
      <c r="E8261" t="n">
        <v>37.70158</v>
      </c>
      <c r="F8261" t="inlineStr"/>
      <c r="G8261" t="inlineStr"/>
      <c r="H8261" t="inlineStr"/>
    </row>
    <row r="8262">
      <c r="A8262" t="inlineStr">
        <is>
          <t>78081262-0f76-4591-bb21-2f9bf6f0eefa.jpg</t>
        </is>
      </c>
      <c r="B8262">
        <f>HYPERLINK("Объекты недвижимости, не соответствующие градостроительным нормам_00-022_Август/78081262-0f76-4591-bb21-2f9bf6f0eefa.jpg","open")</f>
        <v/>
      </c>
      <c r="C8262" t="inlineStr">
        <is>
          <t>9c930d0e-e445-452d-a046-325646b21ab7</t>
        </is>
      </c>
      <c r="D8262" t="n">
        <v>55.70903</v>
      </c>
      <c r="E8262" t="n">
        <v>37.40577</v>
      </c>
      <c r="F8262" t="inlineStr"/>
      <c r="G8262" t="inlineStr"/>
      <c r="H8262" t="inlineStr"/>
    </row>
    <row r="8263">
      <c r="A8263" t="inlineStr">
        <is>
          <t>5441abfe-52b9-411a-857f-1ca8ad946a60.jpg</t>
        </is>
      </c>
      <c r="B8263">
        <f>HYPERLINK("Объекты недвижимости, не соответствующие градостроительным нормам_00-022_Август/5441abfe-52b9-411a-857f-1ca8ad946a60.jpg","open")</f>
        <v/>
      </c>
      <c r="C8263" t="inlineStr">
        <is>
          <t>036c664f-5408-4fd0-b479-342c00468eeb</t>
        </is>
      </c>
      <c r="D8263" t="n">
        <v>55.73364</v>
      </c>
      <c r="E8263" t="n">
        <v>37.59678</v>
      </c>
      <c r="F8263" t="inlineStr"/>
      <c r="G8263" t="inlineStr"/>
      <c r="H8263" t="inlineStr"/>
    </row>
    <row r="8264">
      <c r="A8264" t="inlineStr">
        <is>
          <t>a3c78c8d-153c-453e-a6c2-0781436b6dab.jpg</t>
        </is>
      </c>
      <c r="B8264">
        <f>HYPERLINK("Объекты недвижимости, не соответствующие градостроительным нормам_00-022_Август/a3c78c8d-153c-453e-a6c2-0781436b6dab.jpg","open")</f>
        <v/>
      </c>
      <c r="C8264" t="inlineStr">
        <is>
          <t>61936922-4d4b-458e-80ea-6d4c450aa1d5</t>
        </is>
      </c>
      <c r="D8264" t="n">
        <v>55.74395</v>
      </c>
      <c r="E8264" t="n">
        <v>37.69952</v>
      </c>
      <c r="F8264" t="inlineStr"/>
      <c r="G8264" t="inlineStr"/>
      <c r="H8264" t="inlineStr"/>
    </row>
    <row r="8265">
      <c r="A8265" t="inlineStr">
        <is>
          <t>4668946d-dafc-4804-beaf-42c23f9f124a.jpg</t>
        </is>
      </c>
      <c r="B8265">
        <f>HYPERLINK("Объекты недвижимости, не соответствующие градостроительным нормам_00-022_Август/4668946d-dafc-4804-beaf-42c23f9f124a.jpg","open")</f>
        <v/>
      </c>
      <c r="C8265" t="inlineStr">
        <is>
          <t>caa4772d-6278-4484-a046-ee25514bf521</t>
        </is>
      </c>
      <c r="D8265" t="n">
        <v>55.70841</v>
      </c>
      <c r="E8265" t="n">
        <v>37.82592</v>
      </c>
      <c r="F8265" t="inlineStr"/>
      <c r="G8265" t="inlineStr"/>
      <c r="H8265" t="inlineStr"/>
    </row>
    <row r="8266">
      <c r="A8266" t="inlineStr">
        <is>
          <t>eaaa2554-04c9-44d9-9171-685d8c89dbe6.jpg</t>
        </is>
      </c>
      <c r="B8266">
        <f>HYPERLINK("Объекты недвижимости, не соответствующие градостроительным нормам_00-022_Август/eaaa2554-04c9-44d9-9171-685d8c89dbe6.jpg","open")</f>
        <v/>
      </c>
      <c r="C8266" t="inlineStr">
        <is>
          <t>789f6c51-64ee-4078-b7bd-443af8b8b68a</t>
        </is>
      </c>
      <c r="D8266" t="n">
        <v>55.74765</v>
      </c>
      <c r="E8266" t="n">
        <v>37.68759</v>
      </c>
      <c r="F8266" t="inlineStr"/>
      <c r="G8266" t="inlineStr"/>
      <c r="H8266" t="inlineStr"/>
    </row>
    <row r="8267">
      <c r="A8267" t="inlineStr">
        <is>
          <t>b20f4275-48a1-4082-99d9-644d5247e687.jpg</t>
        </is>
      </c>
      <c r="B8267">
        <f>HYPERLINK("Объекты недвижимости, не соответствующие градостроительным нормам_00-022_Август/b20f4275-48a1-4082-99d9-644d5247e687.jpg","open")</f>
        <v/>
      </c>
      <c r="C8267" t="inlineStr">
        <is>
          <t>8beacb4f-617e-4b34-8030-60c4dff5f8d1</t>
        </is>
      </c>
      <c r="D8267" t="n">
        <v>55.73133</v>
      </c>
      <c r="E8267" t="n">
        <v>37.54591</v>
      </c>
      <c r="F8267" t="inlineStr"/>
      <c r="G8267" t="inlineStr"/>
      <c r="H8267" t="inlineStr"/>
    </row>
    <row r="8268">
      <c r="A8268" t="inlineStr">
        <is>
          <t>d8c36b20-066a-4afe-861b-04f0e35eb0ed.jpg</t>
        </is>
      </c>
      <c r="B8268">
        <f>HYPERLINK("Объекты недвижимости, не соответствующие градостроительным нормам_00-022_Август/d8c36b20-066a-4afe-861b-04f0e35eb0ed.jpg","open")</f>
        <v/>
      </c>
      <c r="C8268" t="inlineStr">
        <is>
          <t>91248771-2c4d-44f3-b3cf-d536bd4ae73c</t>
        </is>
      </c>
      <c r="D8268" t="n">
        <v>55.70075</v>
      </c>
      <c r="E8268" t="n">
        <v>37.46217</v>
      </c>
      <c r="F8268" t="inlineStr"/>
      <c r="G8268" t="inlineStr"/>
      <c r="H8268" t="inlineStr"/>
    </row>
    <row r="8269">
      <c r="A8269" t="inlineStr">
        <is>
          <t>1ada87f7-4472-4c80-a19c-57ccd9e6bf2a.jpg</t>
        </is>
      </c>
      <c r="B8269">
        <f>HYPERLINK("Объекты недвижимости, не соответствующие градостроительным нормам_00-022_Август/1ada87f7-4472-4c80-a19c-57ccd9e6bf2a.jpg","open")</f>
        <v/>
      </c>
      <c r="C8269" t="inlineStr">
        <is>
          <t>a1a9db89-3f74-42ef-8fad-ad69705102cd</t>
        </is>
      </c>
      <c r="D8269" t="n">
        <v>55.71933</v>
      </c>
      <c r="E8269" t="n">
        <v>37.42081</v>
      </c>
      <c r="F8269" t="inlineStr"/>
      <c r="G8269" t="inlineStr"/>
      <c r="H8269" t="inlineStr"/>
    </row>
    <row r="8270">
      <c r="A8270" t="inlineStr">
        <is>
          <t>ac459161-e972-4c54-8949-a619d8681c7e.jpg</t>
        </is>
      </c>
      <c r="B8270">
        <f>HYPERLINK("Объекты недвижимости, не соответствующие градостроительным нормам_00-022_Август/ac459161-e972-4c54-8949-a619d8681c7e.jpg","open")</f>
        <v/>
      </c>
      <c r="C8270" t="inlineStr">
        <is>
          <t>a1a9db89-3f74-42ef-8fad-ad69705102cd</t>
        </is>
      </c>
      <c r="D8270" t="n">
        <v>55.72</v>
      </c>
      <c r="E8270" t="n">
        <v>37.42468</v>
      </c>
      <c r="F8270" t="inlineStr"/>
      <c r="G8270" t="inlineStr"/>
      <c r="H8270" t="inlineStr"/>
    </row>
    <row r="8271">
      <c r="A8271" t="inlineStr">
        <is>
          <t>f052a48a-f3d0-4676-8453-1135ae9f7dd6.jpg</t>
        </is>
      </c>
      <c r="B8271">
        <f>HYPERLINK("Объекты недвижимости, не соответствующие градостроительным нормам_00-022_Август/f052a48a-f3d0-4676-8453-1135ae9f7dd6.jpg","open")</f>
        <v/>
      </c>
      <c r="C8271" t="inlineStr">
        <is>
          <t>cbf95b01-f708-45a3-9ec0-3603469b538e</t>
        </is>
      </c>
      <c r="D8271" t="n">
        <v>55.72851</v>
      </c>
      <c r="E8271" t="n">
        <v>37.4748</v>
      </c>
      <c r="F8271" t="inlineStr"/>
      <c r="G8271" t="inlineStr"/>
      <c r="H8271" t="inlineStr"/>
    </row>
    <row r="8272">
      <c r="A8272" t="inlineStr">
        <is>
          <t>1bfff1de-8fc5-45ed-abc8-1138a0a43b96.jpg</t>
        </is>
      </c>
      <c r="B8272">
        <f>HYPERLINK("Объекты недвижимости, не соответствующие градостроительным нормам_00-022_Август/1bfff1de-8fc5-45ed-abc8-1138a0a43b96.jpg","open")</f>
        <v/>
      </c>
      <c r="C8272" t="inlineStr">
        <is>
          <t>cbf95b01-f708-45a3-9ec0-3603469b538e</t>
        </is>
      </c>
      <c r="D8272" t="n">
        <v>55.73041</v>
      </c>
      <c r="E8272" t="n">
        <v>37.4852</v>
      </c>
      <c r="F8272" t="inlineStr"/>
      <c r="G8272" t="inlineStr"/>
      <c r="H8272" t="inlineStr"/>
    </row>
    <row r="8273">
      <c r="A8273" t="inlineStr">
        <is>
          <t>92dd4e6f-ef1b-4584-9fee-32051364749d.jpg</t>
        </is>
      </c>
      <c r="B8273">
        <f>HYPERLINK("Объекты недвижимости, не соответствующие градостроительным нормам_00-022_Август/92dd4e6f-ef1b-4584-9fee-32051364749d.jpg","open")</f>
        <v/>
      </c>
      <c r="C8273" t="inlineStr">
        <is>
          <t>cbf95b01-f708-45a3-9ec0-3603469b538e</t>
        </is>
      </c>
      <c r="D8273" t="n">
        <v>55.74041</v>
      </c>
      <c r="E8273" t="n">
        <v>37.54865</v>
      </c>
      <c r="F8273" t="inlineStr"/>
      <c r="G8273" t="inlineStr"/>
      <c r="H8273" t="inlineStr"/>
    </row>
    <row r="8274">
      <c r="A8274" t="inlineStr">
        <is>
          <t>98a60aa9-a7ef-4d64-b1e1-f854680749df.jpg</t>
        </is>
      </c>
      <c r="B8274">
        <f>HYPERLINK("Объекты недвижимости, не соответствующие градостроительным нормам_00-022_Август/98a60aa9-a7ef-4d64-b1e1-f854680749df.jpg","open")</f>
        <v/>
      </c>
      <c r="C8274" t="inlineStr">
        <is>
          <t>4cd87d14-7440-44b7-a5b2-a738e10006f7</t>
        </is>
      </c>
      <c r="D8274" t="n">
        <v>55.69698</v>
      </c>
      <c r="E8274" t="n">
        <v>37.40594</v>
      </c>
      <c r="F8274" t="inlineStr"/>
      <c r="G8274" t="inlineStr"/>
      <c r="H8274" t="inlineStr"/>
    </row>
    <row r="8275">
      <c r="A8275" t="inlineStr">
        <is>
          <t>31727753-fa81-4029-9d42-b02f157eb0dc.jpg</t>
        </is>
      </c>
      <c r="B8275">
        <f>HYPERLINK("Объекты недвижимости, не соответствующие градостроительным нормам_00-022_Август/31727753-fa81-4029-9d42-b02f157eb0dc.jpg","open")</f>
        <v/>
      </c>
      <c r="C8275" t="inlineStr">
        <is>
          <t>cbf95b01-f708-45a3-9ec0-3603469b538e</t>
        </is>
      </c>
      <c r="D8275" t="n">
        <v>55.74002</v>
      </c>
      <c r="E8275" t="n">
        <v>37.54918</v>
      </c>
      <c r="F8275" t="inlineStr"/>
      <c r="G8275" t="inlineStr"/>
      <c r="H8275" t="inlineStr"/>
    </row>
    <row r="8276">
      <c r="A8276" t="inlineStr">
        <is>
          <t>7befc790-b93b-47fa-a798-0775cc8c81d7.jpg</t>
        </is>
      </c>
      <c r="B8276">
        <f>HYPERLINK("Объекты недвижимости, не соответствующие градостроительным нормам_00-022_Август/7befc790-b93b-47fa-a798-0775cc8c81d7.jpg","open")</f>
        <v/>
      </c>
      <c r="C8276" t="inlineStr">
        <is>
          <t>cbf95b01-f708-45a3-9ec0-3603469b538e</t>
        </is>
      </c>
      <c r="D8276" t="n">
        <v>55.74169</v>
      </c>
      <c r="E8276" t="n">
        <v>37.555</v>
      </c>
      <c r="F8276" t="inlineStr"/>
      <c r="G8276" t="inlineStr"/>
      <c r="H8276" t="inlineStr"/>
    </row>
    <row r="8277">
      <c r="A8277" t="inlineStr">
        <is>
          <t>ea5737ce-605e-47a3-9410-fb9977a8aa2d.jpg</t>
        </is>
      </c>
      <c r="B8277">
        <f>HYPERLINK("Объекты недвижимости, не соответствующие градостроительным нормам_00-022_Август/ea5737ce-605e-47a3-9410-fb9977a8aa2d.jpg","open")</f>
        <v/>
      </c>
      <c r="C8277" t="inlineStr">
        <is>
          <t>cbf95b01-f708-45a3-9ec0-3603469b538e</t>
        </is>
      </c>
      <c r="D8277" t="n">
        <v>55.74334</v>
      </c>
      <c r="E8277" t="n">
        <v>37.56095</v>
      </c>
      <c r="F8277" t="inlineStr"/>
      <c r="G8277" t="inlineStr"/>
      <c r="H8277" t="inlineStr"/>
    </row>
    <row r="8278">
      <c r="A8278" t="inlineStr">
        <is>
          <t>a3c812f6-ba9b-4354-9940-cb6485a9cb76.jpg</t>
        </is>
      </c>
      <c r="B8278">
        <f>HYPERLINK("Объекты недвижимости, не соответствующие градостроительным нормам_00-022_Август/a3c812f6-ba9b-4354-9940-cb6485a9cb76.jpg","open")</f>
        <v/>
      </c>
      <c r="C8278" t="inlineStr">
        <is>
          <t>e26f5fc2-1353-4f29-85f3-87c56419161c</t>
        </is>
      </c>
      <c r="D8278" t="n">
        <v>55.77874</v>
      </c>
      <c r="E8278" t="n">
        <v>37.45485</v>
      </c>
      <c r="F8278" t="inlineStr"/>
      <c r="G8278" t="inlineStr"/>
      <c r="H8278" t="inlineStr"/>
    </row>
    <row r="8279">
      <c r="A8279" t="inlineStr">
        <is>
          <t>d781485b-fc79-4352-b012-cbb2a508f316.jpg</t>
        </is>
      </c>
      <c r="B8279">
        <f>HYPERLINK("Объекты недвижимости, не соответствующие градостроительным нормам_00-022_Август/d781485b-fc79-4352-b012-cbb2a508f316.jpg","open")</f>
        <v/>
      </c>
      <c r="C8279" t="inlineStr">
        <is>
          <t>4cd87d14-7440-44b7-a5b2-a738e10006f7</t>
        </is>
      </c>
      <c r="D8279" t="n">
        <v>55.76523</v>
      </c>
      <c r="E8279" t="n">
        <v>37.55278</v>
      </c>
      <c r="F8279" t="inlineStr"/>
      <c r="G8279" t="inlineStr"/>
      <c r="H8279" t="inlineStr"/>
    </row>
    <row r="8280">
      <c r="A8280" t="inlineStr">
        <is>
          <t>40ea6161-3c5a-4c9a-ab6a-b957d8baf301.jpg</t>
        </is>
      </c>
      <c r="B8280">
        <f>HYPERLINK("Объекты недвижимости, не соответствующие градостроительным нормам_00-022_Август/40ea6161-3c5a-4c9a-ab6a-b957d8baf301.jpg","open")</f>
        <v/>
      </c>
      <c r="C8280" t="inlineStr">
        <is>
          <t>cb4060b2-34d3-44a4-9f60-115fb1e9278e</t>
        </is>
      </c>
      <c r="D8280" t="n">
        <v>55.76535</v>
      </c>
      <c r="E8280" t="n">
        <v>37.55276</v>
      </c>
      <c r="F8280" t="inlineStr"/>
      <c r="G8280" t="inlineStr"/>
      <c r="H8280" t="inlineStr"/>
    </row>
    <row r="8281">
      <c r="A8281" t="inlineStr">
        <is>
          <t>999cf19a-aa89-44fb-b239-6fc286bd428d.jpg</t>
        </is>
      </c>
      <c r="B8281">
        <f>HYPERLINK("Объекты недвижимости, не соответствующие градостроительным нормам_00-022_Август/999cf19a-aa89-44fb-b239-6fc286bd428d.jpg","open")</f>
        <v/>
      </c>
      <c r="C8281" t="inlineStr">
        <is>
          <t>e26f5fc2-1353-4f29-85f3-87c56419161c</t>
        </is>
      </c>
      <c r="D8281" t="n">
        <v>55.77296</v>
      </c>
      <c r="E8281" t="n">
        <v>37.55178</v>
      </c>
      <c r="F8281" t="inlineStr"/>
      <c r="G8281" t="inlineStr"/>
      <c r="H8281" t="inlineStr"/>
    </row>
    <row r="8282">
      <c r="A8282" t="inlineStr">
        <is>
          <t>0adfc423-108c-4da4-8a7a-d3ec3140dedc.jpg</t>
        </is>
      </c>
      <c r="B8282">
        <f>HYPERLINK("Объекты недвижимости, не соответствующие градостроительным нормам_00-022_Август/0adfc423-108c-4da4-8a7a-d3ec3140dedc.jpg","open")</f>
        <v/>
      </c>
      <c r="C8282" t="inlineStr">
        <is>
          <t>ed2bf0f1-3a66-4913-896e-4420a9796c0b</t>
        </is>
      </c>
      <c r="D8282" t="n">
        <v>55.80232</v>
      </c>
      <c r="E8282" t="n">
        <v>37.83004</v>
      </c>
      <c r="F8282" t="inlineStr"/>
      <c r="G8282" t="inlineStr"/>
      <c r="H8282" t="inlineStr"/>
    </row>
    <row r="8283">
      <c r="A8283" t="inlineStr">
        <is>
          <t>1fbbf838-94a5-47b4-b443-0d33b69efe74.jpg</t>
        </is>
      </c>
      <c r="B8283">
        <f>HYPERLINK("Объекты недвижимости, не соответствующие градостроительным нормам_00-022_Август/1fbbf838-94a5-47b4-b443-0d33b69efe74.jpg","open")</f>
        <v/>
      </c>
      <c r="C8283" t="inlineStr">
        <is>
          <t>29ad9edb-d533-4272-a986-be24eb004851</t>
        </is>
      </c>
      <c r="D8283" t="n">
        <v>55.71927</v>
      </c>
      <c r="E8283" t="n">
        <v>37.49563</v>
      </c>
      <c r="F8283" t="inlineStr"/>
      <c r="G8283" t="inlineStr"/>
      <c r="H8283" t="inlineStr"/>
    </row>
    <row r="8284">
      <c r="A8284" t="inlineStr">
        <is>
          <t>75fdba06-e82c-47ce-9bad-6af5e29889eb.jpg</t>
        </is>
      </c>
      <c r="B8284">
        <f>HYPERLINK("Объекты недвижимости, не соответствующие градостроительным нормам_00-022_Август/75fdba06-e82c-47ce-9bad-6af5e29889eb.jpg","open")</f>
        <v/>
      </c>
      <c r="C8284" t="inlineStr">
        <is>
          <t>cb4060b2-34d3-44a4-9f60-115fb1e9278e</t>
        </is>
      </c>
      <c r="D8284" t="n">
        <v>55.76987</v>
      </c>
      <c r="E8284" t="n">
        <v>37.55605</v>
      </c>
      <c r="F8284" t="inlineStr"/>
      <c r="G8284" t="inlineStr"/>
      <c r="H8284" t="inlineStr"/>
    </row>
    <row r="8285">
      <c r="A8285" t="inlineStr">
        <is>
          <t>4c7dd694-791d-4683-a386-c2d7717016e6.jpg</t>
        </is>
      </c>
      <c r="B8285">
        <f>HYPERLINK("Объекты недвижимости, не соответствующие градостроительным нормам_00-022_Август/4c7dd694-791d-4683-a386-c2d7717016e6.jpg","open")</f>
        <v/>
      </c>
      <c r="C8285" t="inlineStr">
        <is>
          <t>e26f5fc2-1353-4f29-85f3-87c56419161c</t>
        </is>
      </c>
      <c r="D8285" t="n">
        <v>55.96471</v>
      </c>
      <c r="E8285" t="n">
        <v>37.41895</v>
      </c>
      <c r="F8285" t="inlineStr"/>
      <c r="G8285" t="inlineStr"/>
      <c r="H8285" t="inlineStr"/>
    </row>
    <row r="8286">
      <c r="A8286" t="inlineStr">
        <is>
          <t>4c2283dd-dacd-4925-bd43-a0fa713d5c0c.jpg</t>
        </is>
      </c>
      <c r="B8286">
        <f>HYPERLINK("Объекты недвижимости, не соответствующие градостроительным нормам_00-022_Август/4c2283dd-dacd-4925-bd43-a0fa713d5c0c.jpg","open")</f>
        <v/>
      </c>
      <c r="C8286" t="inlineStr">
        <is>
          <t>a28f597e-d1cd-4d3b-b572-c86d033412e9</t>
        </is>
      </c>
      <c r="D8286" t="n">
        <v>55.75526</v>
      </c>
      <c r="E8286" t="n">
        <v>37.68783</v>
      </c>
      <c r="F8286" t="inlineStr"/>
      <c r="G8286" t="inlineStr"/>
      <c r="H8286" t="inlineStr"/>
    </row>
    <row r="8287">
      <c r="A8287" t="inlineStr">
        <is>
          <t>1ef4d09f-e5d5-4ce8-bedd-7f6df53be6a3.jpg</t>
        </is>
      </c>
      <c r="B8287">
        <f>HYPERLINK("Объекты недвижимости, не соответствующие градостроительным нормам_00-022_Август/1ef4d09f-e5d5-4ce8-bedd-7f6df53be6a3.jpg","open")</f>
        <v/>
      </c>
      <c r="C8287" t="inlineStr">
        <is>
          <t>052a5a2b-f222-4b50-b2cc-21612f1f234a</t>
        </is>
      </c>
      <c r="D8287" t="n">
        <v>55.96513</v>
      </c>
      <c r="E8287" t="n">
        <v>37.42286</v>
      </c>
      <c r="F8287" t="inlineStr"/>
      <c r="G8287" t="inlineStr"/>
      <c r="H8287" t="inlineStr"/>
    </row>
    <row r="8288">
      <c r="A8288" t="inlineStr">
        <is>
          <t>6da67161-3e3c-473a-9d37-39280552b756.jpg</t>
        </is>
      </c>
      <c r="B8288">
        <f>HYPERLINK("Объекты недвижимости, не соответствующие градостроительным нормам_00-022_Август/6da67161-3e3c-473a-9d37-39280552b756.jpg","open")</f>
        <v/>
      </c>
      <c r="C8288" t="inlineStr">
        <is>
          <t>1a55986c-2c3f-40c0-b3d1-014dce77832e</t>
        </is>
      </c>
      <c r="D8288" t="n">
        <v>55.88961</v>
      </c>
      <c r="E8288" t="n">
        <v>37.57357</v>
      </c>
      <c r="F8288" t="inlineStr"/>
      <c r="G8288" t="inlineStr"/>
      <c r="H8288" t="inlineStr"/>
    </row>
    <row r="8289">
      <c r="A8289" t="inlineStr">
        <is>
          <t>a1826988-d777-4caa-a45b-1407eb3ecf38.jpg</t>
        </is>
      </c>
      <c r="B8289">
        <f>HYPERLINK("Объекты недвижимости, не соответствующие градостроительным нормам_00-022_Август/a1826988-d777-4caa-a45b-1407eb3ecf38.jpg","open")</f>
        <v/>
      </c>
      <c r="C8289" t="inlineStr">
        <is>
          <t>ed2bf0f1-3a66-4913-896e-4420a9796c0b</t>
        </is>
      </c>
      <c r="D8289" t="n">
        <v>55.88942</v>
      </c>
      <c r="E8289" t="n">
        <v>37.57355</v>
      </c>
      <c r="F8289" t="inlineStr"/>
      <c r="G8289" t="inlineStr"/>
      <c r="H8289" t="inlineStr"/>
    </row>
    <row r="8290">
      <c r="A8290" t="inlineStr">
        <is>
          <t>aaa1fe9b-8c28-4b10-a967-71628d35eaaf.jpg</t>
        </is>
      </c>
      <c r="B8290">
        <f>HYPERLINK("Объекты недвижимости, не соответствующие градостроительным нормам_00-022_Август/aaa1fe9b-8c28-4b10-a967-71628d35eaaf.jpg","open")</f>
        <v/>
      </c>
      <c r="C8290" t="inlineStr">
        <is>
          <t>ed2bf0f1-3a66-4913-896e-4420a9796c0b</t>
        </is>
      </c>
      <c r="D8290" t="n">
        <v>55.88895</v>
      </c>
      <c r="E8290" t="n">
        <v>37.57248</v>
      </c>
      <c r="F8290" t="inlineStr"/>
      <c r="G8290" t="inlineStr"/>
      <c r="H8290" t="inlineStr"/>
    </row>
    <row r="8291">
      <c r="A8291" t="inlineStr">
        <is>
          <t>0e9c030d-a01d-4655-8f87-ecb54e5f939f.jpg</t>
        </is>
      </c>
      <c r="B8291">
        <f>HYPERLINK("Объекты недвижимости, не соответствующие градостроительным нормам_00-022_Август/0e9c030d-a01d-4655-8f87-ecb54e5f939f.jpg","open")</f>
        <v/>
      </c>
      <c r="C8291" t="inlineStr">
        <is>
          <t>1a55986c-2c3f-40c0-b3d1-014dce77832e</t>
        </is>
      </c>
      <c r="D8291" t="n">
        <v>55.88894</v>
      </c>
      <c r="E8291" t="n">
        <v>37.5725</v>
      </c>
      <c r="F8291" t="inlineStr"/>
      <c r="G8291" t="inlineStr"/>
      <c r="H8291" t="inlineStr"/>
    </row>
    <row r="8292">
      <c r="A8292" t="inlineStr">
        <is>
          <t>87b24e02-f235-4497-8977-2f0292c365aa.jpg</t>
        </is>
      </c>
      <c r="B8292">
        <f>HYPERLINK("Объекты недвижимости, не соответствующие градостроительным нормам_00-022_Август/87b24e02-f235-4497-8977-2f0292c365aa.jpg","open")</f>
        <v/>
      </c>
      <c r="C8292" t="inlineStr">
        <is>
          <t>1a55986c-2c3f-40c0-b3d1-014dce77832e</t>
        </is>
      </c>
      <c r="D8292" t="n">
        <v>55.88891</v>
      </c>
      <c r="E8292" t="n">
        <v>37.57249</v>
      </c>
      <c r="F8292" t="inlineStr"/>
      <c r="G8292" t="inlineStr"/>
      <c r="H8292" t="inlineStr"/>
    </row>
    <row r="8293">
      <c r="A8293" t="inlineStr">
        <is>
          <t>377ddb50-b12a-47b2-a77c-1beb0b4724be.jpg</t>
        </is>
      </c>
      <c r="B8293">
        <f>HYPERLINK("Объекты недвижимости, не соответствующие градостроительным нормам_00-022_Август/377ddb50-b12a-47b2-a77c-1beb0b4724be.jpg","open")</f>
        <v/>
      </c>
      <c r="C8293" t="inlineStr">
        <is>
          <t>5e5b9944-4f9e-4223-bf96-0bc0c8a93dfa</t>
        </is>
      </c>
      <c r="D8293" t="n">
        <v>55.71002</v>
      </c>
      <c r="E8293" t="n">
        <v>37.66476</v>
      </c>
      <c r="F8293" t="inlineStr"/>
      <c r="G8293" t="inlineStr"/>
      <c r="H8293" t="inlineStr"/>
    </row>
    <row r="8294">
      <c r="A8294" t="inlineStr">
        <is>
          <t>06365149-10e1-4729-ae53-48d3095dc6a8.jpg</t>
        </is>
      </c>
      <c r="B8294">
        <f>HYPERLINK("Объекты недвижимости, не соответствующие градостроительным нормам_00-022_Август/06365149-10e1-4729-ae53-48d3095dc6a8.jpg","open")</f>
        <v/>
      </c>
      <c r="C8294" t="inlineStr">
        <is>
          <t>1a55986c-2c3f-40c0-b3d1-014dce77832e</t>
        </is>
      </c>
      <c r="D8294" t="n">
        <v>55.88894</v>
      </c>
      <c r="E8294" t="n">
        <v>37.57241</v>
      </c>
      <c r="F8294" t="inlineStr"/>
      <c r="G8294" t="inlineStr"/>
      <c r="H8294" t="inlineStr"/>
    </row>
    <row r="8295">
      <c r="A8295" t="inlineStr">
        <is>
          <t>0a6d1e93-4be0-44e8-9694-25a7fb02e251.jpg</t>
        </is>
      </c>
      <c r="B8295">
        <f>HYPERLINK("Объекты недвижимости, не соответствующие градостроительным нормам_00-022_Август/0a6d1e93-4be0-44e8-9694-25a7fb02e251.jpg","open")</f>
        <v/>
      </c>
      <c r="C8295" t="inlineStr">
        <is>
          <t>ed2bf0f1-3a66-4913-896e-4420a9796c0b</t>
        </is>
      </c>
      <c r="D8295" t="n">
        <v>55.88894</v>
      </c>
      <c r="E8295" t="n">
        <v>37.57241</v>
      </c>
      <c r="F8295" t="inlineStr"/>
      <c r="G8295" t="inlineStr"/>
      <c r="H8295" t="inlineStr"/>
    </row>
    <row r="8296">
      <c r="A8296" t="inlineStr">
        <is>
          <t>b5fb69bf-4a22-47e8-a1ba-efea12b3703a.jpg</t>
        </is>
      </c>
      <c r="B8296">
        <f>HYPERLINK("Объекты недвижимости, не соответствующие градостроительным нормам_00-022_Август/b5fb69bf-4a22-47e8-a1ba-efea12b3703a.jpg","open")</f>
        <v/>
      </c>
      <c r="C8296" t="inlineStr">
        <is>
          <t>1a55986c-2c3f-40c0-b3d1-014dce77832e</t>
        </is>
      </c>
      <c r="D8296" t="n">
        <v>55.88949</v>
      </c>
      <c r="E8296" t="n">
        <v>37.57356</v>
      </c>
      <c r="F8296" t="inlineStr"/>
      <c r="G8296" t="inlineStr"/>
      <c r="H8296" t="inlineStr"/>
    </row>
    <row r="8297">
      <c r="A8297" t="inlineStr">
        <is>
          <t>30273435-c4dd-4453-867f-ec4873e98684.jpg</t>
        </is>
      </c>
      <c r="B8297">
        <f>HYPERLINK("Объекты недвижимости, не соответствующие градостроительным нормам_00-022_Август/30273435-c4dd-4453-867f-ec4873e98684.jpg","open")</f>
        <v/>
      </c>
      <c r="C8297" t="inlineStr">
        <is>
          <t>ed2bf0f1-3a66-4913-896e-4420a9796c0b</t>
        </is>
      </c>
      <c r="D8297" t="n">
        <v>55.88949</v>
      </c>
      <c r="E8297" t="n">
        <v>37.57356</v>
      </c>
      <c r="F8297" t="inlineStr"/>
      <c r="G8297" t="inlineStr"/>
      <c r="H8297" t="inlineStr"/>
    </row>
    <row r="8298">
      <c r="A8298" t="inlineStr">
        <is>
          <t>1be15641-bdf0-4ca9-a9e8-f4a147bc3744.jpg</t>
        </is>
      </c>
      <c r="B8298">
        <f>HYPERLINK("Объекты недвижимости, не соответствующие градостроительным нормам_00-022_Август/1be15641-bdf0-4ca9-a9e8-f4a147bc3744.jpg","open")</f>
        <v/>
      </c>
      <c r="C8298" t="inlineStr">
        <is>
          <t>ed2bf0f1-3a66-4913-896e-4420a9796c0b</t>
        </is>
      </c>
      <c r="D8298" t="n">
        <v>55.8904</v>
      </c>
      <c r="E8298" t="n">
        <v>37.57366</v>
      </c>
      <c r="F8298" t="inlineStr"/>
      <c r="G8298" t="inlineStr"/>
      <c r="H8298" t="inlineStr"/>
    </row>
    <row r="8299">
      <c r="A8299" t="inlineStr">
        <is>
          <t>2cf0334c-85ca-4160-9aa7-3ed5bd023c86.jpg</t>
        </is>
      </c>
      <c r="B8299">
        <f>HYPERLINK("Объекты недвижимости, не соответствующие градостроительным нормам_00-022_Август/2cf0334c-85ca-4160-9aa7-3ed5bd023c86.jpg","open")</f>
        <v/>
      </c>
      <c r="C8299" t="inlineStr">
        <is>
          <t>cbf95b01-f708-45a3-9ec0-3603469b538e</t>
        </is>
      </c>
      <c r="D8299" t="n">
        <v>55.74276</v>
      </c>
      <c r="E8299" t="n">
        <v>37.56048</v>
      </c>
      <c r="F8299" t="inlineStr"/>
      <c r="G8299" t="inlineStr"/>
      <c r="H8299" t="inlineStr"/>
    </row>
    <row r="8300">
      <c r="A8300" t="inlineStr">
        <is>
          <t>c3049525-b36a-47fc-bd3b-a888338dc58f.jpg</t>
        </is>
      </c>
      <c r="B8300">
        <f>HYPERLINK("Объекты недвижимости, не соответствующие градостроительным нормам_00-022_Август/c3049525-b36a-47fc-bd3b-a888338dc58f.jpg","open")</f>
        <v/>
      </c>
      <c r="C8300" t="inlineStr">
        <is>
          <t>8cde1fd0-eca1-4510-86ab-3c743b65fdfc</t>
        </is>
      </c>
      <c r="D8300" t="n">
        <v>55.74812</v>
      </c>
      <c r="E8300" t="n">
        <v>37.70158</v>
      </c>
      <c r="F8300" t="inlineStr"/>
      <c r="G8300" t="inlineStr"/>
      <c r="H8300" t="inlineStr"/>
    </row>
    <row r="8301">
      <c r="A8301" t="inlineStr">
        <is>
          <t>0df90d52-8cf4-4e12-ae04-86f838af02b4.jpg</t>
        </is>
      </c>
      <c r="B8301">
        <f>HYPERLINK("Объекты недвижимости, не соответствующие градостроительным нормам_00-022_Август/0df90d52-8cf4-4e12-ae04-86f838af02b4.jpg","open")</f>
        <v/>
      </c>
      <c r="C8301" t="inlineStr">
        <is>
          <t>57aae8a4-582b-4309-8045-c8127a9f86ae</t>
        </is>
      </c>
      <c r="D8301" t="n">
        <v>55.77915</v>
      </c>
      <c r="E8301" t="n">
        <v>37.70318</v>
      </c>
      <c r="F8301" t="inlineStr"/>
      <c r="G8301" t="inlineStr"/>
      <c r="H8301" t="inlineStr"/>
    </row>
    <row r="8302">
      <c r="A8302" t="inlineStr">
        <is>
          <t>112692c5-4830-4a88-b408-e4b9c27b2ffe.jpg</t>
        </is>
      </c>
      <c r="B8302">
        <f>HYPERLINK("Объекты недвижимости, не соответствующие градостроительным нормам_00-022_Август/112692c5-4830-4a88-b408-e4b9c27b2ffe.jpg","open")</f>
        <v/>
      </c>
      <c r="C8302" t="inlineStr">
        <is>
          <t>61936922-4d4b-458e-80ea-6d4c450aa1d5</t>
        </is>
      </c>
      <c r="D8302" t="n">
        <v>55.51785</v>
      </c>
      <c r="E8302" t="n">
        <v>45.52367</v>
      </c>
      <c r="F8302" t="inlineStr"/>
      <c r="G8302" t="inlineStr"/>
      <c r="H8302" t="inlineStr"/>
    </row>
    <row r="8303">
      <c r="A8303" t="inlineStr">
        <is>
          <t>2e229f3e-46ba-4c9e-a2fd-41fbd07fb955.jpg</t>
        </is>
      </c>
      <c r="B8303">
        <f>HYPERLINK("Объекты недвижимости, не соответствующие градостроительным нормам_00-022_Август/2e229f3e-46ba-4c9e-a2fd-41fbd07fb955.jpg","open")</f>
        <v/>
      </c>
      <c r="C8303" t="inlineStr">
        <is>
          <t>9fb3d110-951f-48da-9d90-cfd7e1b5800d</t>
        </is>
      </c>
      <c r="D8303" t="n">
        <v>55.51785</v>
      </c>
      <c r="E8303" t="n">
        <v>45.52367</v>
      </c>
      <c r="F8303" t="inlineStr"/>
      <c r="G8303" t="inlineStr"/>
      <c r="H8303" t="inlineStr"/>
    </row>
    <row r="8304">
      <c r="A8304" t="inlineStr">
        <is>
          <t>12621dc8-9191-4c3b-9c49-0f3a9cb6bc7f.jpg</t>
        </is>
      </c>
      <c r="B8304">
        <f>HYPERLINK("Объекты недвижимости, не соответствующие градостроительным нормам_00-022_Август/12621dc8-9191-4c3b-9c49-0f3a9cb6bc7f.jpg","open")</f>
        <v/>
      </c>
      <c r="C8304" t="inlineStr">
        <is>
          <t>cbf95b01-f708-45a3-9ec0-3603469b538e</t>
        </is>
      </c>
      <c r="D8304" t="n">
        <v>55.74276</v>
      </c>
      <c r="E8304" t="n">
        <v>37.56048</v>
      </c>
      <c r="F8304" t="inlineStr"/>
      <c r="G8304" t="inlineStr"/>
      <c r="H8304" t="inlineStr"/>
    </row>
    <row r="8305">
      <c r="A8305" t="inlineStr">
        <is>
          <t>fcd74f2e-1bd7-459f-bae1-23e38174e34a.jpg</t>
        </is>
      </c>
      <c r="B8305">
        <f>HYPERLINK("Объекты недвижимости, не соответствующие градостроительным нормам_00-022_Август/fcd74f2e-1bd7-459f-bae1-23e38174e34a.jpg","open")</f>
        <v/>
      </c>
      <c r="C8305" t="inlineStr">
        <is>
          <t>cbf95b01-f708-45a3-9ec0-3603469b538e</t>
        </is>
      </c>
      <c r="D8305" t="n">
        <v>55.74276</v>
      </c>
      <c r="E8305" t="n">
        <v>37.56048</v>
      </c>
      <c r="F8305" t="inlineStr"/>
      <c r="G8305" t="inlineStr"/>
      <c r="H8305" t="inlineStr"/>
    </row>
    <row r="8306">
      <c r="A8306" t="inlineStr">
        <is>
          <t>063e6778-a100-4d7e-838f-60187d07aba5.jpg</t>
        </is>
      </c>
      <c r="B8306">
        <f>HYPERLINK("Объекты недвижимости, не соответствующие градостроительным нормам_00-022_Август/063e6778-a100-4d7e-838f-60187d07aba5.jpg","open")</f>
        <v/>
      </c>
      <c r="C8306" t="inlineStr">
        <is>
          <t>a1a9db89-3f74-42ef-8fad-ad69705102cd</t>
        </is>
      </c>
      <c r="D8306" t="n">
        <v>55.74276</v>
      </c>
      <c r="E8306" t="n">
        <v>37.56048</v>
      </c>
      <c r="F8306" t="inlineStr"/>
      <c r="G8306" t="inlineStr"/>
      <c r="H8306" t="inlineStr"/>
    </row>
    <row r="8307">
      <c r="A8307" t="inlineStr">
        <is>
          <t>85c8e5cb-de59-4eb9-8c3b-3a819a4dd850.jpg</t>
        </is>
      </c>
      <c r="B8307">
        <f>HYPERLINK("Объекты недвижимости, не соответствующие градостроительным нормам_00-022_Август/85c8e5cb-de59-4eb9-8c3b-3a819a4dd850.jpg","open")</f>
        <v/>
      </c>
      <c r="C8307" t="inlineStr">
        <is>
          <t>a1a9db89-3f74-42ef-8fad-ad69705102cd</t>
        </is>
      </c>
      <c r="D8307" t="n">
        <v>55.74276</v>
      </c>
      <c r="E8307" t="n">
        <v>37.56048</v>
      </c>
      <c r="F8307" t="inlineStr"/>
      <c r="G8307" t="inlineStr"/>
      <c r="H8307" t="inlineStr"/>
    </row>
    <row r="8308">
      <c r="A8308" t="inlineStr">
        <is>
          <t>719d2529-cc95-4949-98cc-ee91d297582e.jpg</t>
        </is>
      </c>
      <c r="B8308">
        <f>HYPERLINK("Объекты недвижимости, не соответствующие градостроительным нормам_00-022_Август/719d2529-cc95-4949-98cc-ee91d297582e.jpg","open")</f>
        <v/>
      </c>
      <c r="C8308" t="inlineStr">
        <is>
          <t>61936922-4d4b-458e-80ea-6d4c450aa1d5</t>
        </is>
      </c>
      <c r="D8308" t="n">
        <v>55.51785</v>
      </c>
      <c r="E8308" t="n">
        <v>45.52367</v>
      </c>
      <c r="F8308" t="inlineStr"/>
      <c r="G8308" t="inlineStr"/>
      <c r="H8308" t="inlineStr"/>
    </row>
    <row r="8309">
      <c r="A8309" t="inlineStr">
        <is>
          <t>ed0cb578-f9dc-4e95-88b6-69023092b090.jpg</t>
        </is>
      </c>
      <c r="B8309">
        <f>HYPERLINK("Объекты недвижимости, не соответствующие градостроительным нормам_00-022_Август/ed0cb578-f9dc-4e95-88b6-69023092b090.jpg","open")</f>
        <v/>
      </c>
      <c r="C8309" t="inlineStr">
        <is>
          <t>cbf95b01-f708-45a3-9ec0-3603469b538e</t>
        </is>
      </c>
      <c r="D8309" t="n">
        <v>55.74276</v>
      </c>
      <c r="E8309" t="n">
        <v>37.56048</v>
      </c>
      <c r="F8309" t="inlineStr"/>
      <c r="G8309" t="inlineStr"/>
      <c r="H8309" t="inlineStr"/>
    </row>
    <row r="8310">
      <c r="A8310" t="inlineStr">
        <is>
          <t>3c613b50-483e-42cf-aa2c-07f938dff66e.jpg</t>
        </is>
      </c>
      <c r="B8310">
        <f>HYPERLINK("Объекты недвижимости, не соответствующие градостроительным нормам_00-022_Август/3c613b50-483e-42cf-aa2c-07f938dff66e.jpg","open")</f>
        <v/>
      </c>
      <c r="C8310" t="inlineStr">
        <is>
          <t>a1a9db89-3f74-42ef-8fad-ad69705102cd</t>
        </is>
      </c>
      <c r="D8310" t="n">
        <v>55.74276</v>
      </c>
      <c r="E8310" t="n">
        <v>37.56048</v>
      </c>
      <c r="F8310" t="inlineStr"/>
      <c r="G8310" t="inlineStr"/>
      <c r="H8310" t="inlineStr"/>
    </row>
    <row r="8311">
      <c r="A8311" t="inlineStr">
        <is>
          <t>f5068c33-822a-4402-9c30-4eb797dbc6bd.jpg</t>
        </is>
      </c>
      <c r="B8311">
        <f>HYPERLINK("Объекты недвижимости, не соответствующие градостроительным нормам_00-022_Август/f5068c33-822a-4402-9c30-4eb797dbc6bd.jpg","open")</f>
        <v/>
      </c>
      <c r="C8311" t="inlineStr">
        <is>
          <t>31a713a9-b910-424b-b847-e0eaa2f70c70</t>
        </is>
      </c>
      <c r="D8311" t="n">
        <v>55.71037</v>
      </c>
      <c r="E8311" t="n">
        <v>37.67008</v>
      </c>
      <c r="F8311" t="inlineStr"/>
      <c r="G8311" t="inlineStr"/>
      <c r="H8311" t="inlineStr"/>
    </row>
    <row r="8312">
      <c r="A8312" t="inlineStr">
        <is>
          <t>4241fbd3-1363-40ae-8c1a-4846a8b3cf6b.jpg</t>
        </is>
      </c>
      <c r="B8312">
        <f>HYPERLINK("Объекты недвижимости, не соответствующие градостроительным нормам_00-022_Август/4241fbd3-1363-40ae-8c1a-4846a8b3cf6b.jpg","open")</f>
        <v/>
      </c>
      <c r="C8312" t="inlineStr">
        <is>
          <t>61936922-4d4b-458e-80ea-6d4c450aa1d5</t>
        </is>
      </c>
      <c r="D8312" t="n">
        <v>55.51785</v>
      </c>
      <c r="E8312" t="n">
        <v>45.52367</v>
      </c>
      <c r="F8312" t="inlineStr"/>
      <c r="G8312" t="inlineStr"/>
      <c r="H8312" t="inlineStr"/>
    </row>
    <row r="8313">
      <c r="A8313" t="inlineStr">
        <is>
          <t>5884b83e-39e1-4054-9e2f-109cb302df2f.jpg</t>
        </is>
      </c>
      <c r="B8313">
        <f>HYPERLINK("Объекты недвижимости, не соответствующие градостроительным нормам_00-022_Август/5884b83e-39e1-4054-9e2f-109cb302df2f.jpg","open")</f>
        <v/>
      </c>
      <c r="C8313" t="inlineStr">
        <is>
          <t>5e5b9944-4f9e-4223-bf96-0bc0c8a93dfa</t>
        </is>
      </c>
      <c r="D8313" t="n">
        <v>55.71002</v>
      </c>
      <c r="E8313" t="n">
        <v>37.66476</v>
      </c>
      <c r="F8313" t="inlineStr"/>
      <c r="G8313" t="inlineStr"/>
      <c r="H8313" t="inlineStr"/>
    </row>
    <row r="8314">
      <c r="A8314" t="inlineStr">
        <is>
          <t>3c6bab7e-e119-4af4-877b-de1087937781.jpg</t>
        </is>
      </c>
      <c r="B8314">
        <f>HYPERLINK("Объекты недвижимости, не соответствующие градостроительным нормам_00-022_Август/3c6bab7e-e119-4af4-877b-de1087937781.jpg","open")</f>
        <v/>
      </c>
      <c r="C8314" t="inlineStr">
        <is>
          <t>5adecbcf-6742-48b8-951f-8e3abc9509e4</t>
        </is>
      </c>
      <c r="D8314" t="n">
        <v>55.71002</v>
      </c>
      <c r="E8314" t="n">
        <v>37.66476</v>
      </c>
      <c r="F8314" t="inlineStr"/>
      <c r="G8314" t="inlineStr"/>
      <c r="H8314" t="inlineStr"/>
    </row>
    <row r="8315">
      <c r="A8315" t="inlineStr">
        <is>
          <t>465911a0-594b-475a-a209-25633e163cf5.jpg</t>
        </is>
      </c>
      <c r="B8315">
        <f>HYPERLINK("Объекты недвижимости, не соответствующие градостроительным нормам_00-022_Август/465911a0-594b-475a-a209-25633e163cf5.jpg","open")</f>
        <v/>
      </c>
      <c r="C8315" t="inlineStr">
        <is>
          <t>5adecbcf-6742-48b8-951f-8e3abc9509e4</t>
        </is>
      </c>
      <c r="D8315" t="n">
        <v>55.71002</v>
      </c>
      <c r="E8315" t="n">
        <v>37.66476</v>
      </c>
      <c r="F8315" t="inlineStr"/>
      <c r="G8315" t="inlineStr"/>
      <c r="H8315" t="inlineStr"/>
    </row>
    <row r="8316">
      <c r="A8316" t="inlineStr">
        <is>
          <t>6e8eeeee-120a-45e3-8e1e-1be5cb95d666.jpg</t>
        </is>
      </c>
      <c r="B8316">
        <f>HYPERLINK("Объекты недвижимости, не соответствующие градостроительным нормам_00-022_Август/6e8eeeee-120a-45e3-8e1e-1be5cb95d666.jpg","open")</f>
        <v/>
      </c>
      <c r="C8316" t="inlineStr">
        <is>
          <t>685d9054-b74f-49ab-857b-109fd2cec80d</t>
        </is>
      </c>
      <c r="D8316" t="n">
        <v>55.70124</v>
      </c>
      <c r="E8316" t="n">
        <v>37.53402</v>
      </c>
      <c r="F8316" t="inlineStr"/>
      <c r="G8316" t="inlineStr"/>
      <c r="H8316" t="inlineStr"/>
    </row>
    <row r="8317">
      <c r="A8317" t="inlineStr">
        <is>
          <t>3188f78a-ff2d-43ae-a2f6-58c75c346171.jpg</t>
        </is>
      </c>
      <c r="B8317">
        <f>HYPERLINK("Объекты недвижимости, не соответствующие градостроительным нормам_00-022_Август/3188f78a-ff2d-43ae-a2f6-58c75c346171.jpg","open")</f>
        <v/>
      </c>
      <c r="C8317" t="inlineStr">
        <is>
          <t>57aae8a4-582b-4309-8045-c8127a9f86ae</t>
        </is>
      </c>
      <c r="D8317" t="n">
        <v>55.81656</v>
      </c>
      <c r="E8317" t="n">
        <v>37.69378</v>
      </c>
      <c r="F8317" t="inlineStr"/>
      <c r="G8317" t="inlineStr"/>
      <c r="H8317" t="inlineStr"/>
    </row>
    <row r="8318">
      <c r="A8318" t="inlineStr">
        <is>
          <t>79d4cb6e-70cd-46b6-9aef-756000c1bfd4.jpg</t>
        </is>
      </c>
      <c r="B8318">
        <f>HYPERLINK("Объекты недвижимости, не соответствующие градостроительным нормам_00-022_Август/79d4cb6e-70cd-46b6-9aef-756000c1bfd4.jpg","open")</f>
        <v/>
      </c>
      <c r="C8318" t="inlineStr">
        <is>
          <t>1231bbc5-e64c-4dc7-9acc-77710f47607a</t>
        </is>
      </c>
      <c r="D8318" t="n">
        <v>55.70124</v>
      </c>
      <c r="E8318" t="n">
        <v>37.53402</v>
      </c>
      <c r="F8318" t="inlineStr"/>
      <c r="G8318" t="inlineStr"/>
      <c r="H8318" t="inlineStr"/>
    </row>
    <row r="8319">
      <c r="A8319" t="inlineStr">
        <is>
          <t>f511a015-c2e0-4a79-9f85-2b2da5e46248.jpg</t>
        </is>
      </c>
      <c r="B8319">
        <f>HYPERLINK("Объекты недвижимости, не соответствующие градостроительным нормам_00-022_Август/f511a015-c2e0-4a79-9f85-2b2da5e46248.jpg","open")</f>
        <v/>
      </c>
      <c r="C8319" t="inlineStr">
        <is>
          <t>b0b7ea82-53be-40d0-b992-e2fd18611d5c</t>
        </is>
      </c>
      <c r="D8319" t="n">
        <v>55.75397</v>
      </c>
      <c r="E8319" t="n">
        <v>37.6909</v>
      </c>
      <c r="F8319" t="inlineStr"/>
      <c r="G8319" t="inlineStr"/>
      <c r="H8319" t="inlineStr"/>
    </row>
    <row r="8320">
      <c r="A8320" t="inlineStr">
        <is>
          <t>2452eec1-c591-47c7-903f-d58ba0e63588.jpg</t>
        </is>
      </c>
      <c r="B8320">
        <f>HYPERLINK("Объекты недвижимости, не соответствующие градостроительным нормам_00-022_Август/2452eec1-c591-47c7-903f-d58ba0e63588.jpg","open")</f>
        <v/>
      </c>
      <c r="C8320" t="inlineStr">
        <is>
          <t>b0b7ea82-53be-40d0-b992-e2fd18611d5c</t>
        </is>
      </c>
      <c r="D8320" t="n">
        <v>55.75397</v>
      </c>
      <c r="E8320" t="n">
        <v>37.6909</v>
      </c>
      <c r="F8320" t="inlineStr"/>
      <c r="G8320" t="inlineStr"/>
      <c r="H8320" t="inlineStr"/>
    </row>
    <row r="8321">
      <c r="A8321" t="inlineStr">
        <is>
          <t>d92c00b0-f620-447d-8049-162e38294b05.jpg</t>
        </is>
      </c>
      <c r="B8321">
        <f>HYPERLINK("Объекты недвижимости, не соответствующие градостроительным нормам_00-022_Август/d92c00b0-f620-447d-8049-162e38294b05.jpg","open")</f>
        <v/>
      </c>
      <c r="C8321" t="inlineStr">
        <is>
          <t>685d9054-b74f-49ab-857b-109fd2cec80d</t>
        </is>
      </c>
      <c r="D8321" t="n">
        <v>55.70124</v>
      </c>
      <c r="E8321" t="n">
        <v>37.53402</v>
      </c>
      <c r="F8321" t="inlineStr"/>
      <c r="G8321" t="inlineStr"/>
      <c r="H8321" t="inlineStr"/>
    </row>
    <row r="8322">
      <c r="A8322" t="inlineStr">
        <is>
          <t>8aae38b4-c0e1-41ca-a7bb-1fd8259e7863.jpg</t>
        </is>
      </c>
      <c r="B8322">
        <f>HYPERLINK("Объекты недвижимости, не соответствующие градостроительным нормам_00-022_Август/8aae38b4-c0e1-41ca-a7bb-1fd8259e7863.jpg","open")</f>
        <v/>
      </c>
      <c r="C8322" t="inlineStr">
        <is>
          <t>685d9054-b74f-49ab-857b-109fd2cec80d</t>
        </is>
      </c>
      <c r="D8322" t="n">
        <v>55.70124</v>
      </c>
      <c r="E8322" t="n">
        <v>37.53402</v>
      </c>
      <c r="F8322" t="inlineStr"/>
      <c r="G8322" t="inlineStr"/>
      <c r="H8322" t="inlineStr"/>
    </row>
    <row r="8323">
      <c r="A8323" t="inlineStr">
        <is>
          <t>079ec494-5724-402b-bc7e-5d6bc369f02b.jpg</t>
        </is>
      </c>
      <c r="B8323">
        <f>HYPERLINK("Объекты недвижимости, не соответствующие градостроительным нормам_00-022_Август/079ec494-5724-402b-bc7e-5d6bc369f02b.jpg","open")</f>
        <v/>
      </c>
      <c r="C8323" t="inlineStr">
        <is>
          <t>9f88688f-4c81-42a8-b76a-3c3e7edf869e</t>
        </is>
      </c>
      <c r="D8323" t="n">
        <v>55.89354</v>
      </c>
      <c r="E8323" t="n">
        <v>37.53666</v>
      </c>
      <c r="F8323" t="inlineStr"/>
      <c r="G8323" t="inlineStr"/>
      <c r="H8323" t="inlineStr"/>
    </row>
    <row r="8324">
      <c r="A8324" t="inlineStr">
        <is>
          <t>ce84f1bf-a6cb-4fee-b9d2-84949e265ec0.jpg</t>
        </is>
      </c>
      <c r="B8324">
        <f>HYPERLINK("Объекты недвижимости, не соответствующие градостроительным нормам_00-022_Август/ce84f1bf-a6cb-4fee-b9d2-84949e265ec0.jpg","open")</f>
        <v/>
      </c>
      <c r="C8324" t="inlineStr">
        <is>
          <t>caa4772d-6278-4484-a046-ee25514bf521</t>
        </is>
      </c>
      <c r="D8324" t="n">
        <v>55.76276</v>
      </c>
      <c r="E8324" t="n">
        <v>37.66138</v>
      </c>
      <c r="F8324" t="inlineStr"/>
      <c r="G8324" t="inlineStr"/>
      <c r="H8324" t="inlineStr"/>
    </row>
    <row r="8325">
      <c r="A8325" t="inlineStr">
        <is>
          <t>b481988b-4919-4491-8b81-0e09e9df8992.jpg</t>
        </is>
      </c>
      <c r="B8325">
        <f>HYPERLINK("Объекты недвижимости, не соответствующие градостроительным нормам_00-022_Август/b481988b-4919-4491-8b81-0e09e9df8992.jpg","open")</f>
        <v/>
      </c>
      <c r="C8325" t="inlineStr">
        <is>
          <t>f6f80c84-5569-48fd-b627-6f41ce4c61c4</t>
        </is>
      </c>
      <c r="D8325" t="n">
        <v>55.76289</v>
      </c>
      <c r="E8325" t="n">
        <v>37.66101</v>
      </c>
      <c r="F8325" t="inlineStr"/>
      <c r="G8325" t="inlineStr"/>
      <c r="H8325" t="inlineStr"/>
    </row>
    <row r="8326">
      <c r="A8326" t="inlineStr">
        <is>
          <t>23be6a94-1d99-4014-94c3-719dead5c9ac.jpg</t>
        </is>
      </c>
      <c r="B8326">
        <f>HYPERLINK("Объекты недвижимости, не соответствующие градостроительным нормам_00-022_Август/23be6a94-1d99-4014-94c3-719dead5c9ac.jpg","open")</f>
        <v/>
      </c>
      <c r="C8326" t="inlineStr">
        <is>
          <t>57aae8a4-582b-4309-8045-c8127a9f86ae</t>
        </is>
      </c>
      <c r="D8326" t="n">
        <v>55.81706</v>
      </c>
      <c r="E8326" t="n">
        <v>37.70014</v>
      </c>
      <c r="F8326" t="inlineStr"/>
      <c r="G8326" t="inlineStr"/>
      <c r="H8326" t="inlineStr"/>
    </row>
    <row r="8327">
      <c r="A8327" t="inlineStr">
        <is>
          <t>63435a3a-74a8-494a-baf1-c7aff0a1822e.jpg</t>
        </is>
      </c>
      <c r="B8327">
        <f>HYPERLINK("Объекты недвижимости, не соответствующие градостроительным нормам_00-022_Август/63435a3a-74a8-494a-baf1-c7aff0a1822e.jpg","open")</f>
        <v/>
      </c>
      <c r="C8327" t="inlineStr">
        <is>
          <t>8cde1fd0-eca1-4510-86ab-3c743b65fdfc</t>
        </is>
      </c>
      <c r="D8327" t="n">
        <v>55.71684</v>
      </c>
      <c r="E8327" t="n">
        <v>37.903</v>
      </c>
      <c r="F8327" t="inlineStr"/>
      <c r="G8327" t="inlineStr"/>
      <c r="H8327" t="inlineStr"/>
    </row>
    <row r="8328">
      <c r="A8328" t="inlineStr">
        <is>
          <t>dccd46d4-2ba5-4c65-8bf1-7a37b27a219e.jpg</t>
        </is>
      </c>
      <c r="B8328">
        <f>HYPERLINK("Объекты недвижимости, не соответствующие градостроительным нормам_00-022_Август/dccd46d4-2ba5-4c65-8bf1-7a37b27a219e.jpg","open")</f>
        <v/>
      </c>
      <c r="C8328" t="inlineStr">
        <is>
          <t>48b533d5-d106-4175-ac9b-d5ce8d90cccf</t>
        </is>
      </c>
      <c r="D8328" t="n">
        <v>55.96545</v>
      </c>
      <c r="E8328" t="n">
        <v>37.42297</v>
      </c>
      <c r="F8328" t="inlineStr"/>
      <c r="G8328" t="inlineStr"/>
      <c r="H8328" t="inlineStr"/>
    </row>
    <row r="8329">
      <c r="A8329" t="inlineStr">
        <is>
          <t>b1c15128-58ff-4a83-ba0a-796248da4733.jpg</t>
        </is>
      </c>
      <c r="B8329">
        <f>HYPERLINK("Объекты недвижимости, не соответствующие градостроительным нормам_00-022_Август/b1c15128-58ff-4a83-ba0a-796248da4733.jpg","open")</f>
        <v/>
      </c>
      <c r="C8329" t="inlineStr">
        <is>
          <t>1c951e11-4940-43c6-a447-394097e5609a</t>
        </is>
      </c>
      <c r="D8329" t="n">
        <v>55.70956</v>
      </c>
      <c r="E8329" t="n">
        <v>37.89997</v>
      </c>
      <c r="F8329" t="inlineStr"/>
      <c r="G8329" t="inlineStr"/>
      <c r="H8329" t="inlineStr"/>
    </row>
    <row r="8330">
      <c r="A8330" t="inlineStr">
        <is>
          <t>605a206b-1a2e-418b-84fc-8fe0654d69a5.jpg</t>
        </is>
      </c>
      <c r="B8330">
        <f>HYPERLINK("Объекты недвижимости, не соответствующие градостроительным нормам_00-022_Август/605a206b-1a2e-418b-84fc-8fe0654d69a5.jpg","open")</f>
        <v/>
      </c>
      <c r="C8330" t="inlineStr">
        <is>
          <t>8cde1fd0-eca1-4510-86ab-3c743b65fdfc</t>
        </is>
      </c>
      <c r="D8330" t="n">
        <v>55.70956</v>
      </c>
      <c r="E8330" t="n">
        <v>37.8999</v>
      </c>
      <c r="F8330" t="inlineStr"/>
      <c r="G8330" t="inlineStr"/>
      <c r="H8330" t="inlineStr"/>
    </row>
    <row r="8331">
      <c r="A8331" t="inlineStr">
        <is>
          <t>0c05c198-79c2-439f-bf2b-9a78efd94faf.jpg</t>
        </is>
      </c>
      <c r="B8331">
        <f>HYPERLINK("Объекты недвижимости, не соответствующие градостроительным нормам_00-022_Август/0c05c198-79c2-439f-bf2b-9a78efd94faf.jpg","open")</f>
        <v/>
      </c>
      <c r="C8331" t="inlineStr">
        <is>
          <t>8cde1fd0-eca1-4510-86ab-3c743b65fdfc</t>
        </is>
      </c>
      <c r="D8331" t="n">
        <v>55.70748</v>
      </c>
      <c r="E8331" t="n">
        <v>37.89076</v>
      </c>
      <c r="F8331" t="inlineStr"/>
      <c r="G8331" t="inlineStr"/>
      <c r="H8331" t="inlineStr"/>
    </row>
    <row r="8332">
      <c r="A8332" t="inlineStr">
        <is>
          <t>63fc57f7-979e-477f-8097-7a1bad6e33d0.jpg</t>
        </is>
      </c>
      <c r="B8332">
        <f>HYPERLINK("Объекты недвижимости, не соответствующие градостроительным нормам_00-022_Август/63fc57f7-979e-477f-8097-7a1bad6e33d0.jpg","open")</f>
        <v/>
      </c>
      <c r="C8332" t="inlineStr">
        <is>
          <t>5e5b9944-4f9e-4223-bf96-0bc0c8a93dfa</t>
        </is>
      </c>
      <c r="D8332" t="n">
        <v>55.71002</v>
      </c>
      <c r="E8332" t="n">
        <v>37.66476</v>
      </c>
      <c r="F8332" t="inlineStr"/>
      <c r="G8332" t="inlineStr"/>
      <c r="H8332" t="inlineStr"/>
    </row>
    <row r="8333">
      <c r="A8333" t="inlineStr">
        <is>
          <t>27af46dc-5790-4058-afc8-9033245716a3.jpg</t>
        </is>
      </c>
      <c r="B8333">
        <f>HYPERLINK("Объекты недвижимости, не соответствующие градостроительным нормам_00-022_Август/27af46dc-5790-4058-afc8-9033245716a3.jpg","open")</f>
        <v/>
      </c>
      <c r="C8333" t="inlineStr">
        <is>
          <t>685d9054-b74f-49ab-857b-109fd2cec80d</t>
        </is>
      </c>
      <c r="D8333" t="n">
        <v>55.68741</v>
      </c>
      <c r="E8333" t="n">
        <v>37.54423</v>
      </c>
      <c r="F8333" t="inlineStr"/>
      <c r="G8333" t="inlineStr"/>
      <c r="H8333" t="inlineStr"/>
    </row>
    <row r="8334">
      <c r="A8334" t="inlineStr">
        <is>
          <t>653b8fc2-9ec3-4d42-8397-ae24436d00a9.jpg</t>
        </is>
      </c>
      <c r="B8334">
        <f>HYPERLINK("Объекты недвижимости, не соответствующие градостроительным нормам_00-022_Август/653b8fc2-9ec3-4d42-8397-ae24436d00a9.jpg","open")</f>
        <v/>
      </c>
      <c r="C8334" t="inlineStr">
        <is>
          <t>1231bbc5-e64c-4dc7-9acc-77710f47607a</t>
        </is>
      </c>
      <c r="D8334" t="n">
        <v>55.68686</v>
      </c>
      <c r="E8334" t="n">
        <v>37.54308</v>
      </c>
      <c r="F8334" t="inlineStr"/>
      <c r="G8334" t="inlineStr"/>
      <c r="H8334" t="inlineStr"/>
    </row>
    <row r="8335">
      <c r="A8335" t="inlineStr">
        <is>
          <t>f0bd2f1b-3bc5-45d6-a809-143375ed2bcf.jpg</t>
        </is>
      </c>
      <c r="B8335">
        <f>HYPERLINK("Объекты недвижимости, не соответствующие градостроительным нормам_00-022_Август/f0bd2f1b-3bc5-45d6-a809-143375ed2bcf.jpg","open")</f>
        <v/>
      </c>
      <c r="C8335" t="inlineStr">
        <is>
          <t>685d9054-b74f-49ab-857b-109fd2cec80d</t>
        </is>
      </c>
      <c r="D8335" t="n">
        <v>55.68562</v>
      </c>
      <c r="E8335" t="n">
        <v>37.54115</v>
      </c>
      <c r="F8335" t="inlineStr"/>
      <c r="G8335" t="inlineStr"/>
      <c r="H8335" t="inlineStr"/>
    </row>
    <row r="8336">
      <c r="A8336" t="inlineStr">
        <is>
          <t>7db405b0-3005-4d09-8847-a0ffedeb42ae.jpg</t>
        </is>
      </c>
      <c r="B8336">
        <f>HYPERLINK("Объекты недвижимости, не соответствующие градостроительным нормам_00-022_Август/7db405b0-3005-4d09-8847-a0ffedeb42ae.jpg","open")</f>
        <v/>
      </c>
      <c r="C8336" t="inlineStr">
        <is>
          <t>acedacc2-0d8b-4fc1-9622-25621a89d071</t>
        </is>
      </c>
      <c r="D8336" t="n">
        <v>55.8163</v>
      </c>
      <c r="E8336" t="n">
        <v>37.70496</v>
      </c>
      <c r="F8336" t="inlineStr"/>
      <c r="G8336" t="inlineStr"/>
      <c r="H8336" t="inlineStr"/>
    </row>
    <row r="8337">
      <c r="A8337" t="inlineStr">
        <is>
          <t>716298f4-bcdc-44cd-9b58-ab354c5d83ee.jpg</t>
        </is>
      </c>
      <c r="B8337">
        <f>HYPERLINK("Объекты недвижимости, не соответствующие градостроительным нормам_00-022_Август/716298f4-bcdc-44cd-9b58-ab354c5d83ee.jpg","open")</f>
        <v/>
      </c>
      <c r="C8337" t="inlineStr">
        <is>
          <t>db8b536c-32f2-4d9a-ae08-679d227e61f1</t>
        </is>
      </c>
      <c r="D8337" t="n">
        <v>55.65816</v>
      </c>
      <c r="E8337" t="n">
        <v>37.57287</v>
      </c>
      <c r="F8337" t="inlineStr"/>
      <c r="G8337" t="inlineStr"/>
      <c r="H8337" t="inlineStr"/>
    </row>
    <row r="8338">
      <c r="A8338" t="inlineStr">
        <is>
          <t>2a0373c3-550d-4d66-b224-24f847358453.jpg</t>
        </is>
      </c>
      <c r="B8338">
        <f>HYPERLINK("Объекты недвижимости, не соответствующие градостроительным нормам_00-022_Август/2a0373c3-550d-4d66-b224-24f847358453.jpg","open")</f>
        <v/>
      </c>
      <c r="C8338" t="inlineStr">
        <is>
          <t>b0b7ea82-53be-40d0-b992-e2fd18611d5c</t>
        </is>
      </c>
      <c r="D8338" t="n">
        <v>55.68999</v>
      </c>
      <c r="E8338" t="n">
        <v>37.86979</v>
      </c>
      <c r="F8338" t="inlineStr"/>
      <c r="G8338" t="inlineStr"/>
      <c r="H8338" t="inlineStr"/>
    </row>
    <row r="8339">
      <c r="A8339" t="inlineStr">
        <is>
          <t>b0c3ea62-5aaf-4633-a9cd-d0b9e06c4704.jpg</t>
        </is>
      </c>
      <c r="B8339">
        <f>HYPERLINK("Объекты недвижимости, не соответствующие градостроительным нормам_00-022_Август/b0c3ea62-5aaf-4633-a9cd-d0b9e06c4704.jpg","open")</f>
        <v/>
      </c>
      <c r="C8339" t="inlineStr">
        <is>
          <t>8cde1fd0-eca1-4510-86ab-3c743b65fdfc</t>
        </is>
      </c>
      <c r="D8339" t="n">
        <v>55.71865</v>
      </c>
      <c r="E8339" t="n">
        <v>37.85831</v>
      </c>
      <c r="F8339" t="inlineStr"/>
      <c r="G8339" t="inlineStr"/>
      <c r="H8339" t="inlineStr"/>
    </row>
    <row r="8340">
      <c r="A8340" t="inlineStr">
        <is>
          <t>19a241b6-e583-4d0f-ac49-da303daa12a6.jpg</t>
        </is>
      </c>
      <c r="B8340">
        <f>HYPERLINK("Объекты недвижимости, не соответствующие градостроительным нормам_00-022_Август/19a241b6-e583-4d0f-ac49-da303daa12a6.jpg","open")</f>
        <v/>
      </c>
      <c r="C8340" t="inlineStr">
        <is>
          <t>1c951e11-4940-43c6-a447-394097e5609a</t>
        </is>
      </c>
      <c r="D8340" t="n">
        <v>55.71787</v>
      </c>
      <c r="E8340" t="n">
        <v>37.85833</v>
      </c>
      <c r="F8340" t="inlineStr"/>
      <c r="G8340" t="inlineStr"/>
      <c r="H8340" t="inlineStr"/>
    </row>
    <row r="8341">
      <c r="A8341" t="inlineStr">
        <is>
          <t>01218cfe-59fe-4526-a839-5bbad2c788c9.jpg</t>
        </is>
      </c>
      <c r="B8341">
        <f>HYPERLINK("Объекты недвижимости, не соответствующие градостроительным нормам_00-022_Август/01218cfe-59fe-4526-a839-5bbad2c788c9.jpg","open")</f>
        <v/>
      </c>
      <c r="C8341" t="inlineStr">
        <is>
          <t>57aae8a4-582b-4309-8045-c8127a9f86ae</t>
        </is>
      </c>
      <c r="D8341" t="n">
        <v>55.81082</v>
      </c>
      <c r="E8341" t="n">
        <v>37.70522</v>
      </c>
      <c r="F8341" t="inlineStr"/>
      <c r="G8341" t="inlineStr"/>
      <c r="H8341" t="inlineStr"/>
    </row>
    <row r="8342">
      <c r="A8342" t="inlineStr">
        <is>
          <t>71305c7d-1aa6-44ca-b47a-3b2d0d4d60ab.jpg</t>
        </is>
      </c>
      <c r="B8342">
        <f>HYPERLINK("Объекты недвижимости, не соответствующие градостроительным нормам_00-022_Август/71305c7d-1aa6-44ca-b47a-3b2d0d4d60ab.jpg","open")</f>
        <v/>
      </c>
      <c r="C8342" t="inlineStr">
        <is>
          <t>12e795ad-2aa7-49de-b2da-2c6aa35a4559</t>
        </is>
      </c>
      <c r="D8342" t="n">
        <v>55.60947</v>
      </c>
      <c r="E8342" t="n">
        <v>37.51692</v>
      </c>
      <c r="F8342" t="inlineStr"/>
      <c r="G8342" t="inlineStr"/>
      <c r="H8342" t="inlineStr"/>
    </row>
    <row r="8343">
      <c r="A8343" t="inlineStr">
        <is>
          <t>ca0a4f13-c5e5-4615-aa48-edf574b58117.jpg</t>
        </is>
      </c>
      <c r="B8343">
        <f>HYPERLINK("Объекты недвижимости, не соответствующие градостроительным нормам_00-022_Август/ca0a4f13-c5e5-4615-aa48-edf574b58117.jpg","open")</f>
        <v/>
      </c>
      <c r="C8343" t="inlineStr">
        <is>
          <t>6e2567a0-1fb9-40d5-a0e7-0adb480d2965</t>
        </is>
      </c>
      <c r="D8343" t="n">
        <v>55.70994</v>
      </c>
      <c r="E8343" t="n">
        <v>37.66874</v>
      </c>
      <c r="F8343" t="inlineStr"/>
      <c r="G8343" t="inlineStr"/>
      <c r="H8343" t="inlineStr"/>
    </row>
    <row r="8344">
      <c r="A8344" t="inlineStr">
        <is>
          <t>d4fa22bc-74c8-467d-9fb2-0af8134909ce.jpg</t>
        </is>
      </c>
      <c r="B8344">
        <f>HYPERLINK("Объекты недвижимости, не соответствующие градостроительным нормам_00-022_Август/d4fa22bc-74c8-467d-9fb2-0af8134909ce.jpg","open")</f>
        <v/>
      </c>
      <c r="C8344" t="inlineStr">
        <is>
          <t>a28f597e-d1cd-4d3b-b572-c86d033412e9</t>
        </is>
      </c>
      <c r="D8344" t="n">
        <v>55.73642</v>
      </c>
      <c r="E8344" t="n">
        <v>37.40146</v>
      </c>
      <c r="F8344" t="inlineStr"/>
      <c r="G8344" t="inlineStr"/>
      <c r="H8344" t="inlineStr"/>
    </row>
    <row r="8345">
      <c r="A8345" t="inlineStr">
        <is>
          <t>fb57df06-f61f-4dc1-8da2-b32241a5558d.jpg</t>
        </is>
      </c>
      <c r="B8345">
        <f>HYPERLINK("Объекты недвижимости, не соответствующие градостроительным нормам_00-022_Август/fb57df06-f61f-4dc1-8da2-b32241a5558d.jpg","open")</f>
        <v/>
      </c>
      <c r="C8345" t="inlineStr">
        <is>
          <t>fb40ed24-21ef-458a-a239-038ab19932cc</t>
        </is>
      </c>
      <c r="D8345" t="n">
        <v>55.81702</v>
      </c>
      <c r="E8345" t="n">
        <v>37.7781</v>
      </c>
      <c r="F8345" t="inlineStr"/>
      <c r="G8345" t="inlineStr"/>
      <c r="H8345" t="inlineStr"/>
    </row>
    <row r="8346">
      <c r="A8346" t="inlineStr">
        <is>
          <t>8811572c-f4ad-439a-831c-f0cab9546511.jpg</t>
        </is>
      </c>
      <c r="B8346">
        <f>HYPERLINK("Объекты недвижимости, не соответствующие градостроительным нормам_00-022_Август/8811572c-f4ad-439a-831c-f0cab9546511.jpg","open")</f>
        <v/>
      </c>
      <c r="C8346" t="inlineStr">
        <is>
          <t>685d9054-b74f-49ab-857b-109fd2cec80d</t>
        </is>
      </c>
      <c r="D8346" t="n">
        <v>55.6245</v>
      </c>
      <c r="E8346" t="n">
        <v>37.4878</v>
      </c>
      <c r="F8346" t="inlineStr"/>
      <c r="G8346" t="inlineStr"/>
      <c r="H8346" t="inlineStr"/>
    </row>
    <row r="8347">
      <c r="A8347" t="inlineStr">
        <is>
          <t>7a51d285-7534-45b2-8731-fc0ca1d84e94.jpg</t>
        </is>
      </c>
      <c r="B8347">
        <f>HYPERLINK("Объекты недвижимости, не соответствующие градостроительным нормам_00-022_Август/7a51d285-7534-45b2-8731-fc0ca1d84e94.jpg","open")</f>
        <v/>
      </c>
      <c r="C8347" t="inlineStr">
        <is>
          <t>b0429a31-0c70-4b9f-8ea5-73929d82f89e</t>
        </is>
      </c>
      <c r="D8347" t="n">
        <v>55.71019</v>
      </c>
      <c r="E8347" t="n">
        <v>37.61442</v>
      </c>
      <c r="F8347" t="inlineStr"/>
      <c r="G8347" t="inlineStr"/>
      <c r="H8347" t="inlineStr"/>
    </row>
    <row r="8348">
      <c r="A8348" t="inlineStr">
        <is>
          <t>598a94a4-0747-441f-81dc-caae284bc332.jpg</t>
        </is>
      </c>
      <c r="B8348">
        <f>HYPERLINK("Объекты недвижимости, не соответствующие градостроительным нормам_00-022_Август/598a94a4-0747-441f-81dc-caae284bc332.jpg","open")</f>
        <v/>
      </c>
      <c r="C8348" t="inlineStr">
        <is>
          <t>789f6c51-64ee-4078-b7bd-443af8b8b68a</t>
        </is>
      </c>
      <c r="D8348" t="n">
        <v>55.86448</v>
      </c>
      <c r="E8348" t="n">
        <v>37.68071</v>
      </c>
      <c r="F8348" t="inlineStr"/>
      <c r="G8348" t="inlineStr"/>
      <c r="H8348" t="inlineStr"/>
    </row>
    <row r="8349">
      <c r="A8349" t="inlineStr">
        <is>
          <t>2e3705ce-8d10-473c-826a-a6a882a02006.jpg</t>
        </is>
      </c>
      <c r="B8349">
        <f>HYPERLINK("Объекты недвижимости, не соответствующие градостроительным нормам_00-022_Август/2e3705ce-8d10-473c-826a-a6a882a02006.jpg","open")</f>
        <v/>
      </c>
      <c r="C8349" t="inlineStr">
        <is>
          <t>1231bbc5-e64c-4dc7-9acc-77710f47607a</t>
        </is>
      </c>
      <c r="D8349" t="n">
        <v>55.62442</v>
      </c>
      <c r="E8349" t="n">
        <v>37.48805</v>
      </c>
      <c r="F8349" t="inlineStr"/>
      <c r="G8349" t="inlineStr"/>
      <c r="H8349" t="inlineStr"/>
    </row>
    <row r="8350">
      <c r="A8350" t="inlineStr">
        <is>
          <t>b1d489c2-4a3f-4df0-86d8-e2f55f9e361c.jpg</t>
        </is>
      </c>
      <c r="B8350">
        <f>HYPERLINK("Объекты недвижимости, не соответствующие градостроительным нормам_00-022_Август/b1d489c2-4a3f-4df0-86d8-e2f55f9e361c.jpg","open")</f>
        <v/>
      </c>
      <c r="C8350" t="inlineStr">
        <is>
          <t>1231bbc5-e64c-4dc7-9acc-77710f47607a</t>
        </is>
      </c>
      <c r="D8350" t="n">
        <v>55.62452</v>
      </c>
      <c r="E8350" t="n">
        <v>37.48868</v>
      </c>
      <c r="F8350" t="inlineStr"/>
      <c r="G8350" t="inlineStr"/>
      <c r="H8350" t="inlineStr"/>
    </row>
    <row r="8351">
      <c r="A8351" t="inlineStr">
        <is>
          <t>af8fd6a0-c025-4f28-9671-e5e641892c32.jpg</t>
        </is>
      </c>
      <c r="B8351">
        <f>HYPERLINK("Объекты недвижимости, не соответствующие градостроительным нормам_00-022_Август/af8fd6a0-c025-4f28-9671-e5e641892c32.jpg","open")</f>
        <v/>
      </c>
      <c r="C8351" t="inlineStr">
        <is>
          <t>685d9054-b74f-49ab-857b-109fd2cec80d</t>
        </is>
      </c>
      <c r="D8351" t="n">
        <v>55.62342</v>
      </c>
      <c r="E8351" t="n">
        <v>37.48937</v>
      </c>
      <c r="F8351" t="inlineStr"/>
      <c r="G8351" t="inlineStr"/>
      <c r="H8351" t="inlineStr"/>
    </row>
    <row r="8352">
      <c r="A8352" t="inlineStr">
        <is>
          <t>f6bc3f67-b6c6-48d0-90d2-b4c14f77dfc2.jpg</t>
        </is>
      </c>
      <c r="B8352">
        <f>HYPERLINK("Объекты недвижимости, не соответствующие градостроительным нормам_00-022_Август/f6bc3f67-b6c6-48d0-90d2-b4c14f77dfc2.jpg","open")</f>
        <v/>
      </c>
      <c r="C8352" t="inlineStr">
        <is>
          <t>1231bbc5-e64c-4dc7-9acc-77710f47607a</t>
        </is>
      </c>
      <c r="D8352" t="n">
        <v>55.62342</v>
      </c>
      <c r="E8352" t="n">
        <v>37.48937</v>
      </c>
      <c r="F8352" t="inlineStr"/>
      <c r="G8352" t="inlineStr"/>
      <c r="H8352" t="inlineStr"/>
    </row>
    <row r="8353">
      <c r="A8353" t="inlineStr">
        <is>
          <t>6225b0af-15b9-4e11-a21a-09af41e8c688.jpg</t>
        </is>
      </c>
      <c r="B8353">
        <f>HYPERLINK("Объекты недвижимости, не соответствующие градостроительным нормам_00-022_Август/6225b0af-15b9-4e11-a21a-09af41e8c688.jpg","open")</f>
        <v/>
      </c>
      <c r="C8353" t="inlineStr">
        <is>
          <t>8b2675e2-7f40-47a9-a462-7c9feecd299c</t>
        </is>
      </c>
      <c r="D8353" t="n">
        <v>55.7831</v>
      </c>
      <c r="E8353" t="n">
        <v>37.5976</v>
      </c>
      <c r="F8353" t="inlineStr"/>
      <c r="G8353" t="inlineStr"/>
      <c r="H8353" t="inlineStr"/>
    </row>
    <row r="8354">
      <c r="A8354" t="inlineStr">
        <is>
          <t>98660693-4401-4e7c-84bd-e0b16c2f9ebf.jpg</t>
        </is>
      </c>
      <c r="B8354">
        <f>HYPERLINK("Объекты недвижимости, не соответствующие градостроительным нормам_00-022_Август/98660693-4401-4e7c-84bd-e0b16c2f9ebf.jpg","open")</f>
        <v/>
      </c>
      <c r="C8354" t="inlineStr">
        <is>
          <t>685d9054-b74f-49ab-857b-109fd2cec80d</t>
        </is>
      </c>
      <c r="D8354" t="n">
        <v>55.62809</v>
      </c>
      <c r="E8354" t="n">
        <v>37.48349</v>
      </c>
      <c r="F8354" t="inlineStr"/>
      <c r="G8354" t="inlineStr"/>
      <c r="H8354" t="inlineStr"/>
    </row>
    <row r="8355">
      <c r="A8355" t="inlineStr">
        <is>
          <t>4ae8c1c3-244c-4372-9551-c0750c865714.jpg</t>
        </is>
      </c>
      <c r="B8355">
        <f>HYPERLINK("Объекты недвижимости, не соответствующие градостроительным нормам_00-022_Август/4ae8c1c3-244c-4372-9551-c0750c865714.jpg","open")</f>
        <v/>
      </c>
      <c r="C8355" t="inlineStr">
        <is>
          <t>8cde1fd0-eca1-4510-86ab-3c743b65fdfc</t>
        </is>
      </c>
      <c r="D8355" t="n">
        <v>55.70938</v>
      </c>
      <c r="E8355" t="n">
        <v>37.90679</v>
      </c>
      <c r="F8355" t="inlineStr"/>
      <c r="G8355" t="inlineStr"/>
      <c r="H8355" t="inlineStr"/>
    </row>
    <row r="8356">
      <c r="A8356" t="inlineStr">
        <is>
          <t>f460df39-fa52-4891-8adc-a602399f5091.jpg</t>
        </is>
      </c>
      <c r="B8356">
        <f>HYPERLINK("Объекты недвижимости, не соответствующие градостроительным нормам_00-022_Август/f460df39-fa52-4891-8adc-a602399f5091.jpg","open")</f>
        <v/>
      </c>
      <c r="C8356" t="inlineStr">
        <is>
          <t>750bf7e4-0f0f-4f1a-96af-607dc8c1f1c9</t>
        </is>
      </c>
      <c r="D8356" t="n">
        <v>55.61013</v>
      </c>
      <c r="E8356" t="n">
        <v>37.60889</v>
      </c>
      <c r="F8356" t="inlineStr"/>
      <c r="G8356" t="inlineStr"/>
      <c r="H8356" t="inlineStr"/>
    </row>
    <row r="8357">
      <c r="A8357" t="inlineStr">
        <is>
          <t>22f58a17-ace5-46ae-9e69-ea22526a0382.jpg</t>
        </is>
      </c>
      <c r="B8357">
        <f>HYPERLINK("Объекты недвижимости, не соответствующие градостроительным нормам_00-022_Август/22f58a17-ace5-46ae-9e69-ea22526a0382.jpg","open")</f>
        <v/>
      </c>
      <c r="C8357" t="inlineStr">
        <is>
          <t>caa4772d-6278-4484-a046-ee25514bf521</t>
        </is>
      </c>
      <c r="D8357" t="n">
        <v>55.79192</v>
      </c>
      <c r="E8357" t="n">
        <v>37.39771</v>
      </c>
      <c r="F8357" t="inlineStr"/>
      <c r="G8357" t="inlineStr"/>
      <c r="H8357" t="inlineStr"/>
    </row>
    <row r="8358">
      <c r="A8358" t="inlineStr">
        <is>
          <t>5ffb6e13-1b3a-4913-ad65-98eba8b6a199.jpg</t>
        </is>
      </c>
      <c r="B8358">
        <f>HYPERLINK("Объекты недвижимости, не соответствующие градостроительным нормам_00-022_Август/5ffb6e13-1b3a-4913-ad65-98eba8b6a199.jpg","open")</f>
        <v/>
      </c>
      <c r="C8358" t="inlineStr">
        <is>
          <t>b6b3590f-f506-4399-8205-e7ac710132e7</t>
        </is>
      </c>
      <c r="D8358" t="n">
        <v>55.78037</v>
      </c>
      <c r="E8358" t="n">
        <v>37.53265</v>
      </c>
      <c r="F8358" t="inlineStr"/>
      <c r="G8358" t="inlineStr"/>
      <c r="H8358" t="inlineStr"/>
    </row>
    <row r="8359">
      <c r="A8359" t="inlineStr">
        <is>
          <t>b04975bc-f53e-4394-819b-ba457d21618b.jpg</t>
        </is>
      </c>
      <c r="B8359">
        <f>HYPERLINK("Объекты недвижимости, не соответствующие градостроительным нормам_00-022_Август/b04975bc-f53e-4394-819b-ba457d21618b.jpg","open")</f>
        <v/>
      </c>
      <c r="C8359" t="inlineStr">
        <is>
          <t>f60286ac-55e7-4099-85bd-cc599a7a0c65</t>
        </is>
      </c>
      <c r="D8359" t="n">
        <v>55.78538</v>
      </c>
      <c r="E8359" t="n">
        <v>37.74582</v>
      </c>
      <c r="F8359" t="inlineStr"/>
      <c r="G8359" t="inlineStr"/>
      <c r="H8359" t="inlineStr"/>
    </row>
    <row r="8360">
      <c r="A8360" t="inlineStr">
        <is>
          <t>e49ba722-e28d-47b9-9948-42e3a58cc870.jpg</t>
        </is>
      </c>
      <c r="B8360">
        <f>HYPERLINK("Объекты недвижимости, не соответствующие градостроительным нормам_00-022_Август/e49ba722-e28d-47b9-9948-42e3a58cc870.jpg","open")</f>
        <v/>
      </c>
      <c r="C8360" t="inlineStr">
        <is>
          <t>8996eb30-6497-4318-8a0e-b95314b8172e</t>
        </is>
      </c>
      <c r="D8360" t="n">
        <v>55.73232</v>
      </c>
      <c r="E8360" t="n">
        <v>37.45115</v>
      </c>
      <c r="F8360" t="inlineStr"/>
      <c r="G8360" t="inlineStr"/>
      <c r="H8360" t="inlineStr"/>
    </row>
    <row r="8361">
      <c r="A8361" t="inlineStr">
        <is>
          <t>14405ac0-8147-4221-9995-f28019a220b8.jpg</t>
        </is>
      </c>
      <c r="B8361">
        <f>HYPERLINK("Объекты недвижимости, не соответствующие градостроительным нормам_00-022_Август/14405ac0-8147-4221-9995-f28019a220b8.jpg","open")</f>
        <v/>
      </c>
      <c r="C8361" t="inlineStr">
        <is>
          <t>1a55986c-2c3f-40c0-b3d1-014dce77832e</t>
        </is>
      </c>
      <c r="D8361" t="n">
        <v>55.90427</v>
      </c>
      <c r="E8361" t="n">
        <v>37.54023</v>
      </c>
      <c r="F8361" t="inlineStr"/>
      <c r="G8361" t="inlineStr"/>
      <c r="H8361" t="inlineStr"/>
    </row>
    <row r="8362">
      <c r="A8362" t="inlineStr">
        <is>
          <t>888376e5-0be8-4945-9608-19d32d6bdd41.jpg</t>
        </is>
      </c>
      <c r="B8362">
        <f>HYPERLINK("Объекты недвижимости, не соответствующие градостроительным нормам_00-022_Август/888376e5-0be8-4945-9608-19d32d6bdd41.jpg","open")</f>
        <v/>
      </c>
      <c r="C8362" t="inlineStr">
        <is>
          <t>685d9054-b74f-49ab-857b-109fd2cec80d</t>
        </is>
      </c>
      <c r="D8362" t="n">
        <v>55.62709</v>
      </c>
      <c r="E8362" t="n">
        <v>37.48244</v>
      </c>
      <c r="F8362" t="inlineStr"/>
      <c r="G8362" t="inlineStr"/>
      <c r="H8362" t="inlineStr"/>
    </row>
    <row r="8363">
      <c r="A8363" t="inlineStr">
        <is>
          <t>74df7e39-715a-4a06-bf3a-7c47e6b3e8f2.jpg</t>
        </is>
      </c>
      <c r="B8363">
        <f>HYPERLINK("Объекты недвижимости, не соответствующие градостроительным нормам_00-022_Август/74df7e39-715a-4a06-bf3a-7c47e6b3e8f2.jpg","open")</f>
        <v/>
      </c>
      <c r="C8363" t="inlineStr">
        <is>
          <t>18a5c468-d9e6-4814-8477-1caf4a2e1fe9</t>
        </is>
      </c>
      <c r="D8363" t="n">
        <v>55.79216</v>
      </c>
      <c r="E8363" t="n">
        <v>37.63645</v>
      </c>
      <c r="F8363" t="inlineStr"/>
      <c r="G8363" t="inlineStr"/>
      <c r="H8363" t="inlineStr"/>
    </row>
    <row r="8364">
      <c r="A8364" t="inlineStr">
        <is>
          <t>b920c3cf-3b70-46f7-89e2-a5f5f760b569.jpg</t>
        </is>
      </c>
      <c r="B8364">
        <f>HYPERLINK("Объекты недвижимости, не соответствующие градостроительным нормам_00-022_Август/b920c3cf-3b70-46f7-89e2-a5f5f760b569.jpg","open")</f>
        <v/>
      </c>
      <c r="C8364" t="inlineStr">
        <is>
          <t>e26f5fc2-1353-4f29-85f3-87c56419161c</t>
        </is>
      </c>
      <c r="D8364" t="n">
        <v>55.87542</v>
      </c>
      <c r="E8364" t="n">
        <v>37.58607</v>
      </c>
      <c r="F8364" t="inlineStr"/>
      <c r="G8364" t="inlineStr"/>
      <c r="H8364" t="inlineStr"/>
    </row>
    <row r="8365">
      <c r="A8365" t="inlineStr">
        <is>
          <t>4602d366-e112-425e-8ebc-840894e0a229.jpg</t>
        </is>
      </c>
      <c r="B8365">
        <f>HYPERLINK("Объекты недвижимости, не соответствующие градостроительным нормам_00-022_Август/4602d366-e112-425e-8ebc-840894e0a229.jpg","open")</f>
        <v/>
      </c>
      <c r="C8365" t="inlineStr">
        <is>
          <t>ed2bf0f1-3a66-4913-896e-4420a9796c0b</t>
        </is>
      </c>
      <c r="D8365" t="n">
        <v>55.90465</v>
      </c>
      <c r="E8365" t="n">
        <v>37.53973</v>
      </c>
      <c r="F8365" t="inlineStr"/>
      <c r="G8365" t="inlineStr"/>
      <c r="H8365" t="inlineStr"/>
    </row>
    <row r="8366">
      <c r="A8366" t="inlineStr">
        <is>
          <t>de4f3fb3-d000-4617-a3cd-e1cb21f50213.jpg</t>
        </is>
      </c>
      <c r="B8366">
        <f>HYPERLINK("Объекты недвижимости, не соответствующие градостроительным нормам_00-022_Август/de4f3fb3-d000-4617-a3cd-e1cb21f50213.jpg","open")</f>
        <v/>
      </c>
      <c r="C8366" t="inlineStr">
        <is>
          <t>1231bbc5-e64c-4dc7-9acc-77710f47607a</t>
        </is>
      </c>
      <c r="D8366" t="n">
        <v>55.62718</v>
      </c>
      <c r="E8366" t="n">
        <v>37.48083</v>
      </c>
      <c r="F8366" t="inlineStr"/>
      <c r="G8366" t="inlineStr"/>
      <c r="H8366" t="inlineStr"/>
    </row>
    <row r="8367">
      <c r="A8367" t="inlineStr">
        <is>
          <t>a66098f6-75c4-4969-861f-7445e0070722.jpg</t>
        </is>
      </c>
      <c r="B8367">
        <f>HYPERLINK("Объекты недвижимости, не соответствующие градостроительным нормам_00-022_Август/a66098f6-75c4-4969-861f-7445e0070722.jpg","open")</f>
        <v/>
      </c>
      <c r="C8367" t="inlineStr">
        <is>
          <t>685d9054-b74f-49ab-857b-109fd2cec80d</t>
        </is>
      </c>
      <c r="D8367" t="n">
        <v>55.62718</v>
      </c>
      <c r="E8367" t="n">
        <v>37.48083</v>
      </c>
      <c r="F8367" t="inlineStr"/>
      <c r="G8367" t="inlineStr"/>
      <c r="H8367" t="inlineStr"/>
    </row>
    <row r="8368">
      <c r="A8368" t="inlineStr">
        <is>
          <t>400e3f56-bfcd-4630-a956-6d282e9e84f5.jpg</t>
        </is>
      </c>
      <c r="B8368">
        <f>HYPERLINK("Объекты недвижимости, не соответствующие градостроительным нормам_00-022_Август/400e3f56-bfcd-4630-a956-6d282e9e84f5.jpg","open")</f>
        <v/>
      </c>
      <c r="C8368" t="inlineStr">
        <is>
          <t>e26f5fc2-1353-4f29-85f3-87c56419161c</t>
        </is>
      </c>
      <c r="D8368" t="n">
        <v>55.86892</v>
      </c>
      <c r="E8368" t="n">
        <v>37.58804</v>
      </c>
      <c r="F8368" t="inlineStr"/>
      <c r="G8368" t="inlineStr"/>
      <c r="H8368" t="inlineStr"/>
    </row>
    <row r="8369">
      <c r="A8369" t="inlineStr">
        <is>
          <t>0685f70f-078d-4db0-bf7b-5c86681757d2.jpg</t>
        </is>
      </c>
      <c r="B8369">
        <f>HYPERLINK("Объекты недвижимости, не соответствующие градостроительным нормам_00-022_Август/0685f70f-078d-4db0-bf7b-5c86681757d2.jpg","open")</f>
        <v/>
      </c>
      <c r="C8369" t="inlineStr">
        <is>
          <t>99f3abba-c55b-49f0-9de5-9f88e9597cc0</t>
        </is>
      </c>
      <c r="D8369" t="n">
        <v>55.71329</v>
      </c>
      <c r="E8369" t="n">
        <v>37.61083</v>
      </c>
      <c r="F8369" t="inlineStr"/>
      <c r="G8369" t="inlineStr"/>
      <c r="H8369" t="inlineStr"/>
    </row>
    <row r="8370">
      <c r="A8370" t="inlineStr">
        <is>
          <t>e53b01ef-98a1-40e5-8574-5b24b0447955.jpg</t>
        </is>
      </c>
      <c r="B8370">
        <f>HYPERLINK("Объекты недвижимости, не соответствующие градостроительным нормам_00-022_Август/e53b01ef-98a1-40e5-8574-5b24b0447955.jpg","open")</f>
        <v/>
      </c>
      <c r="C8370" t="inlineStr">
        <is>
          <t>036c664f-5408-4fd0-b479-342c00468eeb</t>
        </is>
      </c>
      <c r="D8370" t="n">
        <v>55.73394</v>
      </c>
      <c r="E8370" t="n">
        <v>37.40125</v>
      </c>
      <c r="F8370" t="inlineStr"/>
      <c r="G8370" t="inlineStr"/>
      <c r="H8370" t="inlineStr"/>
    </row>
    <row r="8371">
      <c r="A8371" t="inlineStr">
        <is>
          <t>326a70fa-5670-429f-9b82-dcdbb6fc16b3.jpg</t>
        </is>
      </c>
      <c r="B8371">
        <f>HYPERLINK("Объекты недвижимости, не соответствующие градостроительным нормам_00-022_Август/326a70fa-5670-429f-9b82-dcdbb6fc16b3.jpg","open")</f>
        <v/>
      </c>
      <c r="C8371" t="inlineStr">
        <is>
          <t>789f6c51-64ee-4078-b7bd-443af8b8b68a</t>
        </is>
      </c>
      <c r="D8371" t="n">
        <v>55.86148</v>
      </c>
      <c r="E8371" t="n">
        <v>37.6792</v>
      </c>
      <c r="F8371" t="inlineStr"/>
      <c r="G8371" t="inlineStr"/>
      <c r="H8371" t="inlineStr"/>
    </row>
    <row r="8372">
      <c r="A8372" t="inlineStr">
        <is>
          <t>800f6a90-82a7-4a4c-bea3-6ad84aeb2cce.jpg</t>
        </is>
      </c>
      <c r="B8372">
        <f>HYPERLINK("Объекты недвижимости, не соответствующие градостроительным нормам_00-022_Август/800f6a90-82a7-4a4c-bea3-6ad84aeb2cce.jpg","open")</f>
        <v/>
      </c>
      <c r="C8372" t="inlineStr">
        <is>
          <t>2acfb2da-e3f6-464c-bd17-4b713522c142</t>
        </is>
      </c>
      <c r="D8372" t="n">
        <v>55.86147</v>
      </c>
      <c r="E8372" t="n">
        <v>37.67919</v>
      </c>
      <c r="F8372" t="inlineStr"/>
      <c r="G8372" t="inlineStr"/>
      <c r="H8372" t="inlineStr"/>
    </row>
    <row r="8373">
      <c r="A8373" t="inlineStr">
        <is>
          <t>388df35d-d782-4217-95a7-8f0a345866b7.jpg</t>
        </is>
      </c>
      <c r="B8373">
        <f>HYPERLINK("Объекты недвижимости, не соответствующие градостроительным нормам_00-022_Август/388df35d-d782-4217-95a7-8f0a345866b7.jpg","open")</f>
        <v/>
      </c>
      <c r="C8373" t="inlineStr">
        <is>
          <t>8996eb30-6497-4318-8a0e-b95314b8172e</t>
        </is>
      </c>
      <c r="D8373" t="n">
        <v>55.7404</v>
      </c>
      <c r="E8373" t="n">
        <v>37.48199</v>
      </c>
      <c r="F8373" t="inlineStr"/>
      <c r="G8373" t="inlineStr"/>
      <c r="H8373" t="inlineStr"/>
    </row>
    <row r="8374">
      <c r="A8374" t="inlineStr">
        <is>
          <t>0436b58c-0170-4a9a-9d43-44b776339645.jpg</t>
        </is>
      </c>
      <c r="B8374">
        <f>HYPERLINK("Объекты недвижимости, не соответствующие градостроительным нормам_00-022_Август/0436b58c-0170-4a9a-9d43-44b776339645.jpg","open")</f>
        <v/>
      </c>
      <c r="C8374" t="inlineStr">
        <is>
          <t>ed2bf0f1-3a66-4913-896e-4420a9796c0b</t>
        </is>
      </c>
      <c r="D8374" t="n">
        <v>55.88988</v>
      </c>
      <c r="E8374" t="n">
        <v>37.58582</v>
      </c>
      <c r="F8374" t="inlineStr"/>
      <c r="G8374" t="inlineStr"/>
      <c r="H8374" t="inlineStr"/>
    </row>
    <row r="8375">
      <c r="A8375" t="inlineStr">
        <is>
          <t>2c20768e-c27b-4aed-b605-529bd04a8595.jpg</t>
        </is>
      </c>
      <c r="B8375">
        <f>HYPERLINK("Объекты недвижимости, не соответствующие градостроительным нормам_00-022_Август/2c20768e-c27b-4aed-b605-529bd04a8595.jpg","open")</f>
        <v/>
      </c>
      <c r="C8375" t="inlineStr">
        <is>
          <t>8cde1fd0-eca1-4510-86ab-3c743b65fdfc</t>
        </is>
      </c>
      <c r="D8375" t="n">
        <v>55.80735</v>
      </c>
      <c r="E8375" t="n">
        <v>37.83985</v>
      </c>
      <c r="F8375" t="inlineStr"/>
      <c r="G8375" t="inlineStr"/>
      <c r="H8375" t="inlineStr"/>
    </row>
    <row r="8376">
      <c r="A8376" t="inlineStr">
        <is>
          <t>37a00551-a09c-42bb-bd68-965a9960362f.jpg</t>
        </is>
      </c>
      <c r="B8376">
        <f>HYPERLINK("Объекты недвижимости, не соответствующие градостроительным нормам_00-022_Август/37a00551-a09c-42bb-bd68-965a9960362f.jpg","open")</f>
        <v/>
      </c>
      <c r="C8376" t="inlineStr">
        <is>
          <t>685d9054-b74f-49ab-857b-109fd2cec80d</t>
        </is>
      </c>
      <c r="D8376" t="n">
        <v>55.62778</v>
      </c>
      <c r="E8376" t="n">
        <v>37.47922</v>
      </c>
      <c r="F8376" t="inlineStr"/>
      <c r="G8376" t="inlineStr"/>
      <c r="H8376" t="inlineStr"/>
    </row>
    <row r="8377">
      <c r="A8377" t="inlineStr">
        <is>
          <t>d2d08f6a-00e6-427d-be90-a9622f968f28.jpg</t>
        </is>
      </c>
      <c r="B8377">
        <f>HYPERLINK("Объекты недвижимости, не соответствующие градостроительным нормам_00-022_Август/d2d08f6a-00e6-427d-be90-a9622f968f28.jpg","open")</f>
        <v/>
      </c>
      <c r="C8377" t="inlineStr">
        <is>
          <t>5e5b9944-4f9e-4223-bf96-0bc0c8a93dfa</t>
        </is>
      </c>
      <c r="D8377" t="n">
        <v>55.96405</v>
      </c>
      <c r="E8377" t="n">
        <v>37.41943</v>
      </c>
      <c r="F8377" t="inlineStr"/>
      <c r="G8377" t="inlineStr"/>
      <c r="H8377" t="inlineStr"/>
    </row>
    <row r="8378">
      <c r="A8378" t="inlineStr">
        <is>
          <t>0adb8674-8276-4052-a9bf-5a2e58813205.jpg</t>
        </is>
      </c>
      <c r="B8378">
        <f>HYPERLINK("Объекты недвижимости, не соответствующие градостроительным нормам_00-022_Август/0adb8674-8276-4052-a9bf-5a2e58813205.jpg","open")</f>
        <v/>
      </c>
      <c r="C8378" t="inlineStr">
        <is>
          <t>789f6c51-64ee-4078-b7bd-443af8b8b68a</t>
        </is>
      </c>
      <c r="D8378" t="n">
        <v>55.86255</v>
      </c>
      <c r="E8378" t="n">
        <v>37.6751</v>
      </c>
      <c r="F8378" t="inlineStr"/>
      <c r="G8378" t="inlineStr"/>
      <c r="H8378" t="inlineStr"/>
    </row>
    <row r="8379">
      <c r="A8379" t="inlineStr">
        <is>
          <t>517e64c2-3520-4590-b58e-a9815279ebed.jpg</t>
        </is>
      </c>
      <c r="B8379">
        <f>HYPERLINK("Объекты недвижимости, не соответствующие градостроительным нормам_00-022_Август/517e64c2-3520-4590-b58e-a9815279ebed.jpg","open")</f>
        <v/>
      </c>
      <c r="C8379" t="inlineStr">
        <is>
          <t>1231bbc5-e64c-4dc7-9acc-77710f47607a</t>
        </is>
      </c>
      <c r="D8379" t="n">
        <v>55.62897</v>
      </c>
      <c r="E8379" t="n">
        <v>37.48336</v>
      </c>
      <c r="F8379" t="inlineStr"/>
      <c r="G8379" t="inlineStr"/>
      <c r="H8379" t="inlineStr"/>
    </row>
    <row r="8380">
      <c r="A8380" t="inlineStr">
        <is>
          <t>9c8635c3-f23f-4adb-8b6a-cfaae4f6a2b9.jpg</t>
        </is>
      </c>
      <c r="B8380">
        <f>HYPERLINK("Объекты недвижимости, не соответствующие градостроительным нормам_00-022_Август/9c8635c3-f23f-4adb-8b6a-cfaae4f6a2b9.jpg","open")</f>
        <v/>
      </c>
      <c r="C8380" t="inlineStr">
        <is>
          <t>685d9054-b74f-49ab-857b-109fd2cec80d</t>
        </is>
      </c>
      <c r="D8380" t="n">
        <v>55.62891</v>
      </c>
      <c r="E8380" t="n">
        <v>37.48287</v>
      </c>
      <c r="F8380" t="inlineStr"/>
      <c r="G8380" t="inlineStr"/>
      <c r="H8380" t="inlineStr"/>
    </row>
    <row r="8381">
      <c r="A8381" t="inlineStr">
        <is>
          <t>a406b104-b192-471c-9ab7-9eea49c757f9.jpg</t>
        </is>
      </c>
      <c r="B8381">
        <f>HYPERLINK("Объекты недвижимости, не соответствующие градостроительным нормам_00-022_Август/a406b104-b192-471c-9ab7-9eea49c757f9.jpg","open")</f>
        <v/>
      </c>
      <c r="C8381" t="inlineStr">
        <is>
          <t>1231bbc5-e64c-4dc7-9acc-77710f47607a</t>
        </is>
      </c>
      <c r="D8381" t="n">
        <v>55.62897</v>
      </c>
      <c r="E8381" t="n">
        <v>37.48288</v>
      </c>
      <c r="F8381" t="inlineStr"/>
      <c r="G8381" t="inlineStr"/>
      <c r="H8381" t="inlineStr"/>
    </row>
    <row r="8382">
      <c r="A8382" t="inlineStr">
        <is>
          <t>1cfd29a2-f2af-4664-929d-b4df264fc5b5.jpg</t>
        </is>
      </c>
      <c r="B8382">
        <f>HYPERLINK("Объекты недвижимости, не соответствующие градостроительным нормам_00-022_Август/1cfd29a2-f2af-4664-929d-b4df264fc5b5.jpg","open")</f>
        <v/>
      </c>
      <c r="C8382" t="inlineStr">
        <is>
          <t>91248771-2c4d-44f3-b3cf-d536bd4ae73c</t>
        </is>
      </c>
      <c r="D8382" t="n">
        <v>55.73424</v>
      </c>
      <c r="E8382" t="n">
        <v>37.68399</v>
      </c>
      <c r="F8382" t="inlineStr"/>
      <c r="G8382" t="inlineStr"/>
      <c r="H8382" t="inlineStr"/>
    </row>
    <row r="8383">
      <c r="A8383" t="inlineStr">
        <is>
          <t>c7da14b1-0f37-4818-a794-80896e3f9dc7.jpg</t>
        </is>
      </c>
      <c r="B8383">
        <f>HYPERLINK("Объекты недвижимости, не соответствующие градостроительным нормам_00-022_Август/c7da14b1-0f37-4818-a794-80896e3f9dc7.jpg","open")</f>
        <v/>
      </c>
      <c r="C8383" t="inlineStr">
        <is>
          <t>685d9054-b74f-49ab-857b-109fd2cec80d</t>
        </is>
      </c>
      <c r="D8383" t="n">
        <v>55.62891</v>
      </c>
      <c r="E8383" t="n">
        <v>37.48276</v>
      </c>
      <c r="F8383" t="inlineStr"/>
      <c r="G8383" t="inlineStr"/>
      <c r="H8383" t="inlineStr"/>
    </row>
    <row r="8384">
      <c r="A8384" t="inlineStr">
        <is>
          <t>9559f1f4-455e-4005-9782-c37db3191086.jpg</t>
        </is>
      </c>
      <c r="B8384">
        <f>HYPERLINK("Объекты недвижимости, не соответствующие градостроительным нормам_00-022_Август/9559f1f4-455e-4005-9782-c37db3191086.jpg","open")</f>
        <v/>
      </c>
      <c r="C8384" t="inlineStr">
        <is>
          <t>57aae8a4-582b-4309-8045-c8127a9f86ae</t>
        </is>
      </c>
      <c r="D8384" t="n">
        <v>55.81855</v>
      </c>
      <c r="E8384" t="n">
        <v>37.71354</v>
      </c>
      <c r="F8384" t="inlineStr"/>
      <c r="G8384" t="inlineStr"/>
      <c r="H8384" t="inlineStr"/>
    </row>
    <row r="8385">
      <c r="A8385" t="inlineStr">
        <is>
          <t>546f5695-abd1-42ea-af41-06006e45881f.jpg</t>
        </is>
      </c>
      <c r="B8385">
        <f>HYPERLINK("Объекты недвижимости, не соответствующие градостроительным нормам_00-022_Август/546f5695-abd1-42ea-af41-06006e45881f.jpg","open")</f>
        <v/>
      </c>
      <c r="C8385" t="inlineStr">
        <is>
          <t>57aae8a4-582b-4309-8045-c8127a9f86ae</t>
        </is>
      </c>
      <c r="D8385" t="n">
        <v>55.81855</v>
      </c>
      <c r="E8385" t="n">
        <v>37.71354</v>
      </c>
      <c r="F8385" t="inlineStr"/>
      <c r="G8385" t="inlineStr"/>
      <c r="H8385" t="inlineStr"/>
    </row>
    <row r="8386">
      <c r="A8386" t="inlineStr">
        <is>
          <t>5b8d2717-667b-4cdc-ad1b-a708665484cb.jpg</t>
        </is>
      </c>
      <c r="B8386">
        <f>HYPERLINK("Объекты недвижимости, не соответствующие градостроительным нормам_00-022_Август/5b8d2717-667b-4cdc-ad1b-a708665484cb.jpg","open")</f>
        <v/>
      </c>
      <c r="C8386" t="inlineStr">
        <is>
          <t>acedacc2-0d8b-4fc1-9622-25621a89d071</t>
        </is>
      </c>
      <c r="D8386" t="n">
        <v>55.81855</v>
      </c>
      <c r="E8386" t="n">
        <v>37.71354</v>
      </c>
      <c r="F8386" t="inlineStr"/>
      <c r="G8386" t="inlineStr"/>
      <c r="H8386" t="inlineStr"/>
    </row>
    <row r="8387">
      <c r="A8387" t="inlineStr">
        <is>
          <t>e59fb3cb-8d6f-4ed6-be4c-e9f6b5331fa0.jpg</t>
        </is>
      </c>
      <c r="B8387">
        <f>HYPERLINK("Объекты недвижимости, не соответствующие градостроительным нормам_00-022_Август/e59fb3cb-8d6f-4ed6-be4c-e9f6b5331fa0.jpg","open")</f>
        <v/>
      </c>
      <c r="C8387" t="inlineStr">
        <is>
          <t>8cde1fd0-eca1-4510-86ab-3c743b65fdfc</t>
        </is>
      </c>
      <c r="D8387" t="n">
        <v>55.81947</v>
      </c>
      <c r="E8387" t="n">
        <v>37.85818</v>
      </c>
      <c r="F8387" t="inlineStr"/>
      <c r="G8387" t="inlineStr"/>
      <c r="H8387" t="inlineStr"/>
    </row>
    <row r="8388">
      <c r="A8388" t="inlineStr">
        <is>
          <t>959f6cb6-fc8c-44d3-a075-01ceb210cf23.jpg</t>
        </is>
      </c>
      <c r="B8388">
        <f>HYPERLINK("Объекты недвижимости, не соответствующие градостроительным нормам_00-022_Август/959f6cb6-fc8c-44d3-a075-01ceb210cf23.jpg","open")</f>
        <v/>
      </c>
      <c r="C8388" t="inlineStr">
        <is>
          <t>8b2675e2-7f40-47a9-a462-7c9feecd299c</t>
        </is>
      </c>
      <c r="D8388" t="n">
        <v>55.79584</v>
      </c>
      <c r="E8388" t="n">
        <v>37.72932</v>
      </c>
      <c r="F8388" t="inlineStr"/>
      <c r="G8388" t="inlineStr"/>
      <c r="H8388" t="inlineStr"/>
    </row>
    <row r="8389">
      <c r="A8389" t="inlineStr">
        <is>
          <t>3e40e282-e78c-461a-bb79-643c2bbddccd.jpg</t>
        </is>
      </c>
      <c r="B8389">
        <f>HYPERLINK("Объекты недвижимости, не соответствующие градостроительным нормам_00-022_Август/3e40e282-e78c-461a-bb79-643c2bbddccd.jpg","open")</f>
        <v/>
      </c>
      <c r="C8389" t="inlineStr">
        <is>
          <t>1c951e11-4940-43c6-a447-394097e5609a</t>
        </is>
      </c>
      <c r="D8389" t="n">
        <v>55.81939</v>
      </c>
      <c r="E8389" t="n">
        <v>37.85801</v>
      </c>
      <c r="F8389" t="inlineStr"/>
      <c r="G8389" t="inlineStr"/>
      <c r="H8389" t="inlineStr"/>
    </row>
    <row r="8390">
      <c r="A8390" t="inlineStr">
        <is>
          <t>1a4a15eb-5875-418c-ba72-8ca3da70fbdd.jpg</t>
        </is>
      </c>
      <c r="B8390">
        <f>HYPERLINK("Объекты недвижимости, не соответствующие градостроительным нормам_00-022_Август/1a4a15eb-5875-418c-ba72-8ca3da70fbdd.jpg","open")</f>
        <v/>
      </c>
      <c r="C8390" t="inlineStr">
        <is>
          <t>8cde1fd0-eca1-4510-86ab-3c743b65fdfc</t>
        </is>
      </c>
      <c r="D8390" t="n">
        <v>55.81941</v>
      </c>
      <c r="E8390" t="n">
        <v>37.85804</v>
      </c>
      <c r="F8390" t="inlineStr"/>
      <c r="G8390" t="inlineStr"/>
      <c r="H8390" t="inlineStr"/>
    </row>
    <row r="8391">
      <c r="A8391" t="inlineStr">
        <is>
          <t>fa9eeb38-4ed4-4267-a710-f88cbf23d91a.jpg</t>
        </is>
      </c>
      <c r="B8391">
        <f>HYPERLINK("Объекты недвижимости, не соответствующие градостроительным нормам_00-022_Август/fa9eeb38-4ed4-4267-a710-f88cbf23d91a.jpg","open")</f>
        <v/>
      </c>
      <c r="C8391" t="inlineStr">
        <is>
          <t>4cd87d14-7440-44b7-a5b2-a738e10006f7</t>
        </is>
      </c>
      <c r="D8391" t="n">
        <v>55.79559</v>
      </c>
      <c r="E8391" t="n">
        <v>37.6345</v>
      </c>
      <c r="F8391" t="inlineStr"/>
      <c r="G8391" t="inlineStr"/>
      <c r="H8391" t="inlineStr"/>
    </row>
    <row r="8392">
      <c r="A8392" t="inlineStr">
        <is>
          <t>14ef9378-be12-4c71-826a-a5a3d440eacb.jpg</t>
        </is>
      </c>
      <c r="B8392">
        <f>HYPERLINK("Объекты недвижимости, не соответствующие градостроительным нормам_00-022_Август/14ef9378-be12-4c71-826a-a5a3d440eacb.jpg","open")</f>
        <v/>
      </c>
      <c r="C8392" t="inlineStr">
        <is>
          <t>e26f5fc2-1353-4f29-85f3-87c56419161c</t>
        </is>
      </c>
      <c r="D8392" t="n">
        <v>55.79216</v>
      </c>
      <c r="E8392" t="n">
        <v>37.63158</v>
      </c>
      <c r="F8392" t="inlineStr"/>
      <c r="G8392" t="inlineStr"/>
      <c r="H8392" t="inlineStr"/>
    </row>
    <row r="8393">
      <c r="A8393" t="inlineStr">
        <is>
          <t>61ebdb66-0962-41fe-a49e-1173d5ec1818.jpg</t>
        </is>
      </c>
      <c r="B8393">
        <f>HYPERLINK("Объекты недвижимости, не соответствующие градостроительным нормам_00-022_Август/61ebdb66-0962-41fe-a49e-1173d5ec1818.jpg","open")</f>
        <v/>
      </c>
      <c r="C8393" t="inlineStr">
        <is>
          <t>e26f5fc2-1353-4f29-85f3-87c56419161c</t>
        </is>
      </c>
      <c r="D8393" t="n">
        <v>55.79244</v>
      </c>
      <c r="E8393" t="n">
        <v>37.63074</v>
      </c>
      <c r="F8393" t="inlineStr"/>
      <c r="G8393" t="inlineStr"/>
      <c r="H8393" t="inlineStr"/>
    </row>
    <row r="8394">
      <c r="A8394" t="inlineStr">
        <is>
          <t>f052389e-07aa-49c0-a83a-2be57da004f2.jpg</t>
        </is>
      </c>
      <c r="B8394">
        <f>HYPERLINK("Объекты недвижимости, не соответствующие градостроительным нормам_00-022_Август/f052389e-07aa-49c0-a83a-2be57da004f2.jpg","open")</f>
        <v/>
      </c>
      <c r="C8394" t="inlineStr">
        <is>
          <t>685d9054-b74f-49ab-857b-109fd2cec80d</t>
        </is>
      </c>
      <c r="D8394" t="n">
        <v>55.63035</v>
      </c>
      <c r="E8394" t="n">
        <v>37.48219</v>
      </c>
      <c r="F8394" t="inlineStr"/>
      <c r="G8394" t="inlineStr"/>
      <c r="H8394" t="inlineStr"/>
    </row>
    <row r="8395">
      <c r="A8395" t="inlineStr">
        <is>
          <t>2beb57a5-64e9-496d-8423-adfe30832279.jpg</t>
        </is>
      </c>
      <c r="B8395">
        <f>HYPERLINK("Объекты недвижимости, не соответствующие градостроительным нормам_00-022_Август/2beb57a5-64e9-496d-8423-adfe30832279.jpg","open")</f>
        <v/>
      </c>
      <c r="C8395" t="inlineStr">
        <is>
          <t>99f3abba-c55b-49f0-9de5-9f88e9597cc0</t>
        </is>
      </c>
      <c r="D8395" t="n">
        <v>55.72089</v>
      </c>
      <c r="E8395" t="n">
        <v>37.66254</v>
      </c>
      <c r="F8395" t="inlineStr"/>
      <c r="G8395" t="inlineStr"/>
      <c r="H8395" t="inlineStr"/>
    </row>
    <row r="8396">
      <c r="A8396" t="inlineStr">
        <is>
          <t>0f9f9005-91b1-4fea-beb2-dc5acaa11eba.jpg</t>
        </is>
      </c>
      <c r="B8396">
        <f>HYPERLINK("Объекты недвижимости, не соответствующие градостроительным нормам_00-022_Август/0f9f9005-91b1-4fea-beb2-dc5acaa11eba.jpg","open")</f>
        <v/>
      </c>
      <c r="C8396" t="inlineStr">
        <is>
          <t>fb9a37cc-57a6-447c-98bb-0b299f09c809</t>
        </is>
      </c>
      <c r="D8396" t="n">
        <v>55.75035</v>
      </c>
      <c r="E8396" t="n">
        <v>37.70839</v>
      </c>
      <c r="F8396" t="inlineStr"/>
      <c r="G8396" t="inlineStr"/>
      <c r="H8396" t="inlineStr"/>
    </row>
    <row r="8397">
      <c r="A8397" t="inlineStr">
        <is>
          <t>5d6ddac6-adcc-4f80-8855-339a396a2fa2.jpg</t>
        </is>
      </c>
      <c r="B8397">
        <f>HYPERLINK("Объекты недвижимости, не соответствующие градостроительным нормам_00-022_Август/5d6ddac6-adcc-4f80-8855-339a396a2fa2.jpg","open")</f>
        <v/>
      </c>
      <c r="C8397" t="inlineStr">
        <is>
          <t>8cde1fd0-eca1-4510-86ab-3c743b65fdfc</t>
        </is>
      </c>
      <c r="D8397" t="n">
        <v>55.81533</v>
      </c>
      <c r="E8397" t="n">
        <v>37.87301</v>
      </c>
      <c r="F8397" t="inlineStr"/>
      <c r="G8397" t="inlineStr"/>
      <c r="H8397" t="inlineStr"/>
    </row>
    <row r="8398">
      <c r="A8398" t="inlineStr">
        <is>
          <t>90dcdb1b-1e01-41d8-8647-2f5a76528cce.jpg</t>
        </is>
      </c>
      <c r="B8398">
        <f>HYPERLINK("Объекты недвижимости, не соответствующие градостроительным нормам_00-022_Август/90dcdb1b-1e01-41d8-8647-2f5a76528cce.jpg","open")</f>
        <v/>
      </c>
      <c r="C8398" t="inlineStr">
        <is>
          <t>ffd931da-542f-43e9-979f-5552b17fe3dc</t>
        </is>
      </c>
      <c r="D8398" t="n">
        <v>55.77867</v>
      </c>
      <c r="E8398" t="n">
        <v>37.72083</v>
      </c>
      <c r="F8398" t="inlineStr"/>
      <c r="G8398" t="inlineStr"/>
      <c r="H8398" t="inlineStr"/>
    </row>
    <row r="8399">
      <c r="A8399" t="inlineStr">
        <is>
          <t>a34df604-dda1-4aca-8b55-cf9b58fb6d3f.jpg</t>
        </is>
      </c>
      <c r="B8399">
        <f>HYPERLINK("Объекты недвижимости, не соответствующие градостроительным нормам_00-022_Август/a34df604-dda1-4aca-8b55-cf9b58fb6d3f.jpg","open")</f>
        <v/>
      </c>
      <c r="C8399" t="inlineStr">
        <is>
          <t>f60286ac-55e7-4099-85bd-cc599a7a0c65</t>
        </is>
      </c>
      <c r="D8399" t="n">
        <v>55.77872</v>
      </c>
      <c r="E8399" t="n">
        <v>37.7208</v>
      </c>
      <c r="F8399" t="inlineStr"/>
      <c r="G8399" t="inlineStr"/>
      <c r="H8399" t="inlineStr"/>
    </row>
    <row r="8400">
      <c r="A8400" t="inlineStr">
        <is>
          <t>2be2009f-5e13-42f4-a8e0-7e3ae3dc0143.jpg</t>
        </is>
      </c>
      <c r="B8400">
        <f>HYPERLINK("Объекты недвижимости, не соответствующие градостроительным нормам_00-022_Август/2be2009f-5e13-42f4-a8e0-7e3ae3dc0143.jpg","open")</f>
        <v/>
      </c>
      <c r="C8400" t="inlineStr">
        <is>
          <t>cbf95b01-f708-45a3-9ec0-3603469b538e</t>
        </is>
      </c>
      <c r="D8400" t="n">
        <v>55.74041</v>
      </c>
      <c r="E8400" t="n">
        <v>37.65237</v>
      </c>
      <c r="F8400" t="inlineStr"/>
      <c r="G8400" t="inlineStr"/>
      <c r="H8400" t="inlineStr"/>
    </row>
    <row r="8401">
      <c r="A8401" t="inlineStr">
        <is>
          <t>c5aae68e-1ea4-4f37-be97-f63ec22ea0e4.jpg</t>
        </is>
      </c>
      <c r="B8401">
        <f>HYPERLINK("Объекты недвижимости, не соответствующие градостроительным нормам_00-022_Август/c5aae68e-1ea4-4f37-be97-f63ec22ea0e4.jpg","open")</f>
        <v/>
      </c>
      <c r="C8401" t="inlineStr">
        <is>
          <t>8cde1fd0-eca1-4510-86ab-3c743b65fdfc</t>
        </is>
      </c>
      <c r="D8401" t="n">
        <v>55.81736</v>
      </c>
      <c r="E8401" t="n">
        <v>37.87745</v>
      </c>
      <c r="F8401" t="inlineStr"/>
      <c r="G8401" t="inlineStr"/>
      <c r="H8401" t="inlineStr"/>
    </row>
    <row r="8402">
      <c r="A8402" t="inlineStr">
        <is>
          <t>6e2f52e6-f8d3-4ef7-b3c4-1729fe057c74.jpg</t>
        </is>
      </c>
      <c r="B8402">
        <f>HYPERLINK("Объекты недвижимости, не соответствующие градостроительным нормам_00-022_Август/6e2f52e6-f8d3-4ef7-b3c4-1729fe057c74.jpg","open")</f>
        <v/>
      </c>
      <c r="C8402" t="inlineStr">
        <is>
          <t>6e2567a0-1fb9-40d5-a0e7-0adb480d2965</t>
        </is>
      </c>
      <c r="D8402" t="n">
        <v>55.64824</v>
      </c>
      <c r="E8402" t="n">
        <v>37.56974</v>
      </c>
      <c r="F8402" t="inlineStr"/>
      <c r="G8402" t="inlineStr"/>
      <c r="H8402" t="inlineStr"/>
    </row>
    <row r="8403">
      <c r="A8403" t="inlineStr">
        <is>
          <t>a53844e7-7e87-4328-85a7-3c61b09da94a.jpg</t>
        </is>
      </c>
      <c r="B8403">
        <f>HYPERLINK("Объекты недвижимости, не соответствующие градостроительным нормам_00-022_Август/a53844e7-7e87-4328-85a7-3c61b09da94a.jpg","open")</f>
        <v/>
      </c>
      <c r="C8403" t="inlineStr">
        <is>
          <t>caa4772d-6278-4484-a046-ee25514bf521</t>
        </is>
      </c>
      <c r="D8403" t="n">
        <v>55.80276</v>
      </c>
      <c r="E8403" t="n">
        <v>37.40635</v>
      </c>
      <c r="F8403" t="inlineStr"/>
      <c r="G8403" t="inlineStr"/>
      <c r="H8403" t="inlineStr"/>
    </row>
    <row r="8404">
      <c r="A8404" t="inlineStr">
        <is>
          <t>c9115615-7e0c-4fb5-9df4-6df24aacabb0.jpg</t>
        </is>
      </c>
      <c r="B8404">
        <f>HYPERLINK("Объекты недвижимости, не соответствующие градостроительным нормам_00-022_Август/c9115615-7e0c-4fb5-9df4-6df24aacabb0.jpg","open")</f>
        <v/>
      </c>
      <c r="C8404" t="inlineStr">
        <is>
          <t>1a55986c-2c3f-40c0-b3d1-014dce77832e</t>
        </is>
      </c>
      <c r="D8404" t="n">
        <v>55.85772</v>
      </c>
      <c r="E8404" t="n">
        <v>37.5843</v>
      </c>
      <c r="F8404" t="inlineStr"/>
      <c r="G8404" t="inlineStr"/>
      <c r="H8404" t="inlineStr"/>
    </row>
    <row r="8405">
      <c r="A8405" t="inlineStr">
        <is>
          <t>44303dea-3b68-44bf-b237-a95c5b39c545.jpg</t>
        </is>
      </c>
      <c r="B8405">
        <f>HYPERLINK("Объекты недвижимости, не соответствующие градостроительным нормам_00-022_Август/44303dea-3b68-44bf-b237-a95c5b39c545.jpg","open")</f>
        <v/>
      </c>
      <c r="C8405" t="inlineStr">
        <is>
          <t>8cde1fd0-eca1-4510-86ab-3c743b65fdfc</t>
        </is>
      </c>
      <c r="D8405" t="n">
        <v>55.81527</v>
      </c>
      <c r="E8405" t="n">
        <v>37.87259</v>
      </c>
      <c r="F8405" t="inlineStr"/>
      <c r="G8405" t="inlineStr"/>
      <c r="H8405" t="inlineStr"/>
    </row>
    <row r="8406">
      <c r="A8406" t="inlineStr">
        <is>
          <t>f1fa4bc3-b7f1-466b-8f37-78f8d1e20dc8.jpg</t>
        </is>
      </c>
      <c r="B8406">
        <f>HYPERLINK("Объекты недвижимости, не соответствующие градостроительным нормам_00-022_Август/f1fa4bc3-b7f1-466b-8f37-78f8d1e20dc8.jpg","open")</f>
        <v/>
      </c>
      <c r="C8406" t="inlineStr">
        <is>
          <t>8cde1fd0-eca1-4510-86ab-3c743b65fdfc</t>
        </is>
      </c>
      <c r="D8406" t="n">
        <v>55.80846</v>
      </c>
      <c r="E8406" t="n">
        <v>37.86354</v>
      </c>
      <c r="F8406" t="inlineStr"/>
      <c r="G8406" t="inlineStr"/>
      <c r="H8406" t="inlineStr"/>
    </row>
    <row r="8407">
      <c r="A8407" t="inlineStr">
        <is>
          <t>c5806b43-fdb2-4532-9d34-1d0b9e6f98cf.jpg</t>
        </is>
      </c>
      <c r="B8407">
        <f>HYPERLINK("Объекты недвижимости, не соответствующие градостроительным нормам_00-022_Август/c5806b43-fdb2-4532-9d34-1d0b9e6f98cf.jpg","open")</f>
        <v/>
      </c>
      <c r="C8407" t="inlineStr">
        <is>
          <t>1c951e11-4940-43c6-a447-394097e5609a</t>
        </is>
      </c>
      <c r="D8407" t="n">
        <v>55.80853</v>
      </c>
      <c r="E8407" t="n">
        <v>37.86357</v>
      </c>
      <c r="F8407" t="inlineStr"/>
      <c r="G8407" t="inlineStr"/>
      <c r="H8407" t="inlineStr"/>
    </row>
    <row r="8408">
      <c r="A8408" t="inlineStr">
        <is>
          <t>1c259e62-0b07-4253-b591-8162c3ef871e.jpg</t>
        </is>
      </c>
      <c r="B8408">
        <f>HYPERLINK("Объекты недвижимости, не соответствующие градостроительным нормам_00-022_Август/1c259e62-0b07-4253-b591-8162c3ef871e.jpg","open")</f>
        <v/>
      </c>
      <c r="C8408" t="inlineStr">
        <is>
          <t>f60286ac-55e7-4099-85bd-cc599a7a0c65</t>
        </is>
      </c>
      <c r="D8408" t="n">
        <v>55.77688</v>
      </c>
      <c r="E8408" t="n">
        <v>37.73186</v>
      </c>
      <c r="F8408" t="inlineStr"/>
      <c r="G8408" t="inlineStr"/>
      <c r="H8408" t="inlineStr"/>
    </row>
    <row r="8409">
      <c r="A8409" t="inlineStr">
        <is>
          <t>287b9910-2031-4e44-94ea-87119520e382.jpg</t>
        </is>
      </c>
      <c r="B8409">
        <f>HYPERLINK("Объекты недвижимости, не соответствующие градостроительным нормам_00-022_Август/287b9910-2031-4e44-94ea-87119520e382.jpg","open")</f>
        <v/>
      </c>
      <c r="C8409" t="inlineStr">
        <is>
          <t>030e8755-17c1-44eb-9530-707d0d3121cb</t>
        </is>
      </c>
      <c r="D8409" t="n">
        <v>55.6249</v>
      </c>
      <c r="E8409" t="n">
        <v>37.75415</v>
      </c>
      <c r="F8409" t="inlineStr"/>
      <c r="G8409" t="inlineStr"/>
      <c r="H8409" t="inlineStr"/>
    </row>
    <row r="8410">
      <c r="A8410" t="inlineStr">
        <is>
          <t>cb11db62-50f8-42db-9c25-395754b672b9.jpg</t>
        </is>
      </c>
      <c r="B8410">
        <f>HYPERLINK("Объекты недвижимости, не соответствующие градостроительным нормам_00-022_Август/cb11db62-50f8-42db-9c25-395754b672b9.jpg","open")</f>
        <v/>
      </c>
      <c r="C8410" t="inlineStr">
        <is>
          <t>8cde1fd0-eca1-4510-86ab-3c743b65fdfc</t>
        </is>
      </c>
      <c r="D8410" t="n">
        <v>55.81113</v>
      </c>
      <c r="E8410" t="n">
        <v>37.86144</v>
      </c>
      <c r="F8410" t="inlineStr"/>
      <c r="G8410" t="inlineStr"/>
      <c r="H8410" t="inlineStr"/>
    </row>
    <row r="8411">
      <c r="A8411" t="inlineStr">
        <is>
          <t>094f279a-313b-4acb-a702-662a84da7562.jpg</t>
        </is>
      </c>
      <c r="B8411">
        <f>HYPERLINK("Объекты недвижимости, не соответствующие градостроительным нормам_00-022_Август/094f279a-313b-4acb-a702-662a84da7562.jpg","open")</f>
        <v/>
      </c>
      <c r="C8411" t="inlineStr">
        <is>
          <t>7b951050-981e-4ccd-816e-e002f271ab6a</t>
        </is>
      </c>
      <c r="D8411" t="n">
        <v>55.73629</v>
      </c>
      <c r="E8411" t="n">
        <v>37.67137</v>
      </c>
      <c r="F8411" t="inlineStr"/>
      <c r="G8411" t="inlineStr"/>
      <c r="H8411" t="inlineStr"/>
    </row>
    <row r="8412">
      <c r="A8412" t="inlineStr">
        <is>
          <t>787c3205-e815-4465-868b-4ae4a5f8550f.jpg</t>
        </is>
      </c>
      <c r="B8412">
        <f>HYPERLINK("Объекты недвижимости, не соответствующие градостроительным нормам_00-022_Август/787c3205-e815-4465-868b-4ae4a5f8550f.jpg","open")</f>
        <v/>
      </c>
      <c r="C8412" t="inlineStr">
        <is>
          <t>cbf95b01-f708-45a3-9ec0-3603469b538e</t>
        </is>
      </c>
      <c r="D8412" t="n">
        <v>55.74</v>
      </c>
      <c r="E8412" t="n">
        <v>37.65104</v>
      </c>
      <c r="F8412" t="inlineStr"/>
      <c r="G8412" t="inlineStr"/>
      <c r="H8412" t="inlineStr"/>
    </row>
    <row r="8413">
      <c r="A8413" t="inlineStr">
        <is>
          <t>fcf87f8f-9a98-4d4d-8521-fe34bb6d8ca6.jpg</t>
        </is>
      </c>
      <c r="B8413">
        <f>HYPERLINK("Объекты недвижимости, не соответствующие градостроительным нормам_00-022_Август/fcf87f8f-9a98-4d4d-8521-fe34bb6d8ca6.jpg","open")</f>
        <v/>
      </c>
      <c r="C8413" t="inlineStr">
        <is>
          <t>8cde1fd0-eca1-4510-86ab-3c743b65fdfc</t>
        </is>
      </c>
      <c r="D8413" t="n">
        <v>55.81592</v>
      </c>
      <c r="E8413" t="n">
        <v>37.86144</v>
      </c>
      <c r="F8413" t="inlineStr"/>
      <c r="G8413" t="inlineStr"/>
      <c r="H8413" t="inlineStr"/>
    </row>
    <row r="8414">
      <c r="A8414" t="inlineStr">
        <is>
          <t>1abadc11-aba2-438b-a938-21c3beff30b7.jpg</t>
        </is>
      </c>
      <c r="B8414">
        <f>HYPERLINK("Объекты недвижимости, не соответствующие градостроительным нормам_00-022_Август/1abadc11-aba2-438b-a938-21c3beff30b7.jpg","open")</f>
        <v/>
      </c>
      <c r="C8414" t="inlineStr">
        <is>
          <t>6e2567a0-1fb9-40d5-a0e7-0adb480d2965</t>
        </is>
      </c>
      <c r="D8414" t="n">
        <v>55.63617</v>
      </c>
      <c r="E8414" t="n">
        <v>37.51394</v>
      </c>
      <c r="F8414" t="inlineStr"/>
      <c r="G8414" t="inlineStr"/>
      <c r="H8414" t="inlineStr"/>
    </row>
    <row r="8415">
      <c r="A8415" t="inlineStr">
        <is>
          <t>a561af60-91a2-4178-b639-60ebc9846c22.jpg</t>
        </is>
      </c>
      <c r="B8415">
        <f>HYPERLINK("Объекты недвижимости, не соответствующие градостроительным нормам_00-022_Август/a561af60-91a2-4178-b639-60ebc9846c22.jpg","open")</f>
        <v/>
      </c>
      <c r="C8415" t="inlineStr">
        <is>
          <t>030e8755-17c1-44eb-9530-707d0d3121cb</t>
        </is>
      </c>
      <c r="D8415" t="n">
        <v>55.61885</v>
      </c>
      <c r="E8415" t="n">
        <v>37.76099</v>
      </c>
      <c r="F8415" t="inlineStr"/>
      <c r="G8415" t="inlineStr"/>
      <c r="H8415" t="inlineStr"/>
    </row>
    <row r="8416">
      <c r="A8416" t="inlineStr">
        <is>
          <t>9bef73af-06ee-440c-aa8a-73890106779d.jpg</t>
        </is>
      </c>
      <c r="B8416">
        <f>HYPERLINK("Объекты недвижимости, не соответствующие градостроительным нормам_00-022_Август/9bef73af-06ee-440c-aa8a-73890106779d.jpg","open")</f>
        <v/>
      </c>
      <c r="C8416" t="inlineStr">
        <is>
          <t>cbf95b01-f708-45a3-9ec0-3603469b538e</t>
        </is>
      </c>
      <c r="D8416" t="n">
        <v>55.74</v>
      </c>
      <c r="E8416" t="n">
        <v>37.65104</v>
      </c>
      <c r="F8416" t="inlineStr"/>
      <c r="G8416" t="inlineStr"/>
      <c r="H8416" t="inlineStr"/>
    </row>
    <row r="8417">
      <c r="A8417" t="inlineStr">
        <is>
          <t>8e0fca4f-eeb2-4476-bc4d-98657f038aec.jpg</t>
        </is>
      </c>
      <c r="B8417">
        <f>HYPERLINK("Объекты недвижимости, не соответствующие градостроительным нормам_00-022_Август/8e0fca4f-eeb2-4476-bc4d-98657f038aec.jpg","open")</f>
        <v/>
      </c>
      <c r="C8417" t="inlineStr">
        <is>
          <t>9ca2abb7-5978-4e19-b2b4-4d185fa6739e</t>
        </is>
      </c>
      <c r="D8417" t="n">
        <v>55.96984</v>
      </c>
      <c r="E8417" t="n">
        <v>37.40028</v>
      </c>
      <c r="F8417" t="inlineStr"/>
      <c r="G8417" t="inlineStr"/>
      <c r="H8417" t="inlineStr"/>
    </row>
    <row r="8418">
      <c r="A8418" t="inlineStr">
        <is>
          <t>d9c1f893-342c-4b97-aa9a-502eea986b4a.jpg</t>
        </is>
      </c>
      <c r="B8418">
        <f>HYPERLINK("Объекты недвижимости, не соответствующие градостроительным нормам_00-022_Август/d9c1f893-342c-4b97-aa9a-502eea986b4a.jpg","open")</f>
        <v/>
      </c>
      <c r="C8418" t="inlineStr">
        <is>
          <t>b0429a31-0c70-4b9f-8ea5-73929d82f89e</t>
        </is>
      </c>
      <c r="D8418" t="n">
        <v>55.71637</v>
      </c>
      <c r="E8418" t="n">
        <v>37.62159</v>
      </c>
      <c r="F8418" t="inlineStr"/>
      <c r="G8418" t="inlineStr"/>
      <c r="H8418" t="inlineStr"/>
    </row>
    <row r="8419">
      <c r="A8419" t="inlineStr">
        <is>
          <t>27a0a2a9-04ac-4a37-a47a-260b38153bc3.jpg</t>
        </is>
      </c>
      <c r="B8419">
        <f>HYPERLINK("Объекты недвижимости, не соответствующие градостроительным нормам_00-022_Август/27a0a2a9-04ac-4a37-a47a-260b38153bc3.jpg","open")</f>
        <v/>
      </c>
      <c r="C8419" t="inlineStr">
        <is>
          <t>cbf95b01-f708-45a3-9ec0-3603469b538e</t>
        </is>
      </c>
      <c r="D8419" t="n">
        <v>55.74</v>
      </c>
      <c r="E8419" t="n">
        <v>37.65104</v>
      </c>
      <c r="F8419" t="inlineStr"/>
      <c r="G8419" t="inlineStr"/>
      <c r="H8419" t="inlineStr"/>
    </row>
    <row r="8420">
      <c r="A8420" t="inlineStr">
        <is>
          <t>281e487a-3c54-4e4b-a53a-d17fa7825bdd.jpg</t>
        </is>
      </c>
      <c r="B8420">
        <f>HYPERLINK("Объекты недвижимости, не соответствующие градостроительным нормам_00-022_Август/281e487a-3c54-4e4b-a53a-d17fa7825bdd.jpg","open")</f>
        <v/>
      </c>
      <c r="C8420" t="inlineStr">
        <is>
          <t>ed2bf0f1-3a66-4913-896e-4420a9796c0b</t>
        </is>
      </c>
      <c r="D8420" t="n">
        <v>55.79197</v>
      </c>
      <c r="E8420" t="n">
        <v>37.63193</v>
      </c>
      <c r="F8420" t="inlineStr"/>
      <c r="G8420" t="inlineStr"/>
      <c r="H8420" t="inlineStr"/>
    </row>
    <row r="8421">
      <c r="A8421" t="inlineStr">
        <is>
          <t>58f9f737-77d9-439a-a6c9-45e0cd9c1358.jpg</t>
        </is>
      </c>
      <c r="B8421">
        <f>HYPERLINK("Объекты недвижимости, не соответствующие градостроительным нормам_00-022_Август/58f9f737-77d9-439a-a6c9-45e0cd9c1358.jpg","open")</f>
        <v/>
      </c>
      <c r="C8421" t="inlineStr">
        <is>
          <t>ffd931da-542f-43e9-979f-5552b17fe3dc</t>
        </is>
      </c>
      <c r="D8421" t="n">
        <v>55.77684</v>
      </c>
      <c r="E8421" t="n">
        <v>37.72297</v>
      </c>
      <c r="F8421" t="inlineStr"/>
      <c r="G8421" t="inlineStr"/>
      <c r="H8421" t="inlineStr"/>
    </row>
    <row r="8422">
      <c r="A8422" t="inlineStr">
        <is>
          <t>39c8b491-22ae-439b-b3c7-d6c0491a5285.jpg</t>
        </is>
      </c>
      <c r="B8422">
        <f>HYPERLINK("Объекты недвижимости, не соответствующие градостроительным нормам_00-022_Август/39c8b491-22ae-439b-b3c7-d6c0491a5285.jpg","open")</f>
        <v/>
      </c>
      <c r="C8422" t="inlineStr">
        <is>
          <t>ed2bf0f1-3a66-4913-896e-4420a9796c0b</t>
        </is>
      </c>
      <c r="D8422" t="n">
        <v>55.79244</v>
      </c>
      <c r="E8422" t="n">
        <v>37.63071</v>
      </c>
      <c r="F8422" t="inlineStr"/>
      <c r="G8422" t="inlineStr"/>
      <c r="H8422" t="inlineStr"/>
    </row>
    <row r="8423">
      <c r="A8423" t="inlineStr">
        <is>
          <t>cba53a0e-9270-4207-b360-8be53b770537.jpg</t>
        </is>
      </c>
      <c r="B8423">
        <f>HYPERLINK("Объекты недвижимости, не соответствующие градостроительным нормам_00-022_Август/cba53a0e-9270-4207-b360-8be53b770537.jpg","open")</f>
        <v/>
      </c>
      <c r="C8423" t="inlineStr">
        <is>
          <t>61936922-4d4b-458e-80ea-6d4c450aa1d5</t>
        </is>
      </c>
      <c r="D8423" t="n">
        <v>55.7531</v>
      </c>
      <c r="E8423" t="n">
        <v>37.50567</v>
      </c>
      <c r="F8423" t="inlineStr"/>
      <c r="G8423" t="inlineStr"/>
      <c r="H8423" t="inlineStr"/>
    </row>
    <row r="8424">
      <c r="A8424" t="inlineStr">
        <is>
          <t>7dfda625-9c04-4104-b37a-87bea0ba5610.jpg</t>
        </is>
      </c>
      <c r="B8424">
        <f>HYPERLINK("Объекты недвижимости, не соответствующие градостроительным нормам_00-022_Август/7dfda625-9c04-4104-b37a-87bea0ba5610.jpg","open")</f>
        <v/>
      </c>
      <c r="C8424" t="inlineStr">
        <is>
          <t>936502dd-24a4-4256-9fdf-0d8fb72af3ed</t>
        </is>
      </c>
      <c r="D8424" t="n">
        <v>55.61687</v>
      </c>
      <c r="E8424" t="n">
        <v>37.75688</v>
      </c>
      <c r="F8424" t="inlineStr"/>
      <c r="G8424" t="inlineStr"/>
      <c r="H8424" t="inlineStr"/>
    </row>
    <row r="8425">
      <c r="A8425" t="inlineStr">
        <is>
          <t>af23930a-2466-49e7-9ba6-79c359dfc1c4.jpg</t>
        </is>
      </c>
      <c r="B8425">
        <f>HYPERLINK("Объекты недвижимости, не соответствующие градостроительным нормам_00-022_Август/af23930a-2466-49e7-9ba6-79c359dfc1c4.jpg","open")</f>
        <v/>
      </c>
      <c r="C8425" t="inlineStr">
        <is>
          <t>d2c4eccd-3e4b-406c-a903-0f5e43d0be35</t>
        </is>
      </c>
      <c r="D8425" t="n">
        <v>55.83707</v>
      </c>
      <c r="E8425" t="n">
        <v>37.6586</v>
      </c>
      <c r="F8425" t="inlineStr"/>
      <c r="G8425" t="inlineStr"/>
      <c r="H8425" t="inlineStr"/>
    </row>
    <row r="8426">
      <c r="A8426" t="inlineStr">
        <is>
          <t>98495219-dace-4635-aec0-f59d54f7e9cd.jpg</t>
        </is>
      </c>
      <c r="B8426">
        <f>HYPERLINK("Объекты недвижимости, не соответствующие градостроительным нормам_00-022_Август/98495219-dace-4635-aec0-f59d54f7e9cd.jpg","open")</f>
        <v/>
      </c>
      <c r="C8426" t="inlineStr">
        <is>
          <t>b0429a31-0c70-4b9f-8ea5-73929d82f89e</t>
        </is>
      </c>
      <c r="D8426" t="n">
        <v>55.71635</v>
      </c>
      <c r="E8426" t="n">
        <v>37.6215</v>
      </c>
      <c r="F8426" t="inlineStr"/>
      <c r="G8426" t="inlineStr"/>
      <c r="H8426" t="inlineStr"/>
    </row>
    <row r="8427">
      <c r="A8427" t="inlineStr">
        <is>
          <t>8c89ffea-56fc-45dc-91b0-7fb2a72a3442.jpg</t>
        </is>
      </c>
      <c r="B8427">
        <f>HYPERLINK("Объекты недвижимости, не соответствующие градостроительным нормам_00-022_Август/8c89ffea-56fc-45dc-91b0-7fb2a72a3442.jpg","open")</f>
        <v/>
      </c>
      <c r="C8427" t="inlineStr">
        <is>
          <t>1a55986c-2c3f-40c0-b3d1-014dce77832e</t>
        </is>
      </c>
      <c r="D8427" t="n">
        <v>55.80043</v>
      </c>
      <c r="E8427" t="n">
        <v>37.62174</v>
      </c>
      <c r="F8427" t="inlineStr"/>
      <c r="G8427" t="inlineStr"/>
      <c r="H8427" t="inlineStr"/>
    </row>
    <row r="8428">
      <c r="A8428" t="inlineStr">
        <is>
          <t>7197546c-767c-4cee-ac88-5bd489f4d03e.jpg</t>
        </is>
      </c>
      <c r="B8428">
        <f>HYPERLINK("Объекты недвижимости, не соответствующие градостроительным нормам_00-022_Август/7197546c-767c-4cee-ac88-5bd489f4d03e.jpg","open")</f>
        <v/>
      </c>
      <c r="C8428" t="inlineStr">
        <is>
          <t>5e5b9944-4f9e-4223-bf96-0bc0c8a93dfa</t>
        </is>
      </c>
      <c r="D8428" t="n">
        <v>55.58086</v>
      </c>
      <c r="E8428" t="n">
        <v>37.46699</v>
      </c>
      <c r="F8428" t="inlineStr"/>
      <c r="G8428" t="inlineStr"/>
      <c r="H8428" t="inlineStr"/>
    </row>
    <row r="8429">
      <c r="A8429" t="inlineStr">
        <is>
          <t>5f76e015-d87f-451d-bd45-85c951e3893a.jpg</t>
        </is>
      </c>
      <c r="B8429">
        <f>HYPERLINK("Объекты недвижимости, не соответствующие градостроительным нормам_00-022_Август/5f76e015-d87f-451d-bd45-85c951e3893a.jpg","open")</f>
        <v/>
      </c>
      <c r="C8429" t="inlineStr">
        <is>
          <t>cbf95b01-f708-45a3-9ec0-3603469b538e</t>
        </is>
      </c>
      <c r="D8429" t="n">
        <v>55.74</v>
      </c>
      <c r="E8429" t="n">
        <v>37.65104</v>
      </c>
      <c r="F8429" t="inlineStr"/>
      <c r="G8429" t="inlineStr"/>
      <c r="H8429" t="inlineStr"/>
    </row>
    <row r="8430">
      <c r="A8430" t="inlineStr">
        <is>
          <t>105e474c-78d7-4f7a-97bc-2215242a748b.jpg</t>
        </is>
      </c>
      <c r="B8430">
        <f>HYPERLINK("Объекты недвижимости, не соответствующие градостроительным нормам_00-022_Август/105e474c-78d7-4f7a-97bc-2215242a748b.jpg","open")</f>
        <v/>
      </c>
      <c r="C8430" t="inlineStr">
        <is>
          <t>cbf95b01-f708-45a3-9ec0-3603469b538e</t>
        </is>
      </c>
      <c r="D8430" t="n">
        <v>55.74</v>
      </c>
      <c r="E8430" t="n">
        <v>37.65104</v>
      </c>
      <c r="F8430" t="inlineStr"/>
      <c r="G8430" t="inlineStr"/>
      <c r="H8430" t="inlineStr"/>
    </row>
    <row r="8431">
      <c r="A8431" t="inlineStr">
        <is>
          <t>0cb3edac-8f3f-4942-bfcf-0c97efe5ee12.jpg</t>
        </is>
      </c>
      <c r="B8431">
        <f>HYPERLINK("Объекты недвижимости, не соответствующие градостроительным нормам_00-022_Август/0cb3edac-8f3f-4942-bfcf-0c97efe5ee12.jpg","open")</f>
        <v/>
      </c>
      <c r="C8431" t="inlineStr">
        <is>
          <t>cbf95b01-f708-45a3-9ec0-3603469b538e</t>
        </is>
      </c>
      <c r="D8431" t="n">
        <v>55.74</v>
      </c>
      <c r="E8431" t="n">
        <v>37.65104</v>
      </c>
      <c r="F8431" t="inlineStr"/>
      <c r="G8431" t="inlineStr"/>
      <c r="H8431" t="inlineStr"/>
    </row>
    <row r="8432">
      <c r="A8432" t="inlineStr">
        <is>
          <t>3b886bb3-c55c-4a97-812c-4fac3d49b51a.jpg</t>
        </is>
      </c>
      <c r="B8432">
        <f>HYPERLINK("Объекты недвижимости, не соответствующие градостроительным нормам_00-022_Август/3b886bb3-c55c-4a97-812c-4fac3d49b51a.jpg","open")</f>
        <v/>
      </c>
      <c r="C8432" t="inlineStr">
        <is>
          <t>036c664f-5408-4fd0-b479-342c00468eeb</t>
        </is>
      </c>
      <c r="D8432" t="n">
        <v>55.73136</v>
      </c>
      <c r="E8432" t="n">
        <v>37.40667</v>
      </c>
      <c r="F8432" t="inlineStr"/>
      <c r="G8432" t="inlineStr"/>
      <c r="H8432" t="inlineStr"/>
    </row>
    <row r="8433">
      <c r="A8433" t="inlineStr">
        <is>
          <t>0c75a574-b78a-49e9-aa4b-9738a2534dcd.jpg</t>
        </is>
      </c>
      <c r="B8433">
        <f>HYPERLINK("Объекты недвижимости, не соответствующие градостроительным нормам_00-022_Август/0c75a574-b78a-49e9-aa4b-9738a2534dcd.jpg","open")</f>
        <v/>
      </c>
      <c r="C8433" t="inlineStr">
        <is>
          <t>1a55986c-2c3f-40c0-b3d1-014dce77832e</t>
        </is>
      </c>
      <c r="D8433" t="n">
        <v>55.7967</v>
      </c>
      <c r="E8433" t="n">
        <v>37.62296</v>
      </c>
      <c r="F8433" t="inlineStr"/>
      <c r="G8433" t="inlineStr"/>
      <c r="H8433" t="inlineStr"/>
    </row>
    <row r="8434">
      <c r="A8434" t="inlineStr">
        <is>
          <t>569b4981-849c-4562-96da-425885f92d93.jpg</t>
        </is>
      </c>
      <c r="B8434">
        <f>HYPERLINK("Объекты недвижимости, не соответствующие градостроительным нормам_00-022_Август/569b4981-849c-4562-96da-425885f92d93.jpg","open")</f>
        <v/>
      </c>
      <c r="C8434" t="inlineStr">
        <is>
          <t>cbf95b01-f708-45a3-9ec0-3603469b538e</t>
        </is>
      </c>
      <c r="D8434" t="n">
        <v>55.74</v>
      </c>
      <c r="E8434" t="n">
        <v>37.65104</v>
      </c>
      <c r="F8434" t="inlineStr"/>
      <c r="G8434" t="inlineStr"/>
      <c r="H8434" t="inlineStr"/>
    </row>
    <row r="8435">
      <c r="A8435" t="inlineStr">
        <is>
          <t>c20d654d-bd9a-4a2c-b6f6-3598ca9f5c4a.jpg</t>
        </is>
      </c>
      <c r="B8435">
        <f>HYPERLINK("Объекты недвижимости, не соответствующие градостроительным нормам_00-022_Август/c20d654d-bd9a-4a2c-b6f6-3598ca9f5c4a.jpg","open")</f>
        <v/>
      </c>
      <c r="C8435" t="inlineStr">
        <is>
          <t>789f6c51-64ee-4078-b7bd-443af8b8b68a</t>
        </is>
      </c>
      <c r="D8435" t="n">
        <v>55.8645</v>
      </c>
      <c r="E8435" t="n">
        <v>37.6689</v>
      </c>
      <c r="F8435" t="inlineStr"/>
      <c r="G8435" t="inlineStr"/>
      <c r="H8435" t="inlineStr"/>
    </row>
    <row r="8436">
      <c r="A8436" t="inlineStr">
        <is>
          <t>3254878c-9852-4bda-b04f-9f5b9cdca20e.jpg</t>
        </is>
      </c>
      <c r="B8436">
        <f>HYPERLINK("Объекты недвижимости, не соответствующие градостроительным нормам_00-022_Август/3254878c-9852-4bda-b04f-9f5b9cdca20e.jpg","open")</f>
        <v/>
      </c>
      <c r="C8436" t="inlineStr">
        <is>
          <t>052a5a2b-f222-4b50-b2cc-21612f1f234a</t>
        </is>
      </c>
      <c r="D8436" t="n">
        <v>55.96637</v>
      </c>
      <c r="E8436" t="n">
        <v>37.42502</v>
      </c>
      <c r="F8436" t="inlineStr"/>
      <c r="G8436" t="inlineStr"/>
      <c r="H8436" t="inlineStr"/>
    </row>
    <row r="8437">
      <c r="A8437" t="inlineStr">
        <is>
          <t>b87e201f-b5d7-4dd7-952d-db5e68af6ad7.jpg</t>
        </is>
      </c>
      <c r="B8437">
        <f>HYPERLINK("Объекты недвижимости, не соответствующие градостроительным нормам_00-022_Август/b87e201f-b5d7-4dd7-952d-db5e68af6ad7.jpg","open")</f>
        <v/>
      </c>
      <c r="C8437" t="inlineStr">
        <is>
          <t>9ca2abb7-5978-4e19-b2b4-4d185fa6739e</t>
        </is>
      </c>
      <c r="D8437" t="n">
        <v>55.96637</v>
      </c>
      <c r="E8437" t="n">
        <v>37.42502</v>
      </c>
      <c r="F8437" t="inlineStr"/>
      <c r="G8437" t="inlineStr"/>
      <c r="H8437" t="inlineStr"/>
    </row>
    <row r="8438">
      <c r="A8438" t="inlineStr">
        <is>
          <t>ed573eaf-5782-4ba1-8627-55800c5c3b59.jpg</t>
        </is>
      </c>
      <c r="B8438">
        <f>HYPERLINK("Объекты недвижимости, не соответствующие градостроительным нормам_00-022_Август/ed573eaf-5782-4ba1-8627-55800c5c3b59.jpg","open")</f>
        <v/>
      </c>
      <c r="C8438" t="inlineStr">
        <is>
          <t>052a5a2b-f222-4b50-b2cc-21612f1f234a</t>
        </is>
      </c>
      <c r="D8438" t="n">
        <v>55.96736</v>
      </c>
      <c r="E8438" t="n">
        <v>37.40323</v>
      </c>
      <c r="F8438" t="inlineStr"/>
      <c r="G8438" t="inlineStr"/>
      <c r="H8438" t="inlineStr"/>
    </row>
    <row r="8439">
      <c r="A8439" t="inlineStr">
        <is>
          <t>198359a1-5a2e-4152-9874-28cb7cd50b03.jpg</t>
        </is>
      </c>
      <c r="B8439">
        <f>HYPERLINK("Объекты недвижимости, не соответствующие градостроительным нормам_00-022_Август/198359a1-5a2e-4152-9874-28cb7cd50b03.jpg","open")</f>
        <v/>
      </c>
      <c r="C8439" t="inlineStr">
        <is>
          <t>a1a9db89-3f74-42ef-8fad-ad69705102cd</t>
        </is>
      </c>
      <c r="D8439" t="n">
        <v>55.74</v>
      </c>
      <c r="E8439" t="n">
        <v>37.65104</v>
      </c>
      <c r="F8439" t="inlineStr"/>
      <c r="G8439" t="inlineStr"/>
      <c r="H8439" t="inlineStr"/>
    </row>
    <row r="8440">
      <c r="A8440" t="inlineStr">
        <is>
          <t>157491de-0bee-43e9-957b-8a18d1cf2694.jpg</t>
        </is>
      </c>
      <c r="B8440">
        <f>HYPERLINK("Объекты недвижимости, не соответствующие градостроительным нормам_00-022_Август/157491de-0bee-43e9-957b-8a18d1cf2694.jpg","open")</f>
        <v/>
      </c>
      <c r="C8440" t="inlineStr">
        <is>
          <t>cbf95b01-f708-45a3-9ec0-3603469b538e</t>
        </is>
      </c>
      <c r="D8440" t="n">
        <v>55.74</v>
      </c>
      <c r="E8440" t="n">
        <v>37.65104</v>
      </c>
      <c r="F8440" t="inlineStr"/>
      <c r="G8440" t="inlineStr"/>
      <c r="H8440" t="inlineStr"/>
    </row>
    <row r="8441">
      <c r="A8441" t="inlineStr">
        <is>
          <t>7c61aaa9-56be-48e0-9874-813326a694e7.jpg</t>
        </is>
      </c>
      <c r="B8441">
        <f>HYPERLINK("Объекты недвижимости, не соответствующие градостроительным нормам_00-022_Август/7c61aaa9-56be-48e0-9874-813326a694e7.jpg","open")</f>
        <v/>
      </c>
      <c r="C8441" t="inlineStr">
        <is>
          <t>ffd931da-542f-43e9-979f-5552b17fe3dc</t>
        </is>
      </c>
      <c r="D8441" t="n">
        <v>55.77307</v>
      </c>
      <c r="E8441" t="n">
        <v>37.72762</v>
      </c>
      <c r="F8441" t="inlineStr"/>
      <c r="G8441" t="inlineStr"/>
      <c r="H8441" t="inlineStr"/>
    </row>
    <row r="8442">
      <c r="A8442" t="inlineStr">
        <is>
          <t>c2463755-4a49-47bd-a791-7e99d0d94899.jpg</t>
        </is>
      </c>
      <c r="B8442">
        <f>HYPERLINK("Объекты недвижимости, не соответствующие градостроительным нормам_00-022_Август/c2463755-4a49-47bd-a791-7e99d0d94899.jpg","open")</f>
        <v/>
      </c>
      <c r="C8442" t="inlineStr">
        <is>
          <t>7b951050-981e-4ccd-816e-e002f271ab6a</t>
        </is>
      </c>
      <c r="D8442" t="n">
        <v>55.76637</v>
      </c>
      <c r="E8442" t="n">
        <v>37.72345</v>
      </c>
      <c r="F8442" t="inlineStr"/>
      <c r="G8442" t="inlineStr"/>
      <c r="H8442" t="inlineStr"/>
    </row>
    <row r="8443">
      <c r="A8443" t="inlineStr">
        <is>
          <t>605565e4-f837-4473-8d7b-12525821e816.jpg</t>
        </is>
      </c>
      <c r="B8443">
        <f>HYPERLINK("Объекты недвижимости, не соответствующие градостроительным нормам_00-022_Август/605565e4-f837-4473-8d7b-12525821e816.jpg","open")</f>
        <v/>
      </c>
      <c r="C8443" t="inlineStr">
        <is>
          <t>789f6c51-64ee-4078-b7bd-443af8b8b68a</t>
        </is>
      </c>
      <c r="D8443" t="n">
        <v>55.86452</v>
      </c>
      <c r="E8443" t="n">
        <v>37.66804</v>
      </c>
      <c r="F8443" t="inlineStr"/>
      <c r="G8443" t="inlineStr"/>
      <c r="H8443" t="inlineStr"/>
    </row>
    <row r="8444">
      <c r="A8444" t="inlineStr">
        <is>
          <t>8adb12dd-83dd-49ca-b55e-ee56d17bab67.jpg</t>
        </is>
      </c>
      <c r="B8444">
        <f>HYPERLINK("Объекты недвижимости, не соответствующие градостроительным нормам_00-022_Август/8adb12dd-83dd-49ca-b55e-ee56d17bab67.jpg","open")</f>
        <v/>
      </c>
      <c r="C8444" t="inlineStr">
        <is>
          <t>cbf95b01-f708-45a3-9ec0-3603469b538e</t>
        </is>
      </c>
      <c r="D8444" t="n">
        <v>55.74</v>
      </c>
      <c r="E8444" t="n">
        <v>37.65104</v>
      </c>
      <c r="F8444" t="inlineStr"/>
      <c r="G8444" t="inlineStr"/>
      <c r="H8444" t="inlineStr"/>
    </row>
    <row r="8445">
      <c r="A8445" t="inlineStr">
        <is>
          <t>72233f69-5a63-4dd6-859f-8e1f7efccf56.jpg</t>
        </is>
      </c>
      <c r="B8445">
        <f>HYPERLINK("Объекты недвижимости, не соответствующие градостроительным нормам_00-022_Август/72233f69-5a63-4dd6-859f-8e1f7efccf56.jpg","open")</f>
        <v/>
      </c>
      <c r="C8445" t="inlineStr">
        <is>
          <t>cbf95b01-f708-45a3-9ec0-3603469b538e</t>
        </is>
      </c>
      <c r="D8445" t="n">
        <v>55.74</v>
      </c>
      <c r="E8445" t="n">
        <v>37.65104</v>
      </c>
      <c r="F8445" t="inlineStr"/>
      <c r="G8445" t="inlineStr"/>
      <c r="H8445" t="inlineStr"/>
    </row>
    <row r="8446">
      <c r="A8446" t="inlineStr">
        <is>
          <t>999bc3df-5fc9-4c18-8232-c460968f4cb8.jpg</t>
        </is>
      </c>
      <c r="B8446">
        <f>HYPERLINK("Объекты недвижимости, не соответствующие градостроительным нормам_00-022_Август/999bc3df-5fc9-4c18-8232-c460968f4cb8.jpg","open")</f>
        <v/>
      </c>
      <c r="C8446" t="inlineStr">
        <is>
          <t>a1a9db89-3f74-42ef-8fad-ad69705102cd</t>
        </is>
      </c>
      <c r="D8446" t="n">
        <v>55.7611</v>
      </c>
      <c r="E8446" t="n">
        <v>37.56871</v>
      </c>
      <c r="F8446" t="inlineStr"/>
      <c r="G8446" t="inlineStr"/>
      <c r="H8446" t="inlineStr"/>
    </row>
    <row r="8447">
      <c r="A8447" t="inlineStr">
        <is>
          <t>54ea9695-e393-49dc-bab6-645239a008bb.jpg</t>
        </is>
      </c>
      <c r="B8447">
        <f>HYPERLINK("Объекты недвижимости, не соответствующие градостроительным нормам_00-022_Август/54ea9695-e393-49dc-bab6-645239a008bb.jpg","open")</f>
        <v/>
      </c>
      <c r="C8447" t="inlineStr">
        <is>
          <t>685d9054-b74f-49ab-857b-109fd2cec80d</t>
        </is>
      </c>
      <c r="D8447" t="n">
        <v>55.63268</v>
      </c>
      <c r="E8447" t="n">
        <v>37.48372</v>
      </c>
      <c r="F8447" t="inlineStr"/>
      <c r="G8447" t="inlineStr"/>
      <c r="H8447" t="inlineStr"/>
    </row>
    <row r="8448">
      <c r="A8448" t="inlineStr">
        <is>
          <t>47848388-7e2f-445c-b165-4ea50f1fb09f.jpg</t>
        </is>
      </c>
      <c r="B8448">
        <f>HYPERLINK("Объекты недвижимости, не соответствующие градостроительным нормам_00-022_Август/47848388-7e2f-445c-b165-4ea50f1fb09f.jpg","open")</f>
        <v/>
      </c>
      <c r="C8448" t="inlineStr">
        <is>
          <t>1231bbc5-e64c-4dc7-9acc-77710f47607a</t>
        </is>
      </c>
      <c r="D8448" t="n">
        <v>55.63268</v>
      </c>
      <c r="E8448" t="n">
        <v>37.48372</v>
      </c>
      <c r="F8448" t="inlineStr"/>
      <c r="G8448" t="inlineStr"/>
      <c r="H8448" t="inlineStr"/>
    </row>
    <row r="8449">
      <c r="A8449" t="inlineStr">
        <is>
          <t>2add67ef-0574-4f28-83de-7016bc360c0f.jpg</t>
        </is>
      </c>
      <c r="B8449">
        <f>HYPERLINK("Объекты недвижимости, не соответствующие градостроительным нормам_00-022_Август/2add67ef-0574-4f28-83de-7016bc360c0f.jpg","open")</f>
        <v/>
      </c>
      <c r="C8449" t="inlineStr">
        <is>
          <t>b23a39fd-838c-435a-bacd-b4d6bb842c62</t>
        </is>
      </c>
      <c r="D8449" t="n">
        <v>55.68396</v>
      </c>
      <c r="E8449" t="n">
        <v>37.6932</v>
      </c>
      <c r="F8449" t="inlineStr"/>
      <c r="G8449" t="inlineStr"/>
      <c r="H8449" t="inlineStr"/>
    </row>
    <row r="8450">
      <c r="A8450" t="inlineStr">
        <is>
          <t>e8be81d1-1ed6-4c06-864b-2f5058537a63.jpg</t>
        </is>
      </c>
      <c r="B8450">
        <f>HYPERLINK("Объекты недвижимости, не соответствующие градостроительным нормам_00-022_Август/e8be81d1-1ed6-4c06-864b-2f5058537a63.jpg","open")</f>
        <v/>
      </c>
      <c r="C8450" t="inlineStr">
        <is>
          <t>a1a9db89-3f74-42ef-8fad-ad69705102cd</t>
        </is>
      </c>
      <c r="D8450" t="n">
        <v>55.76185</v>
      </c>
      <c r="E8450" t="n">
        <v>37.56432</v>
      </c>
      <c r="F8450" t="inlineStr"/>
      <c r="G8450" t="inlineStr"/>
      <c r="H8450" t="inlineStr"/>
    </row>
    <row r="8451">
      <c r="A8451" t="inlineStr">
        <is>
          <t>9cd3a820-69e9-40db-b021-51fba9ec81e5.jpg</t>
        </is>
      </c>
      <c r="B8451">
        <f>HYPERLINK("Объекты недвижимости, не соответствующие градостроительным нормам_00-022_Август/9cd3a820-69e9-40db-b021-51fba9ec81e5.jpg","open")</f>
        <v/>
      </c>
      <c r="C8451" t="inlineStr">
        <is>
          <t>8cde1fd0-eca1-4510-86ab-3c743b65fdfc</t>
        </is>
      </c>
      <c r="D8451" t="n">
        <v>55.71775</v>
      </c>
      <c r="E8451" t="n">
        <v>37.81609</v>
      </c>
      <c r="F8451" t="inlineStr"/>
      <c r="G8451" t="inlineStr"/>
      <c r="H8451" t="inlineStr"/>
    </row>
    <row r="8452">
      <c r="A8452" t="inlineStr">
        <is>
          <t>a3fa7d44-50e2-47f7-8dd2-06ffb42e107d.jpg</t>
        </is>
      </c>
      <c r="B8452">
        <f>HYPERLINK("Объекты недвижимости, не соответствующие градостроительным нормам_00-022_Август/a3fa7d44-50e2-47f7-8dd2-06ffb42e107d.jpg","open")</f>
        <v/>
      </c>
      <c r="C8452" t="inlineStr">
        <is>
          <t>8cde1fd0-eca1-4510-86ab-3c743b65fdfc</t>
        </is>
      </c>
      <c r="D8452" t="n">
        <v>55.72029</v>
      </c>
      <c r="E8452" t="n">
        <v>37.81093</v>
      </c>
      <c r="F8452" t="inlineStr"/>
      <c r="G8452" t="inlineStr"/>
      <c r="H8452" t="inlineStr"/>
    </row>
    <row r="8453">
      <c r="A8453" t="inlineStr">
        <is>
          <t>b21f8583-bee8-45bb-ae87-0257a8c4dbf2.jpg</t>
        </is>
      </c>
      <c r="B8453">
        <f>HYPERLINK("Объекты недвижимости, не соответствующие градостроительным нормам_00-022_Август/b21f8583-bee8-45bb-ae87-0257a8c4dbf2.jpg","open")</f>
        <v/>
      </c>
      <c r="C8453" t="inlineStr">
        <is>
          <t>a1a9db89-3f74-42ef-8fad-ad69705102cd</t>
        </is>
      </c>
      <c r="D8453" t="n">
        <v>55.76091</v>
      </c>
      <c r="E8453" t="n">
        <v>37.5681</v>
      </c>
      <c r="F8453" t="inlineStr"/>
      <c r="G8453" t="inlineStr"/>
      <c r="H8453" t="inlineStr"/>
    </row>
    <row r="8454">
      <c r="A8454" t="inlineStr">
        <is>
          <t>f9db6e66-9bfd-4ec3-85ad-1efe060108ca.jpg</t>
        </is>
      </c>
      <c r="B8454">
        <f>HYPERLINK("Объекты недвижимости, не соответствующие градостроительным нормам_00-022_Август/f9db6e66-9bfd-4ec3-85ad-1efe060108ca.jpg","open")</f>
        <v/>
      </c>
      <c r="C8454" t="inlineStr">
        <is>
          <t>685d9054-b74f-49ab-857b-109fd2cec80d</t>
        </is>
      </c>
      <c r="D8454" t="n">
        <v>55.63237</v>
      </c>
      <c r="E8454" t="n">
        <v>37.4813</v>
      </c>
      <c r="F8454" t="inlineStr"/>
      <c r="G8454" t="inlineStr"/>
      <c r="H8454" t="inlineStr"/>
    </row>
    <row r="8455">
      <c r="A8455" t="inlineStr">
        <is>
          <t>21f5d543-4666-4d1d-99a4-bd19654fcad7.jpg</t>
        </is>
      </c>
      <c r="B8455">
        <f>HYPERLINK("Объекты недвижимости, не соответствующие градостроительным нормам_00-022_Август/21f5d543-4666-4d1d-99a4-bd19654fcad7.jpg","open")</f>
        <v/>
      </c>
      <c r="C8455" t="inlineStr">
        <is>
          <t>caa4772d-6278-4484-a046-ee25514bf521</t>
        </is>
      </c>
      <c r="D8455" t="n">
        <v>55.79269</v>
      </c>
      <c r="E8455" t="n">
        <v>37.39639</v>
      </c>
      <c r="F8455" t="inlineStr"/>
      <c r="G8455" t="inlineStr"/>
      <c r="H8455" t="inlineStr"/>
    </row>
    <row r="8456">
      <c r="A8456" t="inlineStr">
        <is>
          <t>615c2a3b-5650-471b-b9f3-6dd0e0357920.jpg</t>
        </is>
      </c>
      <c r="B8456">
        <f>HYPERLINK("Объекты недвижимости, не соответствующие градостроительным нормам_00-022_Август/615c2a3b-5650-471b-b9f3-6dd0e0357920.jpg","open")</f>
        <v/>
      </c>
      <c r="C8456" t="inlineStr">
        <is>
          <t>fb9a37cc-57a6-447c-98bb-0b299f09c809</t>
        </is>
      </c>
      <c r="D8456" t="n">
        <v>55.68408</v>
      </c>
      <c r="E8456" t="n">
        <v>37.68599</v>
      </c>
      <c r="F8456" t="inlineStr"/>
      <c r="G8456" t="inlineStr"/>
      <c r="H8456" t="inlineStr"/>
    </row>
    <row r="8457">
      <c r="A8457" t="inlineStr">
        <is>
          <t>c8495136-b240-4f90-9bc4-1ee717463d83.jpg</t>
        </is>
      </c>
      <c r="B8457">
        <f>HYPERLINK("Объекты недвижимости, не соответствующие градостроительным нормам_00-022_Август/c8495136-b240-4f90-9bc4-1ee717463d83.jpg","open")</f>
        <v/>
      </c>
      <c r="C8457" t="inlineStr">
        <is>
          <t>a28f597e-d1cd-4d3b-b572-c86d033412e9</t>
        </is>
      </c>
      <c r="D8457" t="n">
        <v>55.73464</v>
      </c>
      <c r="E8457" t="n">
        <v>37.42002</v>
      </c>
      <c r="F8457" t="inlineStr"/>
      <c r="G8457" t="inlineStr"/>
      <c r="H8457" t="inlineStr"/>
    </row>
    <row r="8458">
      <c r="A8458" t="inlineStr">
        <is>
          <t>5389d9ab-7ab3-409a-beab-c90d5279bf21.jpg</t>
        </is>
      </c>
      <c r="B8458">
        <f>HYPERLINK("Объекты недвижимости, не соответствующие градостроительным нормам_00-022_Август/5389d9ab-7ab3-409a-beab-c90d5279bf21.jpg","open")</f>
        <v/>
      </c>
      <c r="C8458" t="inlineStr">
        <is>
          <t>1a55986c-2c3f-40c0-b3d1-014dce77832e</t>
        </is>
      </c>
      <c r="D8458" t="n">
        <v>55.79633</v>
      </c>
      <c r="E8458" t="n">
        <v>37.61907</v>
      </c>
      <c r="F8458" t="inlineStr"/>
      <c r="G8458" t="inlineStr"/>
      <c r="H8458" t="inlineStr"/>
    </row>
    <row r="8459">
      <c r="A8459" t="inlineStr">
        <is>
          <t>5a3871f1-9900-4303-9020-1e74f90c5ee7.jpg</t>
        </is>
      </c>
      <c r="B8459">
        <f>HYPERLINK("Объекты недвижимости, не соответствующие градостроительным нормам_00-022_Август/5a3871f1-9900-4303-9020-1e74f90c5ee7.jpg","open")</f>
        <v/>
      </c>
      <c r="C8459" t="inlineStr">
        <is>
          <t>ed2bf0f1-3a66-4913-896e-4420a9796c0b</t>
        </is>
      </c>
      <c r="D8459" t="n">
        <v>55.79634</v>
      </c>
      <c r="E8459" t="n">
        <v>37.61902</v>
      </c>
      <c r="F8459" t="inlineStr"/>
      <c r="G8459" t="inlineStr"/>
      <c r="H8459" t="inlineStr"/>
    </row>
    <row r="8460">
      <c r="A8460" t="inlineStr">
        <is>
          <t>a12ab26d-77ef-4fec-a293-4120b5b202ff.jpg</t>
        </is>
      </c>
      <c r="B8460">
        <f>HYPERLINK("Объекты недвижимости, не соответствующие градостроительным нормам_00-022_Август/a12ab26d-77ef-4fec-a293-4120b5b202ff.jpg","open")</f>
        <v/>
      </c>
      <c r="C8460" t="inlineStr">
        <is>
          <t>ed2bf0f1-3a66-4913-896e-4420a9796c0b</t>
        </is>
      </c>
      <c r="D8460" t="n">
        <v>55.80006</v>
      </c>
      <c r="E8460" t="n">
        <v>37.61627</v>
      </c>
      <c r="F8460" t="inlineStr"/>
      <c r="G8460" t="inlineStr"/>
      <c r="H8460" t="inlineStr"/>
    </row>
    <row r="8461">
      <c r="A8461" t="inlineStr">
        <is>
          <t>68cd15a5-b4ec-4d09-96fb-953f4f0855f5.jpg</t>
        </is>
      </c>
      <c r="B8461">
        <f>HYPERLINK("Объекты недвижимости, не соответствующие градостроительным нормам_00-022_Август/68cd15a5-b4ec-4d09-96fb-953f4f0855f5.jpg","open")</f>
        <v/>
      </c>
      <c r="C8461" t="inlineStr">
        <is>
          <t>685d9054-b74f-49ab-857b-109fd2cec80d</t>
        </is>
      </c>
      <c r="D8461" t="n">
        <v>55.63058</v>
      </c>
      <c r="E8461" t="n">
        <v>37.47992</v>
      </c>
      <c r="F8461" t="inlineStr"/>
      <c r="G8461" t="inlineStr"/>
      <c r="H8461" t="inlineStr"/>
    </row>
    <row r="8462">
      <c r="A8462" t="inlineStr">
        <is>
          <t>e0a0ae3b-b67c-44c4-9b2c-0a90f717eb07.jpg</t>
        </is>
      </c>
      <c r="B8462">
        <f>HYPERLINK("Объекты недвижимости, не соответствующие градостроительным нормам_00-022_Август/e0a0ae3b-b67c-44c4-9b2c-0a90f717eb07.jpg","open")</f>
        <v/>
      </c>
      <c r="C8462" t="inlineStr">
        <is>
          <t>cbf95b01-f708-45a3-9ec0-3603469b538e</t>
        </is>
      </c>
      <c r="D8462" t="n">
        <v>55.76004</v>
      </c>
      <c r="E8462" t="n">
        <v>37.5614</v>
      </c>
      <c r="F8462" t="inlineStr"/>
      <c r="G8462" t="inlineStr"/>
      <c r="H8462" t="inlineStr"/>
    </row>
    <row r="8463">
      <c r="A8463" t="inlineStr">
        <is>
          <t>254460db-4edb-4872-8a63-66c0659b8a91.jpg</t>
        </is>
      </c>
      <c r="B8463">
        <f>HYPERLINK("Объекты недвижимости, не соответствующие градостроительным нормам_00-022_Август/254460db-4edb-4872-8a63-66c0659b8a91.jpg","open")</f>
        <v/>
      </c>
      <c r="C8463" t="inlineStr">
        <is>
          <t>ed2bf0f1-3a66-4913-896e-4420a9796c0b</t>
        </is>
      </c>
      <c r="D8463" t="n">
        <v>55.80478</v>
      </c>
      <c r="E8463" t="n">
        <v>37.61994</v>
      </c>
      <c r="F8463" t="inlineStr"/>
      <c r="G8463" t="inlineStr"/>
      <c r="H8463" t="inlineStr"/>
    </row>
    <row r="8464">
      <c r="A8464" t="inlineStr">
        <is>
          <t>49d0e471-a5bb-49e1-ad7e-2c41c4b2d949.jpg</t>
        </is>
      </c>
      <c r="B8464">
        <f>HYPERLINK("Объекты недвижимости, не соответствующие градостроительным нормам_00-022_Август/49d0e471-a5bb-49e1-ad7e-2c41c4b2d949.jpg","open")</f>
        <v/>
      </c>
      <c r="C8464" t="inlineStr">
        <is>
          <t>fb9a37cc-57a6-447c-98bb-0b299f09c809</t>
        </is>
      </c>
      <c r="D8464" t="n">
        <v>55.68399</v>
      </c>
      <c r="E8464" t="n">
        <v>37.68613</v>
      </c>
      <c r="F8464" t="inlineStr"/>
      <c r="G8464" t="inlineStr"/>
      <c r="H8464" t="inlineStr"/>
    </row>
    <row r="8465">
      <c r="A8465" t="inlineStr">
        <is>
          <t>9e9dd661-e211-4b9a-a23d-c47f07aa6d5a.jpg</t>
        </is>
      </c>
      <c r="B8465">
        <f>HYPERLINK("Объекты недвижимости, не соответствующие градостроительным нормам_00-022_Август/9e9dd661-e211-4b9a-a23d-c47f07aa6d5a.jpg","open")</f>
        <v/>
      </c>
      <c r="C8465" t="inlineStr">
        <is>
          <t>cbf95b01-f708-45a3-9ec0-3603469b538e</t>
        </is>
      </c>
      <c r="D8465" t="n">
        <v>55.76004</v>
      </c>
      <c r="E8465" t="n">
        <v>37.5614</v>
      </c>
      <c r="F8465" t="inlineStr"/>
      <c r="G8465" t="inlineStr"/>
      <c r="H8465" t="inlineStr"/>
    </row>
    <row r="8466">
      <c r="A8466" t="inlineStr">
        <is>
          <t>030a6635-c9ac-4682-8c55-88c20e27e8cc.jpg</t>
        </is>
      </c>
      <c r="B8466">
        <f>HYPERLINK("Объекты недвижимости, не соответствующие градостроительным нормам_00-022_Август/030a6635-c9ac-4682-8c55-88c20e27e8cc.jpg","open")</f>
        <v/>
      </c>
      <c r="C8466" t="inlineStr">
        <is>
          <t>036c664f-5408-4fd0-b479-342c00468eeb</t>
        </is>
      </c>
      <c r="D8466" t="n">
        <v>55.734</v>
      </c>
      <c r="E8466" t="n">
        <v>37.42583</v>
      </c>
      <c r="F8466" t="inlineStr"/>
      <c r="G8466" t="inlineStr"/>
      <c r="H8466" t="inlineStr"/>
    </row>
    <row r="8467">
      <c r="A8467" t="inlineStr">
        <is>
          <t>c4b55b72-0e87-4740-b060-535b55deb798.jpg</t>
        </is>
      </c>
      <c r="B8467">
        <f>HYPERLINK("Объекты недвижимости, не соответствующие градостроительным нормам_00-022_Август/c4b55b72-0e87-4740-b060-535b55deb798.jpg","open")</f>
        <v/>
      </c>
      <c r="C8467" t="inlineStr">
        <is>
          <t>6e2567a0-1fb9-40d5-a0e7-0adb480d2965</t>
        </is>
      </c>
      <c r="D8467" t="n">
        <v>55.71849</v>
      </c>
      <c r="E8467" t="n">
        <v>37.40801</v>
      </c>
      <c r="F8467" t="inlineStr"/>
      <c r="G8467" t="inlineStr"/>
      <c r="H8467" t="inlineStr"/>
    </row>
    <row r="8468">
      <c r="A8468" t="inlineStr">
        <is>
          <t>08ef996b-55ea-4abe-9e7f-07f51d0347cf.jpg</t>
        </is>
      </c>
      <c r="B8468">
        <f>HYPERLINK("Объекты недвижимости, не соответствующие градостроительным нормам_00-022_Август/08ef996b-55ea-4abe-9e7f-07f51d0347cf.jpg","open")</f>
        <v/>
      </c>
      <c r="C8468" t="inlineStr">
        <is>
          <t>cbf95b01-f708-45a3-9ec0-3603469b538e</t>
        </is>
      </c>
      <c r="D8468" t="n">
        <v>55.76284</v>
      </c>
      <c r="E8468" t="n">
        <v>37.56362</v>
      </c>
      <c r="F8468" t="inlineStr"/>
      <c r="G8468" t="inlineStr"/>
      <c r="H8468" t="inlineStr"/>
    </row>
    <row r="8469">
      <c r="A8469" t="inlineStr">
        <is>
          <t>7c07fcda-852b-43c9-a232-a626d37750b6.jpg</t>
        </is>
      </c>
      <c r="B8469">
        <f>HYPERLINK("Объекты недвижимости, не соответствующие градостроительным нормам_00-022_Август/7c07fcda-852b-43c9-a232-a626d37750b6.jpg","open")</f>
        <v/>
      </c>
      <c r="C8469" t="inlineStr">
        <is>
          <t>9fb3d110-951f-48da-9d90-cfd7e1b5800d</t>
        </is>
      </c>
      <c r="D8469" t="n">
        <v>55.7659</v>
      </c>
      <c r="E8469" t="n">
        <v>37.48747</v>
      </c>
      <c r="F8469" t="inlineStr"/>
      <c r="G8469" t="inlineStr"/>
      <c r="H8469" t="inlineStr"/>
    </row>
    <row r="8470">
      <c r="A8470" t="inlineStr">
        <is>
          <t>90cafd03-2402-4208-895f-623470c5372c.jpg</t>
        </is>
      </c>
      <c r="B8470">
        <f>HYPERLINK("Объекты недвижимости, не соответствующие градостроительным нормам_00-022_Август/90cafd03-2402-4208-895f-623470c5372c.jpg","open")</f>
        <v/>
      </c>
      <c r="C8470" t="inlineStr">
        <is>
          <t>b0429a31-0c70-4b9f-8ea5-73929d82f89e</t>
        </is>
      </c>
      <c r="D8470" t="n">
        <v>55.72283</v>
      </c>
      <c r="E8470" t="n">
        <v>37.63584</v>
      </c>
      <c r="F8470" t="inlineStr"/>
      <c r="G8470" t="inlineStr"/>
      <c r="H8470" t="inlineStr"/>
    </row>
    <row r="8471">
      <c r="A8471" t="inlineStr">
        <is>
          <t>7a904a56-a4a0-46e8-9c76-c2fd159d6c02.jpg</t>
        </is>
      </c>
      <c r="B8471">
        <f>HYPERLINK("Объекты недвижимости, не соответствующие градостроительным нормам_00-022_Август/7a904a56-a4a0-46e8-9c76-c2fd159d6c02.jpg","open")</f>
        <v/>
      </c>
      <c r="C8471" t="inlineStr">
        <is>
          <t>b0429a31-0c70-4b9f-8ea5-73929d82f89e</t>
        </is>
      </c>
      <c r="D8471" t="n">
        <v>55.72281</v>
      </c>
      <c r="E8471" t="n">
        <v>37.63582</v>
      </c>
      <c r="F8471" t="inlineStr"/>
      <c r="G8471" t="inlineStr"/>
      <c r="H8471" t="inlineStr"/>
    </row>
    <row r="8472">
      <c r="A8472" t="inlineStr">
        <is>
          <t>cec971c6-47b8-4aed-8662-269d85b10d22.jpg</t>
        </is>
      </c>
      <c r="B8472">
        <f>HYPERLINK("Объекты недвижимости, не соответствующие градостроительным нормам_00-022_Август/cec971c6-47b8-4aed-8662-269d85b10d22.jpg","open")</f>
        <v/>
      </c>
      <c r="C8472" t="inlineStr">
        <is>
          <t>b0429a31-0c70-4b9f-8ea5-73929d82f89e</t>
        </is>
      </c>
      <c r="D8472" t="n">
        <v>55.72285</v>
      </c>
      <c r="E8472" t="n">
        <v>37.63583</v>
      </c>
      <c r="F8472" t="inlineStr"/>
      <c r="G8472" t="inlineStr"/>
      <c r="H8472" t="inlineStr"/>
    </row>
    <row r="8473">
      <c r="A8473" t="inlineStr">
        <is>
          <t>70b20d82-c4a8-4eee-8c1b-f671e266302c.jpg</t>
        </is>
      </c>
      <c r="B8473">
        <f>HYPERLINK("Объекты недвижимости, не соответствующие градостроительным нормам_00-022_Август/70b20d82-c4a8-4eee-8c1b-f671e266302c.jpg","open")</f>
        <v/>
      </c>
      <c r="C8473" t="inlineStr">
        <is>
          <t>8b2675e2-7f40-47a9-a462-7c9feecd299c</t>
        </is>
      </c>
      <c r="D8473" t="n">
        <v>55.73777</v>
      </c>
      <c r="E8473" t="n">
        <v>37.54366</v>
      </c>
      <c r="F8473" t="inlineStr"/>
      <c r="G8473" t="inlineStr"/>
      <c r="H8473" t="inlineStr"/>
    </row>
    <row r="8474">
      <c r="A8474" t="inlineStr">
        <is>
          <t>b91b1366-985b-4be2-b1f5-fcc26f28bff4.jpg</t>
        </is>
      </c>
      <c r="B8474">
        <f>HYPERLINK("Объекты недвижимости, не соответствующие градостроительным нормам_00-022_Август/b91b1366-985b-4be2-b1f5-fcc26f28bff4.jpg","open")</f>
        <v/>
      </c>
      <c r="C8474" t="inlineStr">
        <is>
          <t>e26f5fc2-1353-4f29-85f3-87c56419161c</t>
        </is>
      </c>
      <c r="D8474" t="n">
        <v>55.77948</v>
      </c>
      <c r="E8474" t="n">
        <v>37.67236</v>
      </c>
      <c r="F8474" t="inlineStr"/>
      <c r="G8474" t="inlineStr"/>
      <c r="H8474" t="inlineStr"/>
    </row>
    <row r="8475">
      <c r="A8475" t="inlineStr">
        <is>
          <t>b48eb497-0d25-4ed7-8302-9a81f9e1ec26.jpg</t>
        </is>
      </c>
      <c r="B8475">
        <f>HYPERLINK("Объекты недвижимости, не соответствующие градостроительным нормам_00-022_Август/b48eb497-0d25-4ed7-8302-9a81f9e1ec26.jpg","open")</f>
        <v/>
      </c>
      <c r="C8475" t="inlineStr">
        <is>
          <t>cbf95b01-f708-45a3-9ec0-3603469b538e</t>
        </is>
      </c>
      <c r="D8475" t="n">
        <v>55.77421</v>
      </c>
      <c r="E8475" t="n">
        <v>37.58273</v>
      </c>
      <c r="F8475" t="inlineStr"/>
      <c r="G8475" t="inlineStr"/>
      <c r="H8475" t="inlineStr"/>
    </row>
    <row r="8476">
      <c r="A8476" t="inlineStr">
        <is>
          <t>433034d5-2419-4728-81ee-09268eb423ae.jpg</t>
        </is>
      </c>
      <c r="B8476">
        <f>HYPERLINK("Объекты недвижимости, не соответствующие градостроительным нормам_00-022_Август/433034d5-2419-4728-81ee-09268eb423ae.jpg","open")</f>
        <v/>
      </c>
      <c r="C8476" t="inlineStr">
        <is>
          <t>cbf95b01-f708-45a3-9ec0-3603469b538e</t>
        </is>
      </c>
      <c r="D8476" t="n">
        <v>55.77486</v>
      </c>
      <c r="E8476" t="n">
        <v>37.58194</v>
      </c>
      <c r="F8476" t="inlineStr"/>
      <c r="G8476" t="inlineStr"/>
      <c r="H8476" t="inlineStr"/>
    </row>
    <row r="8477">
      <c r="A8477" t="inlineStr">
        <is>
          <t>174f0709-702f-479d-a407-bafc599a8e66.jpg</t>
        </is>
      </c>
      <c r="B8477">
        <f>HYPERLINK("Объекты недвижимости, не соответствующие градостроительным нормам_00-022_Август/174f0709-702f-479d-a407-bafc599a8e66.jpg","open")</f>
        <v/>
      </c>
      <c r="C8477" t="inlineStr">
        <is>
          <t>8b2675e2-7f40-47a9-a462-7c9feecd299c</t>
        </is>
      </c>
      <c r="D8477" t="n">
        <v>55.73945</v>
      </c>
      <c r="E8477" t="n">
        <v>37.55004</v>
      </c>
      <c r="F8477" t="inlineStr"/>
      <c r="G8477" t="inlineStr"/>
      <c r="H8477" t="inlineStr"/>
    </row>
    <row r="8478">
      <c r="A8478" t="inlineStr">
        <is>
          <t>79bb55e8-332b-4a9e-9fd2-ac8d5ba7472d.jpg</t>
        </is>
      </c>
      <c r="B8478">
        <f>HYPERLINK("Объекты недвижимости, не соответствующие градостроительным нормам_00-022_Август/79bb55e8-332b-4a9e-9fd2-ac8d5ba7472d.jpg","open")</f>
        <v/>
      </c>
      <c r="C8478" t="inlineStr">
        <is>
          <t>b0429a31-0c70-4b9f-8ea5-73929d82f89e</t>
        </is>
      </c>
      <c r="D8478" t="n">
        <v>55.71792</v>
      </c>
      <c r="E8478" t="n">
        <v>37.6469</v>
      </c>
      <c r="F8478" t="inlineStr"/>
      <c r="G8478" t="inlineStr"/>
      <c r="H8478" t="inlineStr"/>
    </row>
    <row r="8479">
      <c r="A8479" t="inlineStr">
        <is>
          <t>bc14074f-0541-4395-8453-425b64125618.jpg</t>
        </is>
      </c>
      <c r="B8479">
        <f>HYPERLINK("Объекты недвижимости, не соответствующие градостроительным нормам_00-022_Август/bc14074f-0541-4395-8453-425b64125618.jpg","open")</f>
        <v/>
      </c>
      <c r="C8479" t="inlineStr">
        <is>
          <t>48b533d5-d106-4175-ac9b-d5ce8d90cccf</t>
        </is>
      </c>
      <c r="D8479" t="n">
        <v>55.72762</v>
      </c>
      <c r="E8479" t="n">
        <v>37.47359</v>
      </c>
      <c r="F8479" t="inlineStr"/>
      <c r="G8479" t="inlineStr"/>
      <c r="H8479" t="inlineStr"/>
    </row>
    <row r="8480">
      <c r="A8480" t="inlineStr">
        <is>
          <t>85c89100-e3fa-41d4-b2d7-1bcb51f5225e.jpg</t>
        </is>
      </c>
      <c r="B8480">
        <f>HYPERLINK("Объекты недвижимости, не соответствующие градостроительным нормам_00-022_Август/85c89100-e3fa-41d4-b2d7-1bcb51f5225e.jpg","open")</f>
        <v/>
      </c>
      <c r="C8480" t="inlineStr">
        <is>
          <t>cbf95b01-f708-45a3-9ec0-3603469b538e</t>
        </is>
      </c>
      <c r="D8480" t="n">
        <v>55.77515</v>
      </c>
      <c r="E8480" t="n">
        <v>37.58858</v>
      </c>
      <c r="F8480" t="inlineStr"/>
      <c r="G8480" t="inlineStr"/>
      <c r="H8480" t="inlineStr"/>
    </row>
    <row r="8481">
      <c r="A8481" t="inlineStr">
        <is>
          <t>db9a7b32-aacb-40e9-9592-ba4ec40ec0da.jpg</t>
        </is>
      </c>
      <c r="B8481">
        <f>HYPERLINK("Объекты недвижимости, не соответствующие градостроительным нормам_00-022_Август/db9a7b32-aacb-40e9-9592-ba4ec40ec0da.jpg","open")</f>
        <v/>
      </c>
      <c r="C8481" t="inlineStr">
        <is>
          <t>cbf95b01-f708-45a3-9ec0-3603469b538e</t>
        </is>
      </c>
      <c r="D8481" t="n">
        <v>55.77515</v>
      </c>
      <c r="E8481" t="n">
        <v>37.58858</v>
      </c>
      <c r="F8481" t="inlineStr"/>
      <c r="G8481" t="inlineStr"/>
      <c r="H8481" t="inlineStr"/>
    </row>
    <row r="8482">
      <c r="A8482" t="inlineStr">
        <is>
          <t>55af39d3-e883-4782-9565-af22fb67d86e.jpg</t>
        </is>
      </c>
      <c r="B8482">
        <f>HYPERLINK("Объекты недвижимости, не соответствующие градостроительным нормам_00-022_Август/55af39d3-e883-4782-9565-af22fb67d86e.jpg","open")</f>
        <v/>
      </c>
      <c r="C8482" t="inlineStr">
        <is>
          <t>cbf95b01-f708-45a3-9ec0-3603469b538e</t>
        </is>
      </c>
      <c r="D8482" t="n">
        <v>55.77515</v>
      </c>
      <c r="E8482" t="n">
        <v>37.58858</v>
      </c>
      <c r="F8482" t="inlineStr"/>
      <c r="G8482" t="inlineStr"/>
      <c r="H8482" t="inlineStr"/>
    </row>
    <row r="8483">
      <c r="A8483" t="inlineStr">
        <is>
          <t>70beab95-7aea-4d2d-8ab5-302688123043.jpg</t>
        </is>
      </c>
      <c r="B8483">
        <f>HYPERLINK("Объекты недвижимости, не соответствующие градостроительным нормам_00-022_Август/70beab95-7aea-4d2d-8ab5-302688123043.jpg","open")</f>
        <v/>
      </c>
      <c r="C8483" t="inlineStr">
        <is>
          <t>685d9054-b74f-49ab-857b-109fd2cec80d</t>
        </is>
      </c>
      <c r="D8483" t="n">
        <v>55.63085</v>
      </c>
      <c r="E8483" t="n">
        <v>37.47504</v>
      </c>
      <c r="F8483" t="inlineStr"/>
      <c r="G8483" t="inlineStr"/>
      <c r="H8483" t="inlineStr"/>
    </row>
    <row r="8484">
      <c r="A8484" t="inlineStr">
        <is>
          <t>3af3f890-e8a6-4ab5-8a33-ae82a426d040.jpg</t>
        </is>
      </c>
      <c r="B8484">
        <f>HYPERLINK("Объекты недвижимости, не соответствующие градостроительным нормам_00-022_Август/3af3f890-e8a6-4ab5-8a33-ae82a426d040.jpg","open")</f>
        <v/>
      </c>
      <c r="C8484" t="inlineStr">
        <is>
          <t>b0429a31-0c70-4b9f-8ea5-73929d82f89e</t>
        </is>
      </c>
      <c r="D8484" t="n">
        <v>55.70817</v>
      </c>
      <c r="E8484" t="n">
        <v>37.64146</v>
      </c>
      <c r="F8484" t="inlineStr"/>
      <c r="G8484" t="inlineStr"/>
      <c r="H8484" t="inlineStr"/>
    </row>
    <row r="8485">
      <c r="A8485" t="inlineStr">
        <is>
          <t>561dec55-32f0-46f2-8e9c-eee845d278c3.jpg</t>
        </is>
      </c>
      <c r="B8485">
        <f>HYPERLINK("Объекты недвижимости, не соответствующие градостроительным нормам_00-022_Август/561dec55-32f0-46f2-8e9c-eee845d278c3.jpg","open")</f>
        <v/>
      </c>
      <c r="C8485" t="inlineStr">
        <is>
          <t>99f3abba-c55b-49f0-9de5-9f88e9597cc0</t>
        </is>
      </c>
      <c r="D8485" t="n">
        <v>55.70814</v>
      </c>
      <c r="E8485" t="n">
        <v>37.64146</v>
      </c>
      <c r="F8485" t="inlineStr"/>
      <c r="G8485" t="inlineStr"/>
      <c r="H8485" t="inlineStr"/>
    </row>
    <row r="8486">
      <c r="A8486" t="inlineStr">
        <is>
          <t>bd055825-b108-495e-b30b-e2905d864a4e.jpg</t>
        </is>
      </c>
      <c r="B8486">
        <f>HYPERLINK("Объекты недвижимости, не соответствующие градостроительным нормам_00-022_Август/bd055825-b108-495e-b30b-e2905d864a4e.jpg","open")</f>
        <v/>
      </c>
      <c r="C8486" t="inlineStr">
        <is>
          <t>8cde1fd0-eca1-4510-86ab-3c743b65fdfc</t>
        </is>
      </c>
      <c r="D8486" t="n">
        <v>55.74454</v>
      </c>
      <c r="E8486" t="n">
        <v>37.83048</v>
      </c>
      <c r="F8486" t="inlineStr"/>
      <c r="G8486" t="inlineStr"/>
      <c r="H8486" t="inlineStr"/>
    </row>
    <row r="8487">
      <c r="A8487" t="inlineStr">
        <is>
          <t>3f58571d-2a7f-4897-a4bf-3b978d126825.jpg</t>
        </is>
      </c>
      <c r="B8487">
        <f>HYPERLINK("Объекты недвижимости, не соответствующие градостроительным нормам_00-022_Август/3f58571d-2a7f-4897-a4bf-3b978d126825.jpg","open")</f>
        <v/>
      </c>
      <c r="C8487" t="inlineStr">
        <is>
          <t>fb9a37cc-57a6-447c-98bb-0b299f09c809</t>
        </is>
      </c>
      <c r="D8487" t="n">
        <v>55.68424</v>
      </c>
      <c r="E8487" t="n">
        <v>37.67557</v>
      </c>
      <c r="F8487" t="inlineStr"/>
      <c r="G8487" t="inlineStr"/>
      <c r="H8487" t="inlineStr"/>
    </row>
    <row r="8488">
      <c r="A8488" t="inlineStr">
        <is>
          <t>abb6f630-2827-4025-837a-dcf3e69357e0.jpg</t>
        </is>
      </c>
      <c r="B8488">
        <f>HYPERLINK("Объекты недвижимости, не соответствующие градостроительным нормам_00-022_Август/abb6f630-2827-4025-837a-dcf3e69357e0.jpg","open")</f>
        <v/>
      </c>
      <c r="C8488" t="inlineStr">
        <is>
          <t>1c951e11-4940-43c6-a447-394097e5609a</t>
        </is>
      </c>
      <c r="D8488" t="n">
        <v>55.74352</v>
      </c>
      <c r="E8488" t="n">
        <v>37.81918</v>
      </c>
      <c r="F8488" t="inlineStr"/>
      <c r="G8488" t="inlineStr"/>
      <c r="H8488" t="inlineStr"/>
    </row>
    <row r="8489">
      <c r="A8489" t="inlineStr">
        <is>
          <t>7f777882-a0d2-41d4-bbdf-80e39ae33868.jpg</t>
        </is>
      </c>
      <c r="B8489">
        <f>HYPERLINK("Объекты недвижимости, не соответствующие градостроительным нормам_00-022_Август/7f777882-a0d2-41d4-bbdf-80e39ae33868.jpg","open")</f>
        <v/>
      </c>
      <c r="C8489" t="inlineStr">
        <is>
          <t>91248771-2c4d-44f3-b3cf-d536bd4ae73c</t>
        </is>
      </c>
      <c r="D8489" t="n">
        <v>55.79022</v>
      </c>
      <c r="E8489" t="n">
        <v>37.71053</v>
      </c>
      <c r="F8489" t="inlineStr"/>
      <c r="G8489" t="inlineStr"/>
      <c r="H8489" t="inlineStr"/>
    </row>
    <row r="8490">
      <c r="A8490" t="inlineStr">
        <is>
          <t>7fece564-0675-41f5-a9e9-44c09d2ca006.jpg</t>
        </is>
      </c>
      <c r="B8490">
        <f>HYPERLINK("Объекты недвижимости, не соответствующие градостроительным нормам_00-022_Август/7fece564-0675-41f5-a9e9-44c09d2ca006.jpg","open")</f>
        <v/>
      </c>
      <c r="C8490" t="inlineStr">
        <is>
          <t>a28f597e-d1cd-4d3b-b572-c86d033412e9</t>
        </is>
      </c>
      <c r="D8490" t="n">
        <v>55.72947</v>
      </c>
      <c r="E8490" t="n">
        <v>37.43379</v>
      </c>
      <c r="F8490" t="inlineStr"/>
      <c r="G8490" t="inlineStr"/>
      <c r="H8490" t="inlineStr"/>
    </row>
    <row r="8491">
      <c r="A8491" t="inlineStr">
        <is>
          <t>346ac3c4-c03f-48f4-a487-e231d7793def.jpg</t>
        </is>
      </c>
      <c r="B8491">
        <f>HYPERLINK("Объекты недвижимости, не соответствующие градостроительным нормам_00-022_Август/346ac3c4-c03f-48f4-a487-e231d7793def.jpg","open")</f>
        <v/>
      </c>
      <c r="C8491" t="inlineStr">
        <is>
          <t>e26f5fc2-1353-4f29-85f3-87c56419161c</t>
        </is>
      </c>
      <c r="D8491" t="n">
        <v>55.68018</v>
      </c>
      <c r="E8491" t="n">
        <v>37.85859</v>
      </c>
      <c r="F8491" t="inlineStr"/>
      <c r="G8491" t="inlineStr"/>
      <c r="H8491" t="inlineStr"/>
    </row>
    <row r="8492">
      <c r="A8492" t="inlineStr">
        <is>
          <t>e888f765-8dbf-47ea-a1a8-a4a00895498e.jpg</t>
        </is>
      </c>
      <c r="B8492">
        <f>HYPERLINK("Объекты недвижимости, не соответствующие градостроительным нормам_00-022_Август/e888f765-8dbf-47ea-a1a8-a4a00895498e.jpg","open")</f>
        <v/>
      </c>
      <c r="C8492" t="inlineStr">
        <is>
          <t>a1a9db89-3f74-42ef-8fad-ad69705102cd</t>
        </is>
      </c>
      <c r="D8492" t="n">
        <v>55.74943</v>
      </c>
      <c r="E8492" t="n">
        <v>37.66814</v>
      </c>
      <c r="F8492" t="inlineStr"/>
      <c r="G8492" t="inlineStr"/>
      <c r="H8492" t="inlineStr"/>
    </row>
    <row r="8493">
      <c r="A8493" t="inlineStr">
        <is>
          <t>3be9b998-08d4-4ffa-adac-d865901ddd13.jpg</t>
        </is>
      </c>
      <c r="B8493">
        <f>HYPERLINK("Объекты недвижимости, не соответствующие градостроительным нормам_00-022_Август/3be9b998-08d4-4ffa-adac-d865901ddd13.jpg","open")</f>
        <v/>
      </c>
      <c r="C8493" t="inlineStr">
        <is>
          <t>cbf95b01-f708-45a3-9ec0-3603469b538e</t>
        </is>
      </c>
      <c r="D8493" t="n">
        <v>55.74787</v>
      </c>
      <c r="E8493" t="n">
        <v>37.66664</v>
      </c>
      <c r="F8493" t="inlineStr"/>
      <c r="G8493" t="inlineStr"/>
      <c r="H8493" t="inlineStr"/>
    </row>
    <row r="8494">
      <c r="A8494" t="inlineStr">
        <is>
          <t>c231d22a-663e-4e7f-bd95-e0d3bb6c2093.jpg</t>
        </is>
      </c>
      <c r="B8494">
        <f>HYPERLINK("Объекты недвижимости, не соответствующие градостроительным нормам_00-022_Август/c231d22a-663e-4e7f-bd95-e0d3bb6c2093.jpg","open")</f>
        <v/>
      </c>
      <c r="C8494" t="inlineStr">
        <is>
          <t>cbf95b01-f708-45a3-9ec0-3603469b538e</t>
        </is>
      </c>
      <c r="D8494" t="n">
        <v>55.74745</v>
      </c>
      <c r="E8494" t="n">
        <v>37.66701</v>
      </c>
      <c r="F8494" t="inlineStr"/>
      <c r="G8494" t="inlineStr"/>
      <c r="H8494" t="inlineStr"/>
    </row>
    <row r="8495">
      <c r="A8495" t="inlineStr">
        <is>
          <t>1ae2a3bd-f2a0-4109-afcc-8626c18b0e81.jpg</t>
        </is>
      </c>
      <c r="B8495">
        <f>HYPERLINK("Объекты недвижимости, не соответствующие градостроительным нормам_00-022_Август/1ae2a3bd-f2a0-4109-afcc-8626c18b0e81.jpg","open")</f>
        <v/>
      </c>
      <c r="C8495" t="inlineStr">
        <is>
          <t>a1a9db89-3f74-42ef-8fad-ad69705102cd</t>
        </is>
      </c>
      <c r="D8495" t="n">
        <v>55.74742</v>
      </c>
      <c r="E8495" t="n">
        <v>37.66706</v>
      </c>
      <c r="F8495" t="inlineStr"/>
      <c r="G8495" t="inlineStr"/>
      <c r="H8495" t="inlineStr"/>
    </row>
    <row r="8496">
      <c r="A8496" t="inlineStr">
        <is>
          <t>46411472-7a4f-4d1e-9813-7c4fa45e1857.jpg</t>
        </is>
      </c>
      <c r="B8496">
        <f>HYPERLINK("Объекты недвижимости, не соответствующие градостроительным нормам_00-022_Август/46411472-7a4f-4d1e-9813-7c4fa45e1857.jpg","open")</f>
        <v/>
      </c>
      <c r="C8496" t="inlineStr">
        <is>
          <t>cbf95b01-f708-45a3-9ec0-3603469b538e</t>
        </is>
      </c>
      <c r="D8496" t="n">
        <v>55.74742</v>
      </c>
      <c r="E8496" t="n">
        <v>37.66706</v>
      </c>
      <c r="F8496" t="inlineStr"/>
      <c r="G8496" t="inlineStr"/>
      <c r="H8496" t="inlineStr"/>
    </row>
    <row r="8497">
      <c r="A8497" t="inlineStr">
        <is>
          <t>50238535-7dc9-4857-a331-acf2a5b76331.jpg</t>
        </is>
      </c>
      <c r="B8497">
        <f>HYPERLINK("Объекты недвижимости, не соответствующие градостроительным нормам_00-022_Август/50238535-7dc9-4857-a331-acf2a5b76331.jpg","open")</f>
        <v/>
      </c>
      <c r="C8497" t="inlineStr">
        <is>
          <t>cbf95b01-f708-45a3-9ec0-3603469b538e</t>
        </is>
      </c>
      <c r="D8497" t="n">
        <v>55.7346</v>
      </c>
      <c r="E8497" t="n">
        <v>37.66753</v>
      </c>
      <c r="F8497" t="inlineStr"/>
      <c r="G8497" t="inlineStr"/>
      <c r="H8497" t="inlineStr"/>
    </row>
    <row r="8498">
      <c r="A8498" t="inlineStr">
        <is>
          <t>ee6c3a2c-541b-4159-999c-46d85c0610aa.jpg</t>
        </is>
      </c>
      <c r="B8498">
        <f>HYPERLINK("Объекты недвижимости, не соответствующие градостроительным нормам_00-022_Август/ee6c3a2c-541b-4159-999c-46d85c0610aa.jpg","open")</f>
        <v/>
      </c>
      <c r="C8498" t="inlineStr">
        <is>
          <t>cbf95b01-f708-45a3-9ec0-3603469b538e</t>
        </is>
      </c>
      <c r="D8498" t="n">
        <v>55.73663</v>
      </c>
      <c r="E8498" t="n">
        <v>37.6637</v>
      </c>
      <c r="F8498" t="inlineStr"/>
      <c r="G8498" t="inlineStr"/>
      <c r="H8498" t="inlineStr"/>
    </row>
    <row r="8499">
      <c r="A8499" t="inlineStr">
        <is>
          <t>4050ed91-9d92-4a70-9a16-b74450b30d19.jpg</t>
        </is>
      </c>
      <c r="B8499">
        <f>HYPERLINK("Объекты недвижимости, не соответствующие градостроительным нормам_00-022_Август/4050ed91-9d92-4a70-9a16-b74450b30d19.jpg","open")</f>
        <v/>
      </c>
      <c r="C8499" t="inlineStr">
        <is>
          <t>8cde1fd0-eca1-4510-86ab-3c743b65fdfc</t>
        </is>
      </c>
      <c r="D8499" t="n">
        <v>55.74583</v>
      </c>
      <c r="E8499" t="n">
        <v>37.83882</v>
      </c>
      <c r="F8499" t="inlineStr"/>
      <c r="G8499" t="inlineStr"/>
      <c r="H8499" t="inlineStr"/>
    </row>
    <row r="8500">
      <c r="A8500" t="inlineStr">
        <is>
          <t>50306116-8137-4e83-aeb1-07b69a77d2a3.jpg</t>
        </is>
      </c>
      <c r="B8500">
        <f>HYPERLINK("Объекты недвижимости, не соответствующие градостроительным нормам_00-022_Август/50306116-8137-4e83-aeb1-07b69a77d2a3.jpg","open")</f>
        <v/>
      </c>
      <c r="C8500" t="inlineStr">
        <is>
          <t>cbf95b01-f708-45a3-9ec0-3603469b538e</t>
        </is>
      </c>
      <c r="D8500" t="n">
        <v>55.70876</v>
      </c>
      <c r="E8500" t="n">
        <v>37.66933</v>
      </c>
      <c r="F8500" t="inlineStr"/>
      <c r="G8500" t="inlineStr"/>
      <c r="H8500" t="inlineStr"/>
    </row>
    <row r="8501">
      <c r="A8501" t="inlineStr">
        <is>
          <t>ff6b28ef-cf87-4050-b4b8-f4d4ba52f238.jpg</t>
        </is>
      </c>
      <c r="B8501">
        <f>HYPERLINK("Объекты недвижимости, не соответствующие градостроительным нормам_00-022_Август/ff6b28ef-cf87-4050-b4b8-f4d4ba52f238.jpg","open")</f>
        <v/>
      </c>
      <c r="C8501" t="inlineStr">
        <is>
          <t>685d9054-b74f-49ab-857b-109fd2cec80d</t>
        </is>
      </c>
      <c r="D8501" t="n">
        <v>55.63269</v>
      </c>
      <c r="E8501" t="n">
        <v>37.47956</v>
      </c>
      <c r="F8501" t="inlineStr"/>
      <c r="G8501" t="inlineStr"/>
      <c r="H8501" t="inlineStr"/>
    </row>
    <row r="8502">
      <c r="A8502" t="inlineStr">
        <is>
          <t>d602f212-fc51-45a4-aa3f-aa9b0895b872.jpg</t>
        </is>
      </c>
      <c r="B8502">
        <f>HYPERLINK("Объекты недвижимости, не соответствующие градостроительным нормам_00-022_Август/d602f212-fc51-45a4-aa3f-aa9b0895b872.jpg","open")</f>
        <v/>
      </c>
      <c r="C8502" t="inlineStr">
        <is>
          <t>ed2bf0f1-3a66-4913-896e-4420a9796c0b</t>
        </is>
      </c>
      <c r="D8502" t="n">
        <v>55.80429</v>
      </c>
      <c r="E8502" t="n">
        <v>37.60181</v>
      </c>
      <c r="F8502" t="inlineStr"/>
      <c r="G8502" t="inlineStr"/>
      <c r="H8502" t="inlineStr"/>
    </row>
    <row r="8503">
      <c r="A8503" t="inlineStr">
        <is>
          <t>37c58b04-5d4c-4f6a-80a9-dc0107d4db0d.jpg</t>
        </is>
      </c>
      <c r="B8503">
        <f>HYPERLINK("Объекты недвижимости, не соответствующие градостроительным нормам_00-022_Август/37c58b04-5d4c-4f6a-80a9-dc0107d4db0d.jpg","open")</f>
        <v/>
      </c>
      <c r="C8503" t="inlineStr">
        <is>
          <t>1a55986c-2c3f-40c0-b3d1-014dce77832e</t>
        </is>
      </c>
      <c r="D8503" t="n">
        <v>55.80425</v>
      </c>
      <c r="E8503" t="n">
        <v>37.60182</v>
      </c>
      <c r="F8503" t="inlineStr"/>
      <c r="G8503" t="inlineStr"/>
      <c r="H8503" t="inlineStr"/>
    </row>
    <row r="8504">
      <c r="A8504" t="inlineStr">
        <is>
          <t>81c8e4da-eaf0-4235-a07d-5d8dc127105b.jpg</t>
        </is>
      </c>
      <c r="B8504">
        <f>HYPERLINK("Объекты недвижимости, не соответствующие градостроительным нормам_00-022_Август/81c8e4da-eaf0-4235-a07d-5d8dc127105b.jpg","open")</f>
        <v/>
      </c>
      <c r="C8504" t="inlineStr">
        <is>
          <t>1231bbc5-e64c-4dc7-9acc-77710f47607a</t>
        </is>
      </c>
      <c r="D8504" t="n">
        <v>55.63433</v>
      </c>
      <c r="E8504" t="n">
        <v>37.47842</v>
      </c>
      <c r="F8504" t="inlineStr"/>
      <c r="G8504" t="inlineStr"/>
      <c r="H8504" t="inlineStr"/>
    </row>
    <row r="8505">
      <c r="A8505" t="inlineStr">
        <is>
          <t>02d044a1-49f2-49d0-924e-87a4c573cea3.jpg</t>
        </is>
      </c>
      <c r="B8505">
        <f>HYPERLINK("Объекты недвижимости, не соответствующие градостроительным нормам_00-022_Август/02d044a1-49f2-49d0-924e-87a4c573cea3.jpg","open")</f>
        <v/>
      </c>
      <c r="C8505" t="inlineStr">
        <is>
          <t>1231bbc5-e64c-4dc7-9acc-77710f47607a</t>
        </is>
      </c>
      <c r="D8505" t="n">
        <v>55.63426</v>
      </c>
      <c r="E8505" t="n">
        <v>37.47844</v>
      </c>
      <c r="F8505" t="inlineStr"/>
      <c r="G8505" t="inlineStr"/>
      <c r="H8505" t="inlineStr"/>
    </row>
    <row r="8506">
      <c r="A8506" t="inlineStr">
        <is>
          <t>0756f2e1-b11b-480e-9427-c4ba11557fe0.jpg</t>
        </is>
      </c>
      <c r="B8506">
        <f>HYPERLINK("Объекты недвижимости, не соответствующие градостроительным нормам_00-022_Август/0756f2e1-b11b-480e-9427-c4ba11557fe0.jpg","open")</f>
        <v/>
      </c>
      <c r="C8506" t="inlineStr">
        <is>
          <t>9c930d0e-e445-452d-a046-325646b21ab7</t>
        </is>
      </c>
      <c r="D8506" t="n">
        <v>55.853</v>
      </c>
      <c r="E8506" t="n">
        <v>37.66773</v>
      </c>
      <c r="F8506" t="inlineStr"/>
      <c r="G8506" t="inlineStr"/>
      <c r="H8506" t="inlineStr"/>
    </row>
    <row r="8507">
      <c r="A8507" t="inlineStr">
        <is>
          <t>ac575010-4bf3-4de2-8f51-f6712fccee5b.jpg</t>
        </is>
      </c>
      <c r="B8507">
        <f>HYPERLINK("Объекты недвижимости, не соответствующие градостроительным нормам_00-022_Август/ac575010-4bf3-4de2-8f51-f6712fccee5b.jpg","open")</f>
        <v/>
      </c>
      <c r="C8507" t="inlineStr">
        <is>
          <t>ffd931da-542f-43e9-979f-5552b17fe3dc</t>
        </is>
      </c>
      <c r="D8507" t="n">
        <v>55.76893</v>
      </c>
      <c r="E8507" t="n">
        <v>37.73366</v>
      </c>
      <c r="F8507" t="inlineStr"/>
      <c r="G8507" t="inlineStr"/>
      <c r="H8507" t="inlineStr"/>
    </row>
    <row r="8508">
      <c r="A8508" t="inlineStr">
        <is>
          <t>b70c5f50-6747-4f07-9d59-ebce40fa1f53.jpg</t>
        </is>
      </c>
      <c r="B8508">
        <f>HYPERLINK("Объекты недвижимости, не соответствующие градостроительным нормам_00-022_Август/b70c5f50-6747-4f07-9d59-ebce40fa1f53.jpg","open")</f>
        <v/>
      </c>
      <c r="C8508" t="inlineStr">
        <is>
          <t>dd48f742-b338-42e2-bbaf-b3a9701b437c</t>
        </is>
      </c>
      <c r="D8508" t="n">
        <v>55.853</v>
      </c>
      <c r="E8508" t="n">
        <v>37.66773</v>
      </c>
      <c r="F8508" t="inlineStr"/>
      <c r="G8508" t="inlineStr"/>
      <c r="H8508" t="inlineStr"/>
    </row>
    <row r="8509">
      <c r="A8509" t="inlineStr">
        <is>
          <t>ee46fea6-dbe3-4b2f-b96a-29fb61c68292.jpg</t>
        </is>
      </c>
      <c r="B8509">
        <f>HYPERLINK("Объекты недвижимости, не соответствующие градостроительным нормам_00-022_Август/ee46fea6-dbe3-4b2f-b96a-29fb61c68292.jpg","open")</f>
        <v/>
      </c>
      <c r="C8509" t="inlineStr">
        <is>
          <t>ffd931da-542f-43e9-979f-5552b17fe3dc</t>
        </is>
      </c>
      <c r="D8509" t="n">
        <v>55.76893</v>
      </c>
      <c r="E8509" t="n">
        <v>37.73366</v>
      </c>
      <c r="F8509" t="inlineStr"/>
      <c r="G8509" t="inlineStr"/>
      <c r="H8509" t="inlineStr"/>
    </row>
    <row r="8510">
      <c r="A8510" t="inlineStr">
        <is>
          <t>13fe8ce5-8efc-4c16-8a2b-e66b83ac51f3.jpg</t>
        </is>
      </c>
      <c r="B8510">
        <f>HYPERLINK("Объекты недвижимости, не соответствующие градостроительным нормам_00-022_Август/13fe8ce5-8efc-4c16-8a2b-e66b83ac51f3.jpg","open")</f>
        <v/>
      </c>
      <c r="C8510" t="inlineStr">
        <is>
          <t>e26f5fc2-1353-4f29-85f3-87c56419161c</t>
        </is>
      </c>
      <c r="D8510" t="n">
        <v>55.73434</v>
      </c>
      <c r="E8510" t="n">
        <v>37.70839</v>
      </c>
      <c r="F8510" t="inlineStr"/>
      <c r="G8510" t="inlineStr"/>
      <c r="H8510" t="inlineStr"/>
    </row>
    <row r="8511">
      <c r="A8511" t="inlineStr">
        <is>
          <t>6c415407-6c7a-4355-a41d-91660c11df65.jpg</t>
        </is>
      </c>
      <c r="B8511">
        <f>HYPERLINK("Объекты недвижимости, не соответствующие градостроительным нормам_00-022_Август/6c415407-6c7a-4355-a41d-91660c11df65.jpg","open")</f>
        <v/>
      </c>
      <c r="C8511" t="inlineStr">
        <is>
          <t>e26f5fc2-1353-4f29-85f3-87c56419161c</t>
        </is>
      </c>
      <c r="D8511" t="n">
        <v>55.73475</v>
      </c>
      <c r="E8511" t="n">
        <v>37.70689</v>
      </c>
      <c r="F8511" t="inlineStr"/>
      <c r="G8511" t="inlineStr"/>
      <c r="H8511" t="inlineStr"/>
    </row>
    <row r="8512">
      <c r="A8512" t="inlineStr">
        <is>
          <t>693b071a-a510-4e03-98a9-1cc98dbda394.jpg</t>
        </is>
      </c>
      <c r="B8512">
        <f>HYPERLINK("Объекты недвижимости, не соответствующие градостроительным нормам_00-022_Август/693b071a-a510-4e03-98a9-1cc98dbda394.jpg","open")</f>
        <v/>
      </c>
      <c r="C8512" t="inlineStr">
        <is>
          <t>f60286ac-55e7-4099-85bd-cc599a7a0c65</t>
        </is>
      </c>
      <c r="D8512" t="n">
        <v>55.76893</v>
      </c>
      <c r="E8512" t="n">
        <v>37.73366</v>
      </c>
      <c r="F8512" t="inlineStr"/>
      <c r="G8512" t="inlineStr"/>
      <c r="H8512" t="inlineStr"/>
    </row>
    <row r="8513">
      <c r="A8513" t="inlineStr">
        <is>
          <t>078fe347-75f6-472f-a893-794f4ded64e8.jpg</t>
        </is>
      </c>
      <c r="B8513">
        <f>HYPERLINK("Объекты недвижимости, не соответствующие градостроительным нормам_00-022_Август/078fe347-75f6-472f-a893-794f4ded64e8.jpg","open")</f>
        <v/>
      </c>
      <c r="C8513" t="inlineStr">
        <is>
          <t>b0b7ea82-53be-40d0-b992-e2fd18611d5c</t>
        </is>
      </c>
      <c r="D8513" t="n">
        <v>55.7057</v>
      </c>
      <c r="E8513" t="n">
        <v>37.93543</v>
      </c>
      <c r="F8513" t="inlineStr"/>
      <c r="G8513" t="inlineStr"/>
      <c r="H8513" t="inlineStr"/>
    </row>
    <row r="8514">
      <c r="A8514" t="inlineStr">
        <is>
          <t>6b5d8d91-fda4-47d5-a21c-0a63cb3ab0a6.jpg</t>
        </is>
      </c>
      <c r="B8514">
        <f>HYPERLINK("Объекты недвижимости, не соответствующие градостроительным нормам_00-022_Август/6b5d8d91-fda4-47d5-a21c-0a63cb3ab0a6.jpg","open")</f>
        <v/>
      </c>
      <c r="C8514" t="inlineStr">
        <is>
          <t>91248771-2c4d-44f3-b3cf-d536bd4ae73c</t>
        </is>
      </c>
      <c r="D8514" t="n">
        <v>55.79574</v>
      </c>
      <c r="E8514" t="n">
        <v>37.69183</v>
      </c>
      <c r="F8514" t="inlineStr"/>
      <c r="G8514" t="inlineStr"/>
      <c r="H8514" t="inlineStr"/>
    </row>
    <row r="8515">
      <c r="A8515" t="inlineStr">
        <is>
          <t>d9d8baf5-792e-496f-9d43-6a6d71ff283f.jpg</t>
        </is>
      </c>
      <c r="B8515">
        <f>HYPERLINK("Объекты недвижимости, не соответствующие градостроительным нормам_00-022_Август/d9d8baf5-792e-496f-9d43-6a6d71ff283f.jpg","open")</f>
        <v/>
      </c>
      <c r="C8515" t="inlineStr">
        <is>
          <t>a28f597e-d1cd-4d3b-b572-c86d033412e9</t>
        </is>
      </c>
      <c r="D8515" t="n">
        <v>55.73272</v>
      </c>
      <c r="E8515" t="n">
        <v>37.41635</v>
      </c>
      <c r="F8515" t="inlineStr"/>
      <c r="G8515" t="inlineStr"/>
      <c r="H8515" t="inlineStr"/>
    </row>
    <row r="8516">
      <c r="A8516" t="inlineStr">
        <is>
          <t>9d827066-f560-4d09-b721-3f92042d3fb2.jpg</t>
        </is>
      </c>
      <c r="B8516">
        <f>HYPERLINK("Объекты недвижимости, не соответствующие градостроительным нормам_00-022_Август/9d827066-f560-4d09-b721-3f92042d3fb2.jpg","open")</f>
        <v/>
      </c>
      <c r="C8516" t="inlineStr">
        <is>
          <t>036c664f-5408-4fd0-b479-342c00468eeb</t>
        </is>
      </c>
      <c r="D8516" t="n">
        <v>55.73239</v>
      </c>
      <c r="E8516" t="n">
        <v>37.41481</v>
      </c>
      <c r="F8516" t="inlineStr"/>
      <c r="G8516" t="inlineStr"/>
      <c r="H8516" t="inlineStr"/>
    </row>
    <row r="8517">
      <c r="A8517" t="inlineStr">
        <is>
          <t>a9c31445-c6fd-4b72-a343-a60ffe9ef3e1.jpg</t>
        </is>
      </c>
      <c r="B8517">
        <f>HYPERLINK("Объекты недвижимости, не соответствующие градостроительным нормам_00-022_Август/a9c31445-c6fd-4b72-a343-a60ffe9ef3e1.jpg","open")</f>
        <v/>
      </c>
      <c r="C8517" t="inlineStr">
        <is>
          <t>61936922-4d4b-458e-80ea-6d4c450aa1d5</t>
        </is>
      </c>
      <c r="D8517" t="n">
        <v>55.76252</v>
      </c>
      <c r="E8517" t="n">
        <v>37.4994</v>
      </c>
      <c r="F8517" t="inlineStr"/>
      <c r="G8517" t="inlineStr"/>
      <c r="H8517" t="inlineStr"/>
    </row>
    <row r="8518">
      <c r="A8518" t="inlineStr">
        <is>
          <t>fb985056-d804-4b80-9bfc-9cf973a1c8f5.jpg</t>
        </is>
      </c>
      <c r="B8518">
        <f>HYPERLINK("Объекты недвижимости, не соответствующие градостроительным нормам_00-022_Август/fb985056-d804-4b80-9bfc-9cf973a1c8f5.jpg","open")</f>
        <v/>
      </c>
      <c r="C8518" t="inlineStr">
        <is>
          <t>e90a3ac0-5b70-4ede-abeb-382371713306</t>
        </is>
      </c>
      <c r="D8518" t="n">
        <v>55.69907</v>
      </c>
      <c r="E8518" t="n">
        <v>37.57849</v>
      </c>
      <c r="F8518" t="inlineStr"/>
      <c r="G8518" t="inlineStr"/>
      <c r="H8518" t="inlineStr"/>
    </row>
    <row r="8519">
      <c r="A8519" t="inlineStr">
        <is>
          <t>b0c7d27e-d56a-48fd-afc3-5ca0f9b95049.jpg</t>
        </is>
      </c>
      <c r="B8519">
        <f>HYPERLINK("Объекты недвижимости, не соответствующие градостроительным нормам_00-022_Август/b0c7d27e-d56a-48fd-afc3-5ca0f9b95049.jpg","open")</f>
        <v/>
      </c>
      <c r="C8519" t="inlineStr">
        <is>
          <t>61936922-4d4b-458e-80ea-6d4c450aa1d5</t>
        </is>
      </c>
      <c r="D8519" t="n">
        <v>55.75648</v>
      </c>
      <c r="E8519" t="n">
        <v>37.50454</v>
      </c>
      <c r="F8519" t="inlineStr"/>
      <c r="G8519" t="inlineStr"/>
      <c r="H8519" t="inlineStr"/>
    </row>
    <row r="8520">
      <c r="A8520" t="inlineStr">
        <is>
          <t>36d35e47-11ca-4d66-afe5-2c268a3b86c2.jpg</t>
        </is>
      </c>
      <c r="B8520">
        <f>HYPERLINK("Объекты недвижимости, не соответствующие градостроительным нормам_00-022_Август/36d35e47-11ca-4d66-afe5-2c268a3b86c2.jpg","open")</f>
        <v/>
      </c>
      <c r="C8520" t="inlineStr">
        <is>
          <t>a28f597e-d1cd-4d3b-b572-c86d033412e9</t>
        </is>
      </c>
      <c r="D8520" t="n">
        <v>55.73124</v>
      </c>
      <c r="E8520" t="n">
        <v>37.41693</v>
      </c>
      <c r="F8520" t="inlineStr"/>
      <c r="G8520" t="inlineStr"/>
      <c r="H8520" t="inlineStr"/>
    </row>
    <row r="8521">
      <c r="A8521" t="inlineStr">
        <is>
          <t>ae027256-f09c-4f69-9a10-580774071c08.jpg</t>
        </is>
      </c>
      <c r="B8521">
        <f>HYPERLINK("Объекты недвижимости, не соответствующие градостроительным нормам_00-022_Август/ae027256-f09c-4f69-9a10-580774071c08.jpg","open")</f>
        <v/>
      </c>
      <c r="C8521" t="inlineStr">
        <is>
          <t>db8b536c-32f2-4d9a-ae08-679d227e61f1</t>
        </is>
      </c>
      <c r="D8521" t="n">
        <v>55.69907</v>
      </c>
      <c r="E8521" t="n">
        <v>37.57849</v>
      </c>
      <c r="F8521" t="inlineStr"/>
      <c r="G8521" t="inlineStr"/>
      <c r="H8521" t="inlineStr"/>
    </row>
    <row r="8522">
      <c r="A8522" t="inlineStr">
        <is>
          <t>aa2cb207-2fff-44d3-9999-b2cd087348eb.jpg</t>
        </is>
      </c>
      <c r="B8522">
        <f>HYPERLINK("Объекты недвижимости, не соответствующие градостроительным нормам_00-022_Август/aa2cb207-2fff-44d3-9999-b2cd087348eb.jpg","open")</f>
        <v/>
      </c>
      <c r="C8522" t="inlineStr">
        <is>
          <t>caa4772d-6278-4484-a046-ee25514bf521</t>
        </is>
      </c>
      <c r="D8522" t="n">
        <v>55.80594</v>
      </c>
      <c r="E8522" t="n">
        <v>37.45674</v>
      </c>
      <c r="F8522" t="inlineStr"/>
      <c r="G8522" t="inlineStr"/>
      <c r="H8522" t="inlineStr"/>
    </row>
    <row r="8523">
      <c r="A8523" t="inlineStr">
        <is>
          <t>10077424-e5eb-487d-b131-cdaead017e7c.jpg</t>
        </is>
      </c>
      <c r="B8523">
        <f>HYPERLINK("Объекты недвижимости, не соответствующие градостроительным нормам_00-022_Август/10077424-e5eb-487d-b131-cdaead017e7c.jpg","open")</f>
        <v/>
      </c>
      <c r="C8523" t="inlineStr">
        <is>
          <t>036c664f-5408-4fd0-b479-342c00468eeb</t>
        </is>
      </c>
      <c r="D8523" t="n">
        <v>55.73221</v>
      </c>
      <c r="E8523" t="n">
        <v>37.41633</v>
      </c>
      <c r="F8523" t="inlineStr"/>
      <c r="G8523" t="inlineStr"/>
      <c r="H8523" t="inlineStr"/>
    </row>
    <row r="8524">
      <c r="A8524" t="inlineStr">
        <is>
          <t>40f3c46e-058f-446c-9634-7f97a8f05c42.jpg</t>
        </is>
      </c>
      <c r="B8524">
        <f>HYPERLINK("Объекты недвижимости, не соответствующие градостроительным нормам_00-022_Август/40f3c46e-058f-446c-9634-7f97a8f05c42.jpg","open")</f>
        <v/>
      </c>
      <c r="C8524" t="inlineStr">
        <is>
          <t>31a713a9-b910-424b-b847-e0eaa2f70c70</t>
        </is>
      </c>
      <c r="D8524" t="n">
        <v>55.71492</v>
      </c>
      <c r="E8524" t="n">
        <v>37.67938</v>
      </c>
      <c r="F8524" t="inlineStr"/>
      <c r="G8524" t="inlineStr"/>
      <c r="H8524" t="inlineStr"/>
    </row>
    <row r="8525">
      <c r="A8525" t="inlineStr">
        <is>
          <t>8f3297fd-969b-4956-8d37-0d68eafe48fb.jpg</t>
        </is>
      </c>
      <c r="B8525">
        <f>HYPERLINK("Объекты недвижимости, не соответствующие градостроительным нормам_00-022_Август/8f3297fd-969b-4956-8d37-0d68eafe48fb.jpg","open")</f>
        <v/>
      </c>
      <c r="C8525" t="inlineStr">
        <is>
          <t>61936922-4d4b-458e-80ea-6d4c450aa1d5</t>
        </is>
      </c>
      <c r="D8525" t="n">
        <v>55.75257</v>
      </c>
      <c r="E8525" t="n">
        <v>37.50169</v>
      </c>
      <c r="F8525" t="inlineStr"/>
      <c r="G8525" t="inlineStr"/>
      <c r="H8525" t="inlineStr"/>
    </row>
    <row r="8526">
      <c r="A8526" t="inlineStr">
        <is>
          <t>366927a5-4380-487d-8f26-acac30ab556d.jpg</t>
        </is>
      </c>
      <c r="B8526">
        <f>HYPERLINK("Объекты недвижимости, не соответствующие градостроительным нормам_00-022_Август/366927a5-4380-487d-8f26-acac30ab556d.jpg","open")</f>
        <v/>
      </c>
      <c r="C8526" t="inlineStr">
        <is>
          <t>685d9054-b74f-49ab-857b-109fd2cec80d</t>
        </is>
      </c>
      <c r="D8526" t="n">
        <v>55.64206</v>
      </c>
      <c r="E8526" t="n">
        <v>37.47706</v>
      </c>
      <c r="F8526" t="inlineStr"/>
      <c r="G8526" t="inlineStr"/>
      <c r="H8526" t="inlineStr"/>
    </row>
    <row r="8527">
      <c r="A8527" t="inlineStr">
        <is>
          <t>bdf06fb8-5073-4efc-b12c-a62aeecf1792.jpg</t>
        </is>
      </c>
      <c r="B8527">
        <f>HYPERLINK("Объекты недвижимости, не соответствующие градостроительным нормам_00-022_Август/bdf06fb8-5073-4efc-b12c-a62aeecf1792.jpg","open")</f>
        <v/>
      </c>
      <c r="C8527" t="inlineStr">
        <is>
          <t>9fb3d110-951f-48da-9d90-cfd7e1b5800d</t>
        </is>
      </c>
      <c r="D8527" t="n">
        <v>55.74957</v>
      </c>
      <c r="E8527" t="n">
        <v>37.50138</v>
      </c>
      <c r="F8527" t="inlineStr"/>
      <c r="G8527" t="inlineStr"/>
      <c r="H8527" t="inlineStr"/>
    </row>
    <row r="8528">
      <c r="A8528" t="inlineStr">
        <is>
          <t>b0e3aa36-29e1-48f6-8bf2-d856db013df1.jpg</t>
        </is>
      </c>
      <c r="B8528">
        <f>HYPERLINK("Объекты недвижимости, не соответствующие градостроительным нормам_00-022_Август/b0e3aa36-29e1-48f6-8bf2-d856db013df1.jpg","open")</f>
        <v/>
      </c>
      <c r="C8528" t="inlineStr">
        <is>
          <t>f60286ac-55e7-4099-85bd-cc599a7a0c65</t>
        </is>
      </c>
      <c r="D8528" t="n">
        <v>55.76893</v>
      </c>
      <c r="E8528" t="n">
        <v>37.73366</v>
      </c>
      <c r="F8528" t="inlineStr"/>
      <c r="G8528" t="inlineStr"/>
      <c r="H8528" t="inlineStr"/>
    </row>
    <row r="8529">
      <c r="A8529" t="inlineStr">
        <is>
          <t>ff562f7f-ceeb-47de-b0fb-44cc08a09cdf.jpg</t>
        </is>
      </c>
      <c r="B8529">
        <f>HYPERLINK("Объекты недвижимости, не соответствующие градостроительным нормам_00-022_Август/ff562f7f-ceeb-47de-b0fb-44cc08a09cdf.jpg","open")</f>
        <v/>
      </c>
      <c r="C8529" t="inlineStr">
        <is>
          <t>f60286ac-55e7-4099-85bd-cc599a7a0c65</t>
        </is>
      </c>
      <c r="D8529" t="n">
        <v>55.76893</v>
      </c>
      <c r="E8529" t="n">
        <v>37.73366</v>
      </c>
      <c r="F8529" t="inlineStr"/>
      <c r="G8529" t="inlineStr"/>
      <c r="H8529" t="inlineStr"/>
    </row>
    <row r="8530">
      <c r="A8530" t="inlineStr">
        <is>
          <t>5a2ca0e2-03d9-451f-a28b-b99aa7cfcf03.jpg</t>
        </is>
      </c>
      <c r="B8530">
        <f>HYPERLINK("Объекты недвижимости, не соответствующие градостроительным нормам_00-022_Август/5a2ca0e2-03d9-451f-a28b-b99aa7cfcf03.jpg","open")</f>
        <v/>
      </c>
      <c r="C8530" t="inlineStr">
        <is>
          <t>f60286ac-55e7-4099-85bd-cc599a7a0c65</t>
        </is>
      </c>
      <c r="D8530" t="n">
        <v>55.76893</v>
      </c>
      <c r="E8530" t="n">
        <v>37.73366</v>
      </c>
      <c r="F8530" t="inlineStr"/>
      <c r="G8530" t="inlineStr"/>
      <c r="H8530" t="inlineStr"/>
    </row>
    <row r="8531">
      <c r="A8531" t="inlineStr">
        <is>
          <t>123ec85b-72d8-4a41-9785-8f6466799f15.jpg</t>
        </is>
      </c>
      <c r="B8531">
        <f>HYPERLINK("Объекты недвижимости, не соответствующие градостроительным нормам_00-022_Август/123ec85b-72d8-4a41-9785-8f6466799f15.jpg","open")</f>
        <v/>
      </c>
      <c r="C8531" t="inlineStr">
        <is>
          <t>db8b536c-32f2-4d9a-ae08-679d227e61f1</t>
        </is>
      </c>
      <c r="D8531" t="n">
        <v>55.69907</v>
      </c>
      <c r="E8531" t="n">
        <v>37.57849</v>
      </c>
      <c r="F8531" t="inlineStr"/>
      <c r="G8531" t="inlineStr"/>
      <c r="H8531" t="inlineStr"/>
    </row>
    <row r="8532">
      <c r="A8532" t="inlineStr">
        <is>
          <t>b4af4dbb-f023-4a0c-b638-3a1d0dae17d1.jpg</t>
        </is>
      </c>
      <c r="B8532">
        <f>HYPERLINK("Объекты недвижимости, не соответствующие градостроительным нормам_00-022_Август/b4af4dbb-f023-4a0c-b638-3a1d0dae17d1.jpg","open")</f>
        <v/>
      </c>
      <c r="C8532" t="inlineStr">
        <is>
          <t>ffd931da-542f-43e9-979f-5552b17fe3dc</t>
        </is>
      </c>
      <c r="D8532" t="n">
        <v>55.76893</v>
      </c>
      <c r="E8532" t="n">
        <v>37.73366</v>
      </c>
      <c r="F8532" t="inlineStr"/>
      <c r="G8532" t="inlineStr"/>
      <c r="H8532" t="inlineStr"/>
    </row>
    <row r="8533">
      <c r="A8533" t="inlineStr">
        <is>
          <t>911eb7a1-ba9c-4545-ba81-64db0c13aede.jpg</t>
        </is>
      </c>
      <c r="B8533">
        <f>HYPERLINK("Объекты недвижимости, не соответствующие градостроительным нормам_00-022_Август/911eb7a1-ba9c-4545-ba81-64db0c13aede.jpg","open")</f>
        <v/>
      </c>
      <c r="C8533" t="inlineStr">
        <is>
          <t>61936922-4d4b-458e-80ea-6d4c450aa1d5</t>
        </is>
      </c>
      <c r="D8533" t="n">
        <v>55.74854</v>
      </c>
      <c r="E8533" t="n">
        <v>37.501</v>
      </c>
      <c r="F8533" t="inlineStr"/>
      <c r="G8533" t="inlineStr"/>
      <c r="H8533" t="inlineStr"/>
    </row>
    <row r="8534">
      <c r="A8534" t="inlineStr">
        <is>
          <t>a4d33efe-ae8b-4fa1-960e-4c41b2b861b6.jpg</t>
        </is>
      </c>
      <c r="B8534">
        <f>HYPERLINK("Объекты недвижимости, не соответствующие градостроительным нормам_00-022_Август/a4d33efe-ae8b-4fa1-960e-4c41b2b861b6.jpg","open")</f>
        <v/>
      </c>
      <c r="C8534" t="inlineStr">
        <is>
          <t>9fb3d110-951f-48da-9d90-cfd7e1b5800d</t>
        </is>
      </c>
      <c r="D8534" t="n">
        <v>55.74725</v>
      </c>
      <c r="E8534" t="n">
        <v>37.50015</v>
      </c>
      <c r="F8534" t="inlineStr"/>
      <c r="G8534" t="inlineStr"/>
      <c r="H8534" t="inlineStr"/>
    </row>
    <row r="8535">
      <c r="A8535" t="inlineStr">
        <is>
          <t>90f8dc96-bfcf-4489-a093-ddaccf2b57ed.jpg</t>
        </is>
      </c>
      <c r="B8535">
        <f>HYPERLINK("Объекты недвижимости, не соответствующие градостроительным нормам_00-022_Август/90f8dc96-bfcf-4489-a093-ddaccf2b57ed.jpg","open")</f>
        <v/>
      </c>
      <c r="C8535" t="inlineStr">
        <is>
          <t>036c664f-5408-4fd0-b479-342c00468eeb</t>
        </is>
      </c>
      <c r="D8535" t="n">
        <v>55.72898</v>
      </c>
      <c r="E8535" t="n">
        <v>37.41932</v>
      </c>
      <c r="F8535" t="inlineStr"/>
      <c r="G8535" t="inlineStr"/>
      <c r="H8535" t="inlineStr"/>
    </row>
    <row r="8536">
      <c r="A8536" t="inlineStr">
        <is>
          <t>6a809984-ef37-4212-ba5a-26c73035da6a.jpg</t>
        </is>
      </c>
      <c r="B8536">
        <f>HYPERLINK("Объекты недвижимости, не соответствующие градостроительным нормам_00-022_Август/6a809984-ef37-4212-ba5a-26c73035da6a.jpg","open")</f>
        <v/>
      </c>
      <c r="C8536" t="inlineStr">
        <is>
          <t>9fb3d110-951f-48da-9d90-cfd7e1b5800d</t>
        </is>
      </c>
      <c r="D8536" t="n">
        <v>55.74776</v>
      </c>
      <c r="E8536" t="n">
        <v>37.50143</v>
      </c>
      <c r="F8536" t="inlineStr"/>
      <c r="G8536" t="inlineStr"/>
      <c r="H8536" t="inlineStr"/>
    </row>
    <row r="8537">
      <c r="A8537" t="inlineStr">
        <is>
          <t>736ab414-b5f8-4c8e-a930-15f68ad50fe3.jpg</t>
        </is>
      </c>
      <c r="B8537">
        <f>HYPERLINK("Объекты недвижимости, не соответствующие градостроительным нормам_00-022_Август/736ab414-b5f8-4c8e-a930-15f68ad50fe3.jpg","open")</f>
        <v/>
      </c>
      <c r="C8537" t="inlineStr">
        <is>
          <t>a28f597e-d1cd-4d3b-b572-c86d033412e9</t>
        </is>
      </c>
      <c r="D8537" t="n">
        <v>55.72878</v>
      </c>
      <c r="E8537" t="n">
        <v>37.41237</v>
      </c>
      <c r="F8537" t="inlineStr"/>
      <c r="G8537" t="inlineStr"/>
      <c r="H8537" t="inlineStr"/>
    </row>
    <row r="8538">
      <c r="A8538" t="inlineStr">
        <is>
          <t>b836e5a3-3fe9-4f33-9809-ff82948bda15.jpg</t>
        </is>
      </c>
      <c r="B8538">
        <f>HYPERLINK("Объекты недвижимости, не соответствующие градостроительным нормам_00-022_Август/b836e5a3-3fe9-4f33-9809-ff82948bda15.jpg","open")</f>
        <v/>
      </c>
      <c r="C8538" t="inlineStr">
        <is>
          <t>a28f597e-d1cd-4d3b-b572-c86d033412e9</t>
        </is>
      </c>
      <c r="D8538" t="n">
        <v>55.72887</v>
      </c>
      <c r="E8538" t="n">
        <v>37.41227</v>
      </c>
      <c r="F8538" t="inlineStr"/>
      <c r="G8538" t="inlineStr"/>
      <c r="H8538" t="inlineStr"/>
    </row>
    <row r="8539">
      <c r="A8539" t="inlineStr">
        <is>
          <t>5e3c7be2-7397-485e-b538-4536e11f3b9b.jpg</t>
        </is>
      </c>
      <c r="B8539">
        <f>HYPERLINK("Объекты недвижимости, не соответствующие градостроительным нормам_00-022_Август/5e3c7be2-7397-485e-b538-4536e11f3b9b.jpg","open")</f>
        <v/>
      </c>
      <c r="C8539" t="inlineStr">
        <is>
          <t>57aae8a4-582b-4309-8045-c8127a9f86ae</t>
        </is>
      </c>
      <c r="D8539" t="n">
        <v>55.80815</v>
      </c>
      <c r="E8539" t="n">
        <v>37.72284</v>
      </c>
      <c r="F8539" t="inlineStr"/>
      <c r="G8539" t="inlineStr"/>
      <c r="H8539" t="inlineStr"/>
    </row>
    <row r="8540">
      <c r="A8540" t="inlineStr">
        <is>
          <t>c3e98c78-4175-454d-900a-39d8a9079519.jpg</t>
        </is>
      </c>
      <c r="B8540">
        <f>HYPERLINK("Объекты недвижимости, не соответствующие градостроительным нормам_00-022_Август/c3e98c78-4175-454d-900a-39d8a9079519.jpg","open")</f>
        <v/>
      </c>
      <c r="C8540" t="inlineStr">
        <is>
          <t>1231bbc5-e64c-4dc7-9acc-77710f47607a</t>
        </is>
      </c>
      <c r="D8540" t="n">
        <v>55.64341</v>
      </c>
      <c r="E8540" t="n">
        <v>37.48073</v>
      </c>
      <c r="F8540" t="inlineStr"/>
      <c r="G8540" t="inlineStr"/>
      <c r="H8540" t="inlineStr"/>
    </row>
    <row r="8541">
      <c r="A8541" t="inlineStr">
        <is>
          <t>6b17ee75-ad1e-4af3-91f5-c8a5ebec000f.jpg</t>
        </is>
      </c>
      <c r="B8541">
        <f>HYPERLINK("Объекты недвижимости, не соответствующие градостроительным нормам_00-022_Август/6b17ee75-ad1e-4af3-91f5-c8a5ebec000f.jpg","open")</f>
        <v/>
      </c>
      <c r="C8541" t="inlineStr">
        <is>
          <t>685d9054-b74f-49ab-857b-109fd2cec80d</t>
        </is>
      </c>
      <c r="D8541" t="n">
        <v>55.64345</v>
      </c>
      <c r="E8541" t="n">
        <v>37.48071</v>
      </c>
      <c r="F8541" t="inlineStr"/>
      <c r="G8541" t="inlineStr"/>
      <c r="H8541" t="inlineStr"/>
    </row>
    <row r="8542">
      <c r="A8542" t="inlineStr">
        <is>
          <t>de085fef-d3f1-4127-86b3-0e5365d81eb5.jpg</t>
        </is>
      </c>
      <c r="B8542">
        <f>HYPERLINK("Объекты недвижимости, не соответствующие градостроительным нормам_00-022_Август/de085fef-d3f1-4127-86b3-0e5365d81eb5.jpg","open")</f>
        <v/>
      </c>
      <c r="C8542" t="inlineStr">
        <is>
          <t>8996eb30-6497-4318-8a0e-b95314b8172e</t>
        </is>
      </c>
      <c r="D8542" t="n">
        <v>55.73259</v>
      </c>
      <c r="E8542" t="n">
        <v>37.48927</v>
      </c>
      <c r="F8542" t="inlineStr"/>
      <c r="G8542" t="inlineStr"/>
      <c r="H8542" t="inlineStr"/>
    </row>
    <row r="8543">
      <c r="A8543" t="inlineStr">
        <is>
          <t>20676354-3019-4ba5-89a8-3810d2b159d8.jpg</t>
        </is>
      </c>
      <c r="B8543">
        <f>HYPERLINK("Объекты недвижимости, не соответствующие градостроительным нормам_00-022_Август/20676354-3019-4ba5-89a8-3810d2b159d8.jpg","open")</f>
        <v/>
      </c>
      <c r="C8543" t="inlineStr">
        <is>
          <t>a28f597e-d1cd-4d3b-b572-c86d033412e9</t>
        </is>
      </c>
      <c r="D8543" t="n">
        <v>55.72946</v>
      </c>
      <c r="E8543" t="n">
        <v>37.41354</v>
      </c>
      <c r="F8543" t="inlineStr"/>
      <c r="G8543" t="inlineStr"/>
      <c r="H8543" t="inlineStr"/>
    </row>
    <row r="8544">
      <c r="A8544" t="inlineStr">
        <is>
          <t>b7a9b74f-bccf-439c-89b9-7fdc3c069004.jpg</t>
        </is>
      </c>
      <c r="B8544">
        <f>HYPERLINK("Объекты недвижимости, не соответствующие градостроительным нормам_00-022_Август/b7a9b74f-bccf-439c-89b9-7fdc3c069004.jpg","open")</f>
        <v/>
      </c>
      <c r="C8544" t="inlineStr">
        <is>
          <t>8996eb30-6497-4318-8a0e-b95314b8172e</t>
        </is>
      </c>
      <c r="D8544" t="n">
        <v>55.7297</v>
      </c>
      <c r="E8544" t="n">
        <v>37.46403</v>
      </c>
      <c r="F8544" t="inlineStr"/>
      <c r="G8544" t="inlineStr"/>
      <c r="H8544" t="inlineStr"/>
    </row>
    <row r="8545">
      <c r="A8545" t="inlineStr">
        <is>
          <t>e608ec70-b875-49e7-b6ab-9c318ad2c250.jpg</t>
        </is>
      </c>
      <c r="B8545">
        <f>HYPERLINK("Объекты недвижимости, не соответствующие градостроительным нормам_00-022_Август/e608ec70-b875-49e7-b6ab-9c318ad2c250.jpg","open")</f>
        <v/>
      </c>
      <c r="C8545" t="inlineStr">
        <is>
          <t>ed2bf0f1-3a66-4913-896e-4420a9796c0b</t>
        </is>
      </c>
      <c r="D8545" t="n">
        <v>55.79311</v>
      </c>
      <c r="E8545" t="n">
        <v>37.61037</v>
      </c>
      <c r="F8545" t="inlineStr"/>
      <c r="G8545" t="inlineStr"/>
      <c r="H8545" t="inlineStr"/>
    </row>
    <row r="8546">
      <c r="A8546" t="inlineStr">
        <is>
          <t>4afe4ca9-81cc-446d-80c5-f3ad2d9c02d8.jpg</t>
        </is>
      </c>
      <c r="B8546">
        <f>HYPERLINK("Объекты недвижимости, не соответствующие градостроительным нормам_00-022_Август/4afe4ca9-81cc-446d-80c5-f3ad2d9c02d8.jpg","open")</f>
        <v/>
      </c>
      <c r="C8546" t="inlineStr">
        <is>
          <t>685d9054-b74f-49ab-857b-109fd2cec80d</t>
        </is>
      </c>
      <c r="D8546" t="n">
        <v>55.6451</v>
      </c>
      <c r="E8546" t="n">
        <v>37.48428</v>
      </c>
      <c r="F8546" t="inlineStr"/>
      <c r="G8546" t="inlineStr"/>
      <c r="H8546" t="inlineStr"/>
    </row>
    <row r="8547">
      <c r="A8547" t="inlineStr">
        <is>
          <t>6e084ea7-5f52-4af8-9f64-1a3ce602882e.jpg</t>
        </is>
      </c>
      <c r="B8547">
        <f>HYPERLINK("Объекты недвижимости, не соответствующие градостроительным нормам_00-022_Август/6e084ea7-5f52-4af8-9f64-1a3ce602882e.jpg","open")</f>
        <v/>
      </c>
      <c r="C8547" t="inlineStr">
        <is>
          <t>1231bbc5-e64c-4dc7-9acc-77710f47607a</t>
        </is>
      </c>
      <c r="D8547" t="n">
        <v>55.6451</v>
      </c>
      <c r="E8547" t="n">
        <v>37.48428</v>
      </c>
      <c r="F8547" t="inlineStr"/>
      <c r="G8547" t="inlineStr"/>
      <c r="H8547" t="inlineStr"/>
    </row>
    <row r="8548">
      <c r="A8548" t="inlineStr">
        <is>
          <t>c2a90042-c063-4266-9785-23c539882530.jpg</t>
        </is>
      </c>
      <c r="B8548">
        <f>HYPERLINK("Объекты недвижимости, не соответствующие градостроительным нормам_00-022_Август/c2a90042-c063-4266-9785-23c539882530.jpg","open")</f>
        <v/>
      </c>
      <c r="C8548" t="inlineStr">
        <is>
          <t>2acfb2da-e3f6-464c-bd17-4b713522c142</t>
        </is>
      </c>
      <c r="D8548" t="n">
        <v>55.87631</v>
      </c>
      <c r="E8548" t="n">
        <v>37.67972</v>
      </c>
      <c r="F8548" t="inlineStr"/>
      <c r="G8548" t="inlineStr"/>
      <c r="H8548" t="inlineStr"/>
    </row>
    <row r="8549">
      <c r="A8549" t="inlineStr">
        <is>
          <t>20073910-94e1-450c-972a-722a454bd4db.jpg</t>
        </is>
      </c>
      <c r="B8549">
        <f>HYPERLINK("Объекты недвижимости, не соответствующие градостроительным нормам_00-022_Август/20073910-94e1-450c-972a-722a454bd4db.jpg","open")</f>
        <v/>
      </c>
      <c r="C8549" t="inlineStr">
        <is>
          <t>caa4772d-6278-4484-a046-ee25514bf521</t>
        </is>
      </c>
      <c r="D8549" t="n">
        <v>55.80487</v>
      </c>
      <c r="E8549" t="n">
        <v>37.48399</v>
      </c>
      <c r="F8549" t="inlineStr"/>
      <c r="G8549" t="inlineStr"/>
      <c r="H8549" t="inlineStr"/>
    </row>
    <row r="8550">
      <c r="A8550" t="inlineStr">
        <is>
          <t>8501968f-4538-4e7c-b9a4-5b8cc20abf3e.jpg</t>
        </is>
      </c>
      <c r="B8550">
        <f>HYPERLINK("Объекты недвижимости, не соответствующие градостроительным нормам_00-022_Август/8501968f-4538-4e7c-b9a4-5b8cc20abf3e.jpg","open")</f>
        <v/>
      </c>
      <c r="C8550" t="inlineStr">
        <is>
          <t>57aae8a4-582b-4309-8045-c8127a9f86ae</t>
        </is>
      </c>
      <c r="D8550" t="n">
        <v>55.81686</v>
      </c>
      <c r="E8550" t="n">
        <v>37.72157</v>
      </c>
      <c r="F8550" t="inlineStr"/>
      <c r="G8550" t="inlineStr"/>
      <c r="H8550" t="inlineStr"/>
    </row>
    <row r="8551">
      <c r="A8551" t="inlineStr">
        <is>
          <t>2a4e4afa-96eb-44f7-a430-43a748658eb7.jpg</t>
        </is>
      </c>
      <c r="B8551">
        <f>HYPERLINK("Объекты недвижимости, не соответствующие градостроительным нормам_00-022_Август/2a4e4afa-96eb-44f7-a430-43a748658eb7.jpg","open")</f>
        <v/>
      </c>
      <c r="C8551" t="inlineStr">
        <is>
          <t>1231bbc5-e64c-4dc7-9acc-77710f47607a</t>
        </is>
      </c>
      <c r="D8551" t="n">
        <v>55.6419</v>
      </c>
      <c r="E8551" t="n">
        <v>37.48496</v>
      </c>
      <c r="F8551" t="inlineStr"/>
      <c r="G8551" t="inlineStr"/>
      <c r="H8551" t="inlineStr"/>
    </row>
    <row r="8552">
      <c r="A8552" t="inlineStr">
        <is>
          <t>d1998677-afdb-44d6-855c-9a5926de666e.jpg</t>
        </is>
      </c>
      <c r="B8552">
        <f>HYPERLINK("Объекты недвижимости, не соответствующие градостроительным нормам_00-022_Август/d1998677-afdb-44d6-855c-9a5926de666e.jpg","open")</f>
        <v/>
      </c>
      <c r="C8552" t="inlineStr">
        <is>
          <t>57aae8a4-582b-4309-8045-c8127a9f86ae</t>
        </is>
      </c>
      <c r="D8552" t="n">
        <v>55.81661</v>
      </c>
      <c r="E8552" t="n">
        <v>37.72457</v>
      </c>
      <c r="F8552" t="inlineStr"/>
      <c r="G8552" t="inlineStr"/>
      <c r="H8552" t="inlineStr"/>
    </row>
    <row r="8553">
      <c r="A8553" t="inlineStr">
        <is>
          <t>13b57f4a-8d73-46b4-bddc-da4c38b38f5b.jpg</t>
        </is>
      </c>
      <c r="B8553">
        <f>HYPERLINK("Объекты недвижимости, не соответствующие градостроительным нормам_00-022_Август/13b57f4a-8d73-46b4-bddc-da4c38b38f5b.jpg","open")</f>
        <v/>
      </c>
      <c r="C8553" t="inlineStr">
        <is>
          <t>acedacc2-0d8b-4fc1-9622-25621a89d071</t>
        </is>
      </c>
      <c r="D8553" t="n">
        <v>55.81532</v>
      </c>
      <c r="E8553" t="n">
        <v>37.72669</v>
      </c>
      <c r="F8553" t="inlineStr"/>
      <c r="G8553" t="inlineStr"/>
      <c r="H8553" t="inlineStr"/>
    </row>
    <row r="8554">
      <c r="A8554" t="inlineStr">
        <is>
          <t>c23436bc-66be-4fda-a489-8cf08fbe6002.jpg</t>
        </is>
      </c>
      <c r="B8554">
        <f>HYPERLINK("Объекты недвижимости, не соответствующие градостроительным нормам_00-022_Август/c23436bc-66be-4fda-a489-8cf08fbe6002.jpg","open")</f>
        <v/>
      </c>
      <c r="C8554" t="inlineStr">
        <is>
          <t>99f3abba-c55b-49f0-9de5-9f88e9597cc0</t>
        </is>
      </c>
      <c r="D8554" t="n">
        <v>55.70129</v>
      </c>
      <c r="E8554" t="n">
        <v>37.65921</v>
      </c>
      <c r="F8554" t="inlineStr"/>
      <c r="G8554" t="inlineStr"/>
      <c r="H8554" t="inlineStr"/>
    </row>
    <row r="8555">
      <c r="A8555" t="inlineStr">
        <is>
          <t>9a8fc207-ed52-4191-a9d1-b84867ec18fb.jpg</t>
        </is>
      </c>
      <c r="B8555">
        <f>HYPERLINK("Объекты недвижимости, не соответствующие градостроительным нормам_00-022_Август/9a8fc207-ed52-4191-a9d1-b84867ec18fb.jpg","open")</f>
        <v/>
      </c>
      <c r="C8555" t="inlineStr">
        <is>
          <t>f60286ac-55e7-4099-85bd-cc599a7a0c65</t>
        </is>
      </c>
      <c r="D8555" t="n">
        <v>55.76307</v>
      </c>
      <c r="E8555" t="n">
        <v>37.73912</v>
      </c>
      <c r="F8555" t="inlineStr"/>
      <c r="G8555" t="inlineStr"/>
      <c r="H8555" t="inlineStr"/>
    </row>
    <row r="8556">
      <c r="A8556" t="inlineStr">
        <is>
          <t>1434b761-5836-453d-95dc-fe87761abd7b.jpg</t>
        </is>
      </c>
      <c r="B8556">
        <f>HYPERLINK("Объекты недвижимости, не соответствующие градостроительным нормам_00-022_Август/1434b761-5836-453d-95dc-fe87761abd7b.jpg","open")</f>
        <v/>
      </c>
      <c r="C8556" t="inlineStr">
        <is>
          <t>ffd931da-542f-43e9-979f-5552b17fe3dc</t>
        </is>
      </c>
      <c r="D8556" t="n">
        <v>55.76307</v>
      </c>
      <c r="E8556" t="n">
        <v>37.73912</v>
      </c>
      <c r="F8556" t="inlineStr"/>
      <c r="G8556" t="inlineStr"/>
      <c r="H8556" t="inlineStr"/>
    </row>
    <row r="8557">
      <c r="A8557" t="inlineStr">
        <is>
          <t>541dde87-1895-47e4-ab46-ace473366632.jpg</t>
        </is>
      </c>
      <c r="B8557">
        <f>HYPERLINK("Объекты недвижимости, не соответствующие градостроительным нормам_00-022_Август/541dde87-1895-47e4-ab46-ace473366632.jpg","open")</f>
        <v/>
      </c>
      <c r="C8557" t="inlineStr">
        <is>
          <t>caa4772d-6278-4484-a046-ee25514bf521</t>
        </is>
      </c>
      <c r="D8557" t="n">
        <v>55.79622</v>
      </c>
      <c r="E8557" t="n">
        <v>37.49371</v>
      </c>
      <c r="F8557" t="inlineStr"/>
      <c r="G8557" t="inlineStr"/>
      <c r="H8557" t="inlineStr"/>
    </row>
    <row r="8558">
      <c r="A8558" t="inlineStr">
        <is>
          <t>60956753-8aa4-45a3-87c5-84d293c9ee9d.jpg</t>
        </is>
      </c>
      <c r="B8558">
        <f>HYPERLINK("Объекты недвижимости, не соответствующие градостроительным нормам_00-022_Август/60956753-8aa4-45a3-87c5-84d293c9ee9d.jpg","open")</f>
        <v/>
      </c>
      <c r="C8558" t="inlineStr">
        <is>
          <t>8cde1fd0-eca1-4510-86ab-3c743b65fdfc</t>
        </is>
      </c>
      <c r="D8558" t="n">
        <v>55.77102</v>
      </c>
      <c r="E8558" t="n">
        <v>37.71841</v>
      </c>
      <c r="F8558" t="inlineStr"/>
      <c r="G8558" t="inlineStr"/>
      <c r="H8558" t="inlineStr"/>
    </row>
    <row r="8559">
      <c r="A8559" t="inlineStr">
        <is>
          <t>410521d6-c152-47ac-875c-2549f954a2df.jpg</t>
        </is>
      </c>
      <c r="B8559">
        <f>HYPERLINK("Объекты недвижимости, не соответствующие градостроительным нормам_00-022_Август/410521d6-c152-47ac-875c-2549f954a2df.jpg","open")</f>
        <v/>
      </c>
      <c r="C8559" t="inlineStr">
        <is>
          <t>31a713a9-b910-424b-b847-e0eaa2f70c70</t>
        </is>
      </c>
      <c r="D8559" t="n">
        <v>55.77851</v>
      </c>
      <c r="E8559" t="n">
        <v>37.66805</v>
      </c>
      <c r="F8559" t="inlineStr"/>
      <c r="G8559" t="inlineStr"/>
      <c r="H8559" t="inlineStr"/>
    </row>
    <row r="8560">
      <c r="A8560" t="inlineStr">
        <is>
          <t>d96c2829-b264-437c-b203-d4c3d0b9f66a.jpg</t>
        </is>
      </c>
      <c r="B8560">
        <f>HYPERLINK("Объекты недвижимости, не соответствующие градостроительным нормам_00-022_Август/d96c2829-b264-437c-b203-d4c3d0b9f66a.jpg","open")</f>
        <v/>
      </c>
      <c r="C8560" t="inlineStr">
        <is>
          <t>ed2bf0f1-3a66-4913-896e-4420a9796c0b</t>
        </is>
      </c>
      <c r="D8560" t="n">
        <v>55.78545</v>
      </c>
      <c r="E8560" t="n">
        <v>37.60564</v>
      </c>
      <c r="F8560" t="inlineStr"/>
      <c r="G8560" t="inlineStr"/>
      <c r="H8560" t="inlineStr"/>
    </row>
    <row r="8561">
      <c r="A8561" t="inlineStr">
        <is>
          <t>7a6551a7-677a-450f-913f-76aed1cdc167.jpg</t>
        </is>
      </c>
      <c r="B8561">
        <f>HYPERLINK("Объекты недвижимости, не соответствующие градостроительным нормам_00-022_Август/7a6551a7-677a-450f-913f-76aed1cdc167.jpg","open")</f>
        <v/>
      </c>
      <c r="C8561" t="inlineStr">
        <is>
          <t>b0b7ea82-53be-40d0-b992-e2fd18611d5c</t>
        </is>
      </c>
      <c r="D8561" t="n">
        <v>55.7007</v>
      </c>
      <c r="E8561" t="n">
        <v>37.918</v>
      </c>
      <c r="F8561" t="inlineStr"/>
      <c r="G8561" t="inlineStr"/>
      <c r="H8561" t="inlineStr"/>
    </row>
    <row r="8562">
      <c r="A8562" t="inlineStr">
        <is>
          <t>6b2d621a-76da-49da-9570-5814aa095fad.jpg</t>
        </is>
      </c>
      <c r="B8562">
        <f>HYPERLINK("Объекты недвижимости, не соответствующие градостроительным нормам_00-022_Август/6b2d621a-76da-49da-9570-5814aa095fad.jpg","open")</f>
        <v/>
      </c>
      <c r="C8562" t="inlineStr">
        <is>
          <t>12e795ad-2aa7-49de-b2da-2c6aa35a4559</t>
        </is>
      </c>
      <c r="D8562" t="n">
        <v>55.60319</v>
      </c>
      <c r="E8562" t="n">
        <v>37.53625</v>
      </c>
      <c r="F8562" t="inlineStr"/>
      <c r="G8562" t="inlineStr"/>
      <c r="H8562" t="inlineStr"/>
    </row>
    <row r="8563">
      <c r="A8563" t="inlineStr">
        <is>
          <t>78f7491f-c8e9-4627-a786-d9d7b36a4945.jpg</t>
        </is>
      </c>
      <c r="B8563">
        <f>HYPERLINK("Объекты недвижимости, не соответствующие градостроительным нормам_00-022_Август/78f7491f-c8e9-4627-a786-d9d7b36a4945.jpg","open")</f>
        <v/>
      </c>
      <c r="C8563" t="inlineStr">
        <is>
          <t>1231bbc5-e64c-4dc7-9acc-77710f47607a</t>
        </is>
      </c>
      <c r="D8563" t="n">
        <v>55.70522</v>
      </c>
      <c r="E8563" t="n">
        <v>37.58241</v>
      </c>
      <c r="F8563" t="inlineStr"/>
      <c r="G8563" t="inlineStr"/>
      <c r="H8563" t="inlineStr"/>
    </row>
    <row r="8564">
      <c r="A8564" t="inlineStr">
        <is>
          <t>85c9398c-6ee9-4a45-8fb3-686e649e60de.jpg</t>
        </is>
      </c>
      <c r="B8564">
        <f>HYPERLINK("Объекты недвижимости, не соответствующие градостроительным нормам_00-022_Август/85c9398c-6ee9-4a45-8fb3-686e649e60de.jpg","open")</f>
        <v/>
      </c>
      <c r="C8564" t="inlineStr">
        <is>
          <t>ed2bf0f1-3a66-4913-896e-4420a9796c0b</t>
        </is>
      </c>
      <c r="D8564" t="n">
        <v>55.7886</v>
      </c>
      <c r="E8564" t="n">
        <v>37.6135</v>
      </c>
      <c r="F8564" t="inlineStr"/>
      <c r="G8564" t="inlineStr"/>
      <c r="H8564" t="inlineStr"/>
    </row>
    <row r="8565">
      <c r="A8565" t="inlineStr">
        <is>
          <t>2b67cee2-10ff-438a-ae50-f275eed71e64.jpg</t>
        </is>
      </c>
      <c r="B8565">
        <f>HYPERLINK("Объекты недвижимости, не соответствующие градостроительным нормам_00-022_Август/2b67cee2-10ff-438a-ae50-f275eed71e64.jpg","open")</f>
        <v/>
      </c>
      <c r="C8565" t="inlineStr">
        <is>
          <t>12e795ad-2aa7-49de-b2da-2c6aa35a4559</t>
        </is>
      </c>
      <c r="D8565" t="n">
        <v>55.60287</v>
      </c>
      <c r="E8565" t="n">
        <v>37.53693</v>
      </c>
      <c r="F8565" t="inlineStr"/>
      <c r="G8565" t="inlineStr"/>
      <c r="H8565" t="inlineStr"/>
    </row>
    <row r="8566">
      <c r="A8566" t="inlineStr">
        <is>
          <t>c023ef6c-709d-4fc3-9881-3533b461d810.jpg</t>
        </is>
      </c>
      <c r="B8566">
        <f>HYPERLINK("Объекты недвижимости, не соответствующие градостроительным нормам_00-022_Август/c023ef6c-709d-4fc3-9881-3533b461d810.jpg","open")</f>
        <v/>
      </c>
      <c r="C8566" t="inlineStr">
        <is>
          <t>685d9054-b74f-49ab-857b-109fd2cec80d</t>
        </is>
      </c>
      <c r="D8566" t="n">
        <v>55.69134</v>
      </c>
      <c r="E8566" t="n">
        <v>37.57515</v>
      </c>
      <c r="F8566" t="inlineStr"/>
      <c r="G8566" t="inlineStr"/>
      <c r="H8566" t="inlineStr"/>
    </row>
    <row r="8567">
      <c r="A8567" t="inlineStr">
        <is>
          <t>dff734cf-d960-4d39-b673-f2a95a4c3515.jpg</t>
        </is>
      </c>
      <c r="B8567">
        <f>HYPERLINK("Объекты недвижимости, не соответствующие градостроительным нормам_00-022_Август/dff734cf-d960-4d39-b673-f2a95a4c3515.jpg","open")</f>
        <v/>
      </c>
      <c r="C8567" t="inlineStr">
        <is>
          <t>1a55986c-2c3f-40c0-b3d1-014dce77832e</t>
        </is>
      </c>
      <c r="D8567" t="n">
        <v>55.78193</v>
      </c>
      <c r="E8567" t="n">
        <v>37.61483</v>
      </c>
      <c r="F8567" t="inlineStr"/>
      <c r="G8567" t="inlineStr"/>
      <c r="H8567" t="inlineStr"/>
    </row>
    <row r="8568">
      <c r="A8568" t="inlineStr">
        <is>
          <t>a512cda3-57a5-4146-ac36-d565392f8c41.jpg</t>
        </is>
      </c>
      <c r="B8568">
        <f>HYPERLINK("Объекты недвижимости, не соответствующие градостроительным нормам_00-022_Август/a512cda3-57a5-4146-ac36-d565392f8c41.jpg","open")</f>
        <v/>
      </c>
      <c r="C8568" t="inlineStr">
        <is>
          <t>8cde1fd0-eca1-4510-86ab-3c743b65fdfc</t>
        </is>
      </c>
      <c r="D8568" t="n">
        <v>55.81205</v>
      </c>
      <c r="E8568" t="n">
        <v>37.7321</v>
      </c>
      <c r="F8568" t="inlineStr"/>
      <c r="G8568" t="inlineStr"/>
      <c r="H8568" t="inlineStr"/>
    </row>
    <row r="8569">
      <c r="A8569" t="inlineStr">
        <is>
          <t>9022c85d-b17c-498b-99bf-f4121f46ef6a.jpg</t>
        </is>
      </c>
      <c r="B8569">
        <f>HYPERLINK("Объекты недвижимости, не соответствующие градостроительным нормам_00-022_Август/9022c85d-b17c-498b-99bf-f4121f46ef6a.jpg","open")</f>
        <v/>
      </c>
      <c r="C8569" t="inlineStr">
        <is>
          <t>1a55986c-2c3f-40c0-b3d1-014dce77832e</t>
        </is>
      </c>
      <c r="D8569" t="n">
        <v>55.78318</v>
      </c>
      <c r="E8569" t="n">
        <v>37.61068</v>
      </c>
      <c r="F8569" t="inlineStr"/>
      <c r="G8569" t="inlineStr"/>
      <c r="H8569" t="inlineStr"/>
    </row>
    <row r="8570">
      <c r="A8570" t="inlineStr">
        <is>
          <t>25ca38bc-bf5c-4773-9642-fa00b6910ed1.jpg</t>
        </is>
      </c>
      <c r="B8570">
        <f>HYPERLINK("Объекты недвижимости, не соответствующие градостроительным нормам_00-022_Август/25ca38bc-bf5c-4773-9642-fa00b6910ed1.jpg","open")</f>
        <v/>
      </c>
      <c r="C8570" t="inlineStr">
        <is>
          <t>ed2bf0f1-3a66-4913-896e-4420a9796c0b</t>
        </is>
      </c>
      <c r="D8570" t="n">
        <v>55.7844</v>
      </c>
      <c r="E8570" t="n">
        <v>37.60706</v>
      </c>
      <c r="F8570" t="inlineStr"/>
      <c r="G8570" t="inlineStr"/>
      <c r="H8570" t="inlineStr"/>
    </row>
    <row r="8571">
      <c r="A8571" t="inlineStr">
        <is>
          <t>dab76757-8b45-4192-855c-5b98e73dd25f.jpg</t>
        </is>
      </c>
      <c r="B8571">
        <f>HYPERLINK("Объекты недвижимости, не соответствующие градостроительным нормам_00-022_Август/dab76757-8b45-4192-855c-5b98e73dd25f.jpg","open")</f>
        <v/>
      </c>
      <c r="C8571" t="inlineStr">
        <is>
          <t>fb40ed24-21ef-458a-a239-038ab19932cc</t>
        </is>
      </c>
      <c r="D8571" t="n">
        <v>55.81592</v>
      </c>
      <c r="E8571" t="n">
        <v>37.73135</v>
      </c>
      <c r="F8571" t="inlineStr"/>
      <c r="G8571" t="inlineStr"/>
      <c r="H8571" t="inlineStr"/>
    </row>
    <row r="8572">
      <c r="A8572" t="inlineStr">
        <is>
          <t>b47d4ad3-1ed4-416f-baa5-25f48f974d7a.jpg</t>
        </is>
      </c>
      <c r="B8572">
        <f>HYPERLINK("Объекты недвижимости, не соответствующие градостроительным нормам_00-022_Август/b47d4ad3-1ed4-416f-baa5-25f48f974d7a.jpg","open")</f>
        <v/>
      </c>
      <c r="C8572" t="inlineStr">
        <is>
          <t>789f6c51-64ee-4078-b7bd-443af8b8b68a</t>
        </is>
      </c>
      <c r="D8572" t="n">
        <v>55.86925</v>
      </c>
      <c r="E8572" t="n">
        <v>37.65792</v>
      </c>
      <c r="F8572" t="inlineStr"/>
      <c r="G8572" t="inlineStr"/>
      <c r="H8572" t="inlineStr"/>
    </row>
    <row r="8573">
      <c r="A8573" t="inlineStr">
        <is>
          <t>45d31ffa-ff82-47bf-b159-126109999c39.jpg</t>
        </is>
      </c>
      <c r="B8573">
        <f>HYPERLINK("Объекты недвижимости, не соответствующие градостроительным нормам_00-022_Август/45d31ffa-ff82-47bf-b159-126109999c39.jpg","open")</f>
        <v/>
      </c>
      <c r="C8573" t="inlineStr">
        <is>
          <t>8cde1fd0-eca1-4510-86ab-3c743b65fdfc</t>
        </is>
      </c>
      <c r="D8573" t="n">
        <v>55.00978</v>
      </c>
      <c r="E8573" t="n">
        <v>82.65118</v>
      </c>
      <c r="F8573" t="inlineStr"/>
      <c r="G8573" t="inlineStr"/>
      <c r="H8573" t="inlineStr"/>
    </row>
    <row r="8574">
      <c r="A8574" t="inlineStr">
        <is>
          <t>4f29a915-b194-4f89-8801-3eef51fa8702.jpg</t>
        </is>
      </c>
      <c r="B8574">
        <f>HYPERLINK("Объекты недвижимости, не соответствующие градостроительным нормам_00-022_Август/4f29a915-b194-4f89-8801-3eef51fa8702.jpg","open")</f>
        <v/>
      </c>
      <c r="C8574" t="inlineStr">
        <is>
          <t>1c951e11-4940-43c6-a447-394097e5609a</t>
        </is>
      </c>
      <c r="D8574" t="n">
        <v>55.00978</v>
      </c>
      <c r="E8574" t="n">
        <v>82.65118</v>
      </c>
      <c r="F8574" t="inlineStr"/>
      <c r="G8574" t="inlineStr"/>
      <c r="H8574" t="inlineStr"/>
    </row>
    <row r="8575">
      <c r="A8575" t="inlineStr">
        <is>
          <t>deeba301-e6c6-40eb-9d89-fe893825362b.jpg</t>
        </is>
      </c>
      <c r="B8575">
        <f>HYPERLINK("Объекты недвижимости, не соответствующие градостроительным нормам_00-022_Август/deeba301-e6c6-40eb-9d89-fe893825362b.jpg","open")</f>
        <v/>
      </c>
      <c r="C8575" t="inlineStr">
        <is>
          <t>ad64e6b9-1ed5-44d7-a101-4945a1f9dec6</t>
        </is>
      </c>
      <c r="D8575" t="n">
        <v>55.60184</v>
      </c>
      <c r="E8575" t="n">
        <v>37.53403</v>
      </c>
      <c r="F8575" t="inlineStr"/>
      <c r="G8575" t="inlineStr"/>
      <c r="H8575" t="inlineStr"/>
    </row>
    <row r="8576">
      <c r="A8576" t="inlineStr">
        <is>
          <t>8cba95a3-998c-415f-9ea4-bf27d792d5bf.jpg</t>
        </is>
      </c>
      <c r="B8576">
        <f>HYPERLINK("Объекты недвижимости, не соответствующие градостроительным нормам_00-022_Август/8cba95a3-998c-415f-9ea4-bf27d792d5bf.jpg","open")</f>
        <v/>
      </c>
      <c r="C8576" t="inlineStr">
        <is>
          <t>8996eb30-6497-4318-8a0e-b95314b8172e</t>
        </is>
      </c>
      <c r="D8576" t="n">
        <v>55.73863</v>
      </c>
      <c r="E8576" t="n">
        <v>37.39294</v>
      </c>
      <c r="F8576" t="inlineStr"/>
      <c r="G8576" t="inlineStr"/>
      <c r="H8576" t="inlineStr"/>
    </row>
    <row r="8577">
      <c r="A8577" t="inlineStr">
        <is>
          <t>046e0dee-5c09-4dd1-beb9-330e66a1a928.jpg</t>
        </is>
      </c>
      <c r="B8577">
        <f>HYPERLINK("Объекты недвижимости, не соответствующие градостроительным нормам_00-022_Август/046e0dee-5c09-4dd1-beb9-330e66a1a928.jpg","open")</f>
        <v/>
      </c>
      <c r="C8577" t="inlineStr">
        <is>
          <t>8996eb30-6497-4318-8a0e-b95314b8172e</t>
        </is>
      </c>
      <c r="D8577" t="n">
        <v>55.73642</v>
      </c>
      <c r="E8577" t="n">
        <v>37.40116</v>
      </c>
      <c r="F8577" t="inlineStr"/>
      <c r="G8577" t="inlineStr"/>
      <c r="H8577" t="inlineStr"/>
    </row>
    <row r="8578">
      <c r="A8578" t="inlineStr">
        <is>
          <t>fbd944fa-49d7-4390-9b59-00e94e655feb.jpg</t>
        </is>
      </c>
      <c r="B8578">
        <f>HYPERLINK("Объекты недвижимости, не соответствующие градостроительным нормам_00-022_Август/fbd944fa-49d7-4390-9b59-00e94e655feb.jpg","open")</f>
        <v/>
      </c>
      <c r="C8578" t="inlineStr">
        <is>
          <t>91248771-2c4d-44f3-b3cf-d536bd4ae73c</t>
        </is>
      </c>
      <c r="D8578" t="n">
        <v>55.7614</v>
      </c>
      <c r="E8578" t="n">
        <v>37.71922</v>
      </c>
      <c r="F8578" t="inlineStr"/>
      <c r="G8578" t="inlineStr"/>
      <c r="H8578" t="inlineStr"/>
    </row>
    <row r="8579">
      <c r="A8579" t="inlineStr">
        <is>
          <t>23a5a387-8945-4a14-81f1-80e4fb880f44.jpg</t>
        </is>
      </c>
      <c r="B8579">
        <f>HYPERLINK("Объекты недвижимости, не соответствующие градостроительным нормам_00-022_Август/23a5a387-8945-4a14-81f1-80e4fb880f44.jpg","open")</f>
        <v/>
      </c>
      <c r="C8579" t="inlineStr">
        <is>
          <t>7b951050-981e-4ccd-816e-e002f271ab6a</t>
        </is>
      </c>
      <c r="D8579" t="n">
        <v>55.79019</v>
      </c>
      <c r="E8579" t="n">
        <v>37.71029</v>
      </c>
      <c r="F8579" t="inlineStr"/>
      <c r="G8579" t="inlineStr"/>
      <c r="H8579" t="inlineStr"/>
    </row>
    <row r="8580">
      <c r="A8580" t="inlineStr">
        <is>
          <t>02efc0b9-a8d1-413b-b805-75de90d273b0.jpg</t>
        </is>
      </c>
      <c r="B8580">
        <f>HYPERLINK("Объекты недвижимости, не соответствующие градостроительным нормам_00-022_Август/02efc0b9-a8d1-413b-b805-75de90d273b0.jpg","open")</f>
        <v/>
      </c>
      <c r="C8580" t="inlineStr">
        <is>
          <t>7b951050-981e-4ccd-816e-e002f271ab6a</t>
        </is>
      </c>
      <c r="D8580" t="n">
        <v>55.78934</v>
      </c>
      <c r="E8580" t="n">
        <v>37.71481</v>
      </c>
      <c r="F8580" t="inlineStr"/>
      <c r="G8580" t="inlineStr"/>
      <c r="H8580" t="inlineStr"/>
    </row>
    <row r="8581">
      <c r="A8581" t="inlineStr">
        <is>
          <t>b3c2ce70-1062-4632-a5c7-005c7c48bdcd.jpg</t>
        </is>
      </c>
      <c r="B8581">
        <f>HYPERLINK("Объекты недвижимости, не соответствующие градостроительным нормам_00-022_Август/b3c2ce70-1062-4632-a5c7-005c7c48bdcd.jpg","open")</f>
        <v/>
      </c>
      <c r="C8581" t="inlineStr">
        <is>
          <t>ffd931da-542f-43e9-979f-5552b17fe3dc</t>
        </is>
      </c>
      <c r="D8581" t="n">
        <v>55.75992</v>
      </c>
      <c r="E8581" t="n">
        <v>37.73267</v>
      </c>
      <c r="F8581" t="inlineStr"/>
      <c r="G8581" t="inlineStr"/>
      <c r="H8581" t="inlineStr"/>
    </row>
    <row r="8582">
      <c r="A8582" t="inlineStr">
        <is>
          <t>5b3235b5-2102-40ea-8697-6b764dc7e297.jpg</t>
        </is>
      </c>
      <c r="B8582">
        <f>HYPERLINK("Объекты недвижимости, не соответствующие градостроительным нормам_00-022_Август/5b3235b5-2102-40ea-8697-6b764dc7e297.jpg","open")</f>
        <v/>
      </c>
      <c r="C8582" t="inlineStr">
        <is>
          <t>8996eb30-6497-4318-8a0e-b95314b8172e</t>
        </is>
      </c>
      <c r="D8582" t="n">
        <v>55.74157</v>
      </c>
      <c r="E8582" t="n">
        <v>37.40173</v>
      </c>
      <c r="F8582" t="inlineStr"/>
      <c r="G8582" t="inlineStr"/>
      <c r="H8582" t="inlineStr"/>
    </row>
    <row r="8583">
      <c r="A8583" t="inlineStr">
        <is>
          <t>96ec8b61-2733-4978-9536-4c34f535c761.jpg</t>
        </is>
      </c>
      <c r="B8583">
        <f>HYPERLINK("Объекты недвижимости, не соответствующие градостроительным нормам_00-022_Август/96ec8b61-2733-4978-9536-4c34f535c761.jpg","open")</f>
        <v/>
      </c>
      <c r="C8583" t="inlineStr">
        <is>
          <t>1c951e11-4940-43c6-a447-394097e5609a</t>
        </is>
      </c>
      <c r="D8583" t="n">
        <v>55.82373</v>
      </c>
      <c r="E8583" t="n">
        <v>37.70589</v>
      </c>
      <c r="F8583" t="inlineStr"/>
      <c r="G8583" t="inlineStr"/>
      <c r="H8583" t="inlineStr"/>
    </row>
    <row r="8584">
      <c r="A8584" t="inlineStr">
        <is>
          <t>6ad361f2-a58b-465e-8686-539211f20517.jpg</t>
        </is>
      </c>
      <c r="B8584">
        <f>HYPERLINK("Объекты недвижимости, не соответствующие градостроительным нормам_00-022_Август/6ad361f2-a58b-465e-8686-539211f20517.jpg","open")</f>
        <v/>
      </c>
      <c r="C8584" t="inlineStr">
        <is>
          <t>b23a39fd-838c-435a-bacd-b4d6bb842c62</t>
        </is>
      </c>
      <c r="D8584" t="n">
        <v>55.67159</v>
      </c>
      <c r="E8584" t="n">
        <v>37.63165</v>
      </c>
      <c r="F8584" t="inlineStr"/>
      <c r="G8584" t="inlineStr"/>
      <c r="H8584" t="inlineStr"/>
    </row>
    <row r="8585">
      <c r="A8585" t="inlineStr">
        <is>
          <t>2407d835-50f9-4e6c-b858-43a7998ee1c5.jpg</t>
        </is>
      </c>
      <c r="B8585">
        <f>HYPERLINK("Объекты недвижимости, не соответствующие градостроительным нормам_00-022_Август/2407d835-50f9-4e6c-b858-43a7998ee1c5.jpg","open")</f>
        <v/>
      </c>
      <c r="C8585" t="inlineStr">
        <is>
          <t>b0b7ea82-53be-40d0-b992-e2fd18611d5c</t>
        </is>
      </c>
      <c r="D8585" t="n">
        <v>55.70497</v>
      </c>
      <c r="E8585" t="n">
        <v>37.9166</v>
      </c>
      <c r="F8585" t="inlineStr"/>
      <c r="G8585" t="inlineStr"/>
      <c r="H8585" t="inlineStr"/>
    </row>
    <row r="8586">
      <c r="A8586" t="inlineStr">
        <is>
          <t>b501cc74-e4b5-4e0a-971c-e7c375c44ae6.jpg</t>
        </is>
      </c>
      <c r="B8586">
        <f>HYPERLINK("Объекты недвижимости, не соответствующие градостроительным нормам_00-022_Август/b501cc74-e4b5-4e0a-971c-e7c375c44ae6.jpg","open")</f>
        <v/>
      </c>
      <c r="C8586" t="inlineStr">
        <is>
          <t>9fb3d110-951f-48da-9d90-cfd7e1b5800d</t>
        </is>
      </c>
      <c r="D8586" t="n">
        <v>55.74268</v>
      </c>
      <c r="E8586" t="n">
        <v>37.49416</v>
      </c>
      <c r="F8586" t="inlineStr"/>
      <c r="G8586" t="inlineStr"/>
      <c r="H8586" t="inlineStr"/>
    </row>
    <row r="8587">
      <c r="A8587" t="inlineStr">
        <is>
          <t>97dae0ab-5227-4cd2-819f-0f0ec7b1f15d.jpg</t>
        </is>
      </c>
      <c r="B8587">
        <f>HYPERLINK("Объекты недвижимости, не соответствующие градостроительным нормам_00-022_Август/97dae0ab-5227-4cd2-819f-0f0ec7b1f15d.jpg","open")</f>
        <v/>
      </c>
      <c r="C8587" t="inlineStr">
        <is>
          <t>fb9a37cc-57a6-447c-98bb-0b299f09c809</t>
        </is>
      </c>
      <c r="D8587" t="n">
        <v>55.6764</v>
      </c>
      <c r="E8587" t="n">
        <v>37.64257</v>
      </c>
      <c r="F8587" t="inlineStr"/>
      <c r="G8587" t="inlineStr"/>
      <c r="H8587" t="inlineStr"/>
    </row>
    <row r="8588">
      <c r="A8588" t="inlineStr">
        <is>
          <t>9cb6b6bb-2dfd-4cb9-a479-e1a0b6802c07.jpg</t>
        </is>
      </c>
      <c r="B8588">
        <f>HYPERLINK("Объекты недвижимости, не соответствующие градостроительным нормам_00-022_Август/9cb6b6bb-2dfd-4cb9-a479-e1a0b6802c07.jpg","open")</f>
        <v/>
      </c>
      <c r="C8588" t="inlineStr">
        <is>
          <t>f20fbc2b-b369-4734-bb66-92af02fbb0d1</t>
        </is>
      </c>
      <c r="D8588" t="n">
        <v>55.70565</v>
      </c>
      <c r="E8588" t="n">
        <v>37.91736</v>
      </c>
      <c r="F8588" t="inlineStr"/>
      <c r="G8588" t="inlineStr"/>
      <c r="H8588" t="inlineStr"/>
    </row>
    <row r="8589">
      <c r="A8589" t="inlineStr">
        <is>
          <t>99098f4c-e476-4e05-972f-aa607492fe49.jpg</t>
        </is>
      </c>
      <c r="B8589">
        <f>HYPERLINK("Объекты недвижимости, не соответствующие градостроительным нормам_00-022_Август/99098f4c-e476-4e05-972f-aa607492fe49.jpg","open")</f>
        <v/>
      </c>
      <c r="C8589" t="inlineStr">
        <is>
          <t>b0b7ea82-53be-40d0-b992-e2fd18611d5c</t>
        </is>
      </c>
      <c r="D8589" t="n">
        <v>55.70599</v>
      </c>
      <c r="E8589" t="n">
        <v>37.91806</v>
      </c>
      <c r="F8589" t="inlineStr"/>
      <c r="G8589" t="inlineStr"/>
      <c r="H8589" t="inlineStr"/>
    </row>
    <row r="8590">
      <c r="A8590" t="inlineStr">
        <is>
          <t>31c1b994-2f57-49e2-92f3-f56c8e5019b8.jpg</t>
        </is>
      </c>
      <c r="B8590">
        <f>HYPERLINK("Объекты недвижимости, не соответствующие градостроительным нормам_00-022_Август/31c1b994-2f57-49e2-92f3-f56c8e5019b8.jpg","open")</f>
        <v/>
      </c>
      <c r="C8590" t="inlineStr">
        <is>
          <t>57aae8a4-582b-4309-8045-c8127a9f86ae</t>
        </is>
      </c>
      <c r="D8590" t="n">
        <v>55.75032</v>
      </c>
      <c r="E8590" t="n">
        <v>37.66901</v>
      </c>
      <c r="F8590" t="inlineStr"/>
      <c r="G8590" t="inlineStr"/>
      <c r="H8590" t="inlineStr"/>
    </row>
    <row r="8591">
      <c r="A8591" t="inlineStr">
        <is>
          <t>a5ebd05a-7800-442f-9b0d-f27fc07ad7ad.jpg</t>
        </is>
      </c>
      <c r="B8591">
        <f>HYPERLINK("Объекты недвижимости, не соответствующие градостроительным нормам_00-022_Август/a5ebd05a-7800-442f-9b0d-f27fc07ad7ad.jpg","open")</f>
        <v/>
      </c>
      <c r="C8591" t="inlineStr">
        <is>
          <t>1a55986c-2c3f-40c0-b3d1-014dce77832e</t>
        </is>
      </c>
      <c r="D8591" t="n">
        <v>55.79096</v>
      </c>
      <c r="E8591" t="n">
        <v>37.59011</v>
      </c>
      <c r="F8591" t="inlineStr"/>
      <c r="G8591" t="inlineStr"/>
      <c r="H8591" t="inlineStr"/>
    </row>
    <row r="8592">
      <c r="A8592" t="inlineStr">
        <is>
          <t>25b2306c-b59d-4fe9-bec0-5b6a02d642f6.jpg</t>
        </is>
      </c>
      <c r="B8592">
        <f>HYPERLINK("Объекты недвижимости, не соответствующие градостроительным нормам_00-022_Август/25b2306c-b59d-4fe9-bec0-5b6a02d642f6.jpg","open")</f>
        <v/>
      </c>
      <c r="C8592" t="inlineStr">
        <is>
          <t>1c951e11-4940-43c6-a447-394097e5609a</t>
        </is>
      </c>
      <c r="D8592" t="n">
        <v>55.82483</v>
      </c>
      <c r="E8592" t="n">
        <v>37.70662</v>
      </c>
      <c r="F8592" t="inlineStr"/>
      <c r="G8592" t="inlineStr"/>
      <c r="H8592" t="inlineStr"/>
    </row>
    <row r="8593">
      <c r="A8593" t="inlineStr">
        <is>
          <t>47d1a3f7-4138-44be-980a-e0c573a8a720.jpg</t>
        </is>
      </c>
      <c r="B8593">
        <f>HYPERLINK("Объекты недвижимости, не соответствующие градостроительным нормам_00-022_Август/47d1a3f7-4138-44be-980a-e0c573a8a720.jpg","open")</f>
        <v/>
      </c>
      <c r="C8593" t="inlineStr">
        <is>
          <t>b0b7ea82-53be-40d0-b992-e2fd18611d5c</t>
        </is>
      </c>
      <c r="D8593" t="n">
        <v>55.70774</v>
      </c>
      <c r="E8593" t="n">
        <v>37.91701</v>
      </c>
      <c r="F8593" t="inlineStr"/>
      <c r="G8593" t="inlineStr"/>
      <c r="H8593" t="inlineStr"/>
    </row>
    <row r="8594">
      <c r="A8594" t="inlineStr">
        <is>
          <t>86411b04-7f99-43b8-947e-ecfeea72a4a5.jpg</t>
        </is>
      </c>
      <c r="B8594">
        <f>HYPERLINK("Объекты недвижимости, не соответствующие градостроительным нормам_00-022_Август/86411b04-7f99-43b8-947e-ecfeea72a4a5.jpg","open")</f>
        <v/>
      </c>
      <c r="C8594" t="inlineStr">
        <is>
          <t>cbf95b01-f708-45a3-9ec0-3603469b538e</t>
        </is>
      </c>
      <c r="D8594" t="n">
        <v>55.72625</v>
      </c>
      <c r="E8594" t="n">
        <v>37.51072</v>
      </c>
      <c r="F8594" t="inlineStr"/>
      <c r="G8594" t="inlineStr"/>
      <c r="H8594" t="inlineStr"/>
    </row>
    <row r="8595">
      <c r="A8595" t="inlineStr">
        <is>
          <t>f739d5e3-3fbd-49e2-9559-e6eb20ce4230.jpg</t>
        </is>
      </c>
      <c r="B8595">
        <f>HYPERLINK("Объекты недвижимости, не соответствующие градостроительным нормам_00-022_Август/f739d5e3-3fbd-49e2-9559-e6eb20ce4230.jpg","open")</f>
        <v/>
      </c>
      <c r="C8595" t="inlineStr">
        <is>
          <t>61936922-4d4b-458e-80ea-6d4c450aa1d5</t>
        </is>
      </c>
      <c r="D8595" t="n">
        <v>55.73886</v>
      </c>
      <c r="E8595" t="n">
        <v>37.48794</v>
      </c>
      <c r="F8595" t="inlineStr"/>
      <c r="G8595" t="inlineStr"/>
      <c r="H8595" t="inlineStr"/>
    </row>
    <row r="8596">
      <c r="A8596" t="inlineStr">
        <is>
          <t>07728153-3650-4196-bfc8-cee7c5a79675.jpg</t>
        </is>
      </c>
      <c r="B8596">
        <f>HYPERLINK("Объекты недвижимости, не соответствующие градостроительным нормам_00-022_Август/07728153-3650-4196-bfc8-cee7c5a79675.jpg","open")</f>
        <v/>
      </c>
      <c r="C8596" t="inlineStr">
        <is>
          <t>9fb3d110-951f-48da-9d90-cfd7e1b5800d</t>
        </is>
      </c>
      <c r="D8596" t="n">
        <v>55.73899</v>
      </c>
      <c r="E8596" t="n">
        <v>37.48793</v>
      </c>
      <c r="F8596" t="inlineStr"/>
      <c r="G8596" t="inlineStr"/>
      <c r="H8596" t="inlineStr"/>
    </row>
    <row r="8597">
      <c r="A8597" t="inlineStr">
        <is>
          <t>b59a82fd-461a-465a-a4f3-293d0b73b5f2.jpg</t>
        </is>
      </c>
      <c r="B8597">
        <f>HYPERLINK("Объекты недвижимости, не соответствующие градостроительным нормам_00-022_Август/b59a82fd-461a-465a-a4f3-293d0b73b5f2.jpg","open")</f>
        <v/>
      </c>
      <c r="C8597" t="inlineStr">
        <is>
          <t>f60286ac-55e7-4099-85bd-cc599a7a0c65</t>
        </is>
      </c>
      <c r="D8597" t="n">
        <v>55.75992</v>
      </c>
      <c r="E8597" t="n">
        <v>37.73267</v>
      </c>
      <c r="F8597" t="inlineStr"/>
      <c r="G8597" t="inlineStr"/>
      <c r="H8597" t="inlineStr"/>
    </row>
    <row r="8598">
      <c r="A8598" t="inlineStr">
        <is>
          <t>10c44d84-16ab-460e-9758-f56826fb05ca.jpg</t>
        </is>
      </c>
      <c r="B8598">
        <f>HYPERLINK("Объекты недвижимости, не соответствующие градостроительным нормам_00-022_Август/10c44d84-16ab-460e-9758-f56826fb05ca.jpg","open")</f>
        <v/>
      </c>
      <c r="C8598" t="inlineStr">
        <is>
          <t>caa4772d-6278-4484-a046-ee25514bf521</t>
        </is>
      </c>
      <c r="D8598" t="n">
        <v>55.79831</v>
      </c>
      <c r="E8598" t="n">
        <v>37.53579</v>
      </c>
      <c r="F8598" t="inlineStr"/>
      <c r="G8598" t="inlineStr"/>
      <c r="H8598" t="inlineStr"/>
    </row>
    <row r="8599">
      <c r="A8599" t="inlineStr">
        <is>
          <t>29b32530-bede-40ab-9ee4-ef23f07a8af7.jpg</t>
        </is>
      </c>
      <c r="B8599">
        <f>HYPERLINK("Объекты недвижимости, не соответствующие градостроительным нормам_00-022_Август/29b32530-bede-40ab-9ee4-ef23f07a8af7.jpg","open")</f>
        <v/>
      </c>
      <c r="C8599" t="inlineStr">
        <is>
          <t>f60286ac-55e7-4099-85bd-cc599a7a0c65</t>
        </is>
      </c>
      <c r="D8599" t="n">
        <v>55.75992</v>
      </c>
      <c r="E8599" t="n">
        <v>37.73267</v>
      </c>
      <c r="F8599" t="inlineStr"/>
      <c r="G8599" t="inlineStr"/>
      <c r="H8599" t="inlineStr"/>
    </row>
    <row r="8600">
      <c r="A8600" t="inlineStr">
        <is>
          <t>1b09841c-6837-4c54-8a83-c2cd5e03c828.jpg</t>
        </is>
      </c>
      <c r="B8600">
        <f>HYPERLINK("Объекты недвижимости, не соответствующие градостроительным нормам_00-022_Август/1b09841c-6837-4c54-8a83-c2cd5e03c828.jpg","open")</f>
        <v/>
      </c>
      <c r="C8600" t="inlineStr">
        <is>
          <t>ffd931da-542f-43e9-979f-5552b17fe3dc</t>
        </is>
      </c>
      <c r="D8600" t="n">
        <v>55.75992</v>
      </c>
      <c r="E8600" t="n">
        <v>37.73267</v>
      </c>
      <c r="F8600" t="inlineStr"/>
      <c r="G8600" t="inlineStr"/>
      <c r="H8600" t="inlineStr"/>
    </row>
    <row r="8601">
      <c r="A8601" t="inlineStr">
        <is>
          <t>e6be1eac-5801-4e21-92cc-043b2724befa.jpg</t>
        </is>
      </c>
      <c r="B8601">
        <f>HYPERLINK("Объекты недвижимости, не соответствующие градостроительным нормам_00-022_Август/e6be1eac-5801-4e21-92cc-043b2724befa.jpg","open")</f>
        <v/>
      </c>
      <c r="C8601" t="inlineStr">
        <is>
          <t>f60286ac-55e7-4099-85bd-cc599a7a0c65</t>
        </is>
      </c>
      <c r="D8601" t="n">
        <v>55.75992</v>
      </c>
      <c r="E8601" t="n">
        <v>37.73267</v>
      </c>
      <c r="F8601" t="inlineStr"/>
      <c r="G8601" t="inlineStr"/>
      <c r="H8601" t="inlineStr"/>
    </row>
    <row r="8602">
      <c r="A8602" t="inlineStr">
        <is>
          <t>c3b6404e-1ec7-4945-86d0-9eb71bf4273d.jpg</t>
        </is>
      </c>
      <c r="B8602">
        <f>HYPERLINK("Объекты недвижимости, не соответствующие градостроительным нормам_00-022_Август/c3b6404e-1ec7-4945-86d0-9eb71bf4273d.jpg","open")</f>
        <v/>
      </c>
      <c r="C8602" t="inlineStr">
        <is>
          <t>ed2bf0f1-3a66-4913-896e-4420a9796c0b</t>
        </is>
      </c>
      <c r="D8602" t="n">
        <v>55.79241</v>
      </c>
      <c r="E8602" t="n">
        <v>37.59012</v>
      </c>
      <c r="F8602" t="inlineStr"/>
      <c r="G8602" t="inlineStr"/>
      <c r="H8602" t="inlineStr"/>
    </row>
    <row r="8603">
      <c r="A8603" t="inlineStr">
        <is>
          <t>f8496f97-1fa8-49d6-87d9-0aa10c9eb4fa.jpg</t>
        </is>
      </c>
      <c r="B8603">
        <f>HYPERLINK("Объекты недвижимости, не соответствующие градостроительным нормам_00-022_Август/f8496f97-1fa8-49d6-87d9-0aa10c9eb4fa.jpg","open")</f>
        <v/>
      </c>
      <c r="C8603" t="inlineStr">
        <is>
          <t>ed2bf0f1-3a66-4913-896e-4420a9796c0b</t>
        </is>
      </c>
      <c r="D8603" t="n">
        <v>55.79072</v>
      </c>
      <c r="E8603" t="n">
        <v>37.58931</v>
      </c>
      <c r="F8603" t="inlineStr"/>
      <c r="G8603" t="inlineStr"/>
      <c r="H8603" t="inlineStr"/>
    </row>
    <row r="8604">
      <c r="A8604" t="inlineStr">
        <is>
          <t>2472ab83-a36b-49f2-89ef-031c8f8513d0.jpg</t>
        </is>
      </c>
      <c r="B8604">
        <f>HYPERLINK("Объекты недвижимости, не соответствующие градостроительным нормам_00-022_Август/2472ab83-a36b-49f2-89ef-031c8f8513d0.jpg","open")</f>
        <v/>
      </c>
      <c r="C8604" t="inlineStr">
        <is>
          <t>8cde1fd0-eca1-4510-86ab-3c743b65fdfc</t>
        </is>
      </c>
      <c r="D8604" t="n">
        <v>55.81342</v>
      </c>
      <c r="E8604" t="n">
        <v>37.69616</v>
      </c>
      <c r="F8604" t="inlineStr"/>
      <c r="G8604" t="inlineStr"/>
      <c r="H8604" t="inlineStr"/>
    </row>
    <row r="8605">
      <c r="A8605" t="inlineStr">
        <is>
          <t>2e3f54fd-9c5a-41d6-a42c-536fdcb6afec.jpg</t>
        </is>
      </c>
      <c r="B8605">
        <f>HYPERLINK("Объекты недвижимости, не соответствующие градостроительным нормам_00-022_Август/2e3f54fd-9c5a-41d6-a42c-536fdcb6afec.jpg","open")</f>
        <v/>
      </c>
      <c r="C8605" t="inlineStr">
        <is>
          <t>f60286ac-55e7-4099-85bd-cc599a7a0c65</t>
        </is>
      </c>
      <c r="D8605" t="n">
        <v>55.75992</v>
      </c>
      <c r="E8605" t="n">
        <v>37.73267</v>
      </c>
      <c r="F8605" t="inlineStr"/>
      <c r="G8605" t="inlineStr"/>
      <c r="H8605" t="inlineStr"/>
    </row>
    <row r="8606">
      <c r="A8606" t="inlineStr">
        <is>
          <t>65bf3466-71ea-46fc-81cf-67e3a2a1f457.jpg</t>
        </is>
      </c>
      <c r="B8606">
        <f>HYPERLINK("Объекты недвижимости, не соответствующие градостроительным нормам_00-022_Август/65bf3466-71ea-46fc-81cf-67e3a2a1f457.jpg","open")</f>
        <v/>
      </c>
      <c r="C8606" t="inlineStr">
        <is>
          <t>ffd931da-542f-43e9-979f-5552b17fe3dc</t>
        </is>
      </c>
      <c r="D8606" t="n">
        <v>55.75992</v>
      </c>
      <c r="E8606" t="n">
        <v>37.73267</v>
      </c>
      <c r="F8606" t="inlineStr"/>
      <c r="G8606" t="inlineStr"/>
      <c r="H8606" t="inlineStr"/>
    </row>
    <row r="8607">
      <c r="A8607" t="inlineStr">
        <is>
          <t>232890a6-828a-4e38-b76a-c54e28b5f47e.jpg</t>
        </is>
      </c>
      <c r="B8607">
        <f>HYPERLINK("Объекты недвижимости, не соответствующие градостроительным нормам_00-022_Август/232890a6-828a-4e38-b76a-c54e28b5f47e.jpg","open")</f>
        <v/>
      </c>
      <c r="C8607" t="inlineStr">
        <is>
          <t>8cde1fd0-eca1-4510-86ab-3c743b65fdfc</t>
        </is>
      </c>
      <c r="D8607" t="n">
        <v>55.7981</v>
      </c>
      <c r="E8607" t="n">
        <v>37.69975</v>
      </c>
      <c r="F8607" t="inlineStr"/>
      <c r="G8607" t="inlineStr"/>
      <c r="H8607" t="inlineStr"/>
    </row>
    <row r="8608">
      <c r="A8608" t="inlineStr">
        <is>
          <t>f5fcaf59-6cd8-4563-a05d-d1130d331583.jpg</t>
        </is>
      </c>
      <c r="B8608">
        <f>HYPERLINK("Объекты недвижимости, не соответствующие градостроительным нормам_00-022_Август/f5fcaf59-6cd8-4563-a05d-d1130d331583.jpg","open")</f>
        <v/>
      </c>
      <c r="C8608" t="inlineStr">
        <is>
          <t>61936922-4d4b-458e-80ea-6d4c450aa1d5</t>
        </is>
      </c>
      <c r="D8608" t="n">
        <v>55.73989</v>
      </c>
      <c r="E8608" t="n">
        <v>37.4922</v>
      </c>
      <c r="F8608" t="inlineStr"/>
      <c r="G8608" t="inlineStr"/>
      <c r="H8608" t="inlineStr"/>
    </row>
    <row r="8609">
      <c r="A8609" t="inlineStr">
        <is>
          <t>3f88d1ad-3e6b-45d3-a787-ef081cb7a3b8.jpg</t>
        </is>
      </c>
      <c r="B8609">
        <f>HYPERLINK("Объекты недвижимости, не соответствующие градостроительным нормам_00-022_Август/3f88d1ad-3e6b-45d3-a787-ef081cb7a3b8.jpg","open")</f>
        <v/>
      </c>
      <c r="C8609" t="inlineStr">
        <is>
          <t>8cde1fd0-eca1-4510-86ab-3c743b65fdfc</t>
        </is>
      </c>
      <c r="D8609" t="n">
        <v>55.78183</v>
      </c>
      <c r="E8609" t="n">
        <v>37.69899</v>
      </c>
      <c r="F8609" t="inlineStr"/>
      <c r="G8609" t="inlineStr"/>
      <c r="H8609" t="inlineStr"/>
    </row>
    <row r="8610">
      <c r="A8610" t="inlineStr">
        <is>
          <t>6704b0b3-5d42-43d3-b492-b9f861275e13.jpg</t>
        </is>
      </c>
      <c r="B8610">
        <f>HYPERLINK("Объекты недвижимости, не соответствующие градостроительным нормам_00-022_Август/6704b0b3-5d42-43d3-b492-b9f861275e13.jpg","open")</f>
        <v/>
      </c>
      <c r="C8610" t="inlineStr">
        <is>
          <t>ffd931da-542f-43e9-979f-5552b17fe3dc</t>
        </is>
      </c>
      <c r="D8610" t="n">
        <v>55.76462</v>
      </c>
      <c r="E8610" t="n">
        <v>37.73169</v>
      </c>
      <c r="F8610" t="inlineStr"/>
      <c r="G8610" t="inlineStr"/>
      <c r="H8610" t="inlineStr"/>
    </row>
    <row r="8611">
      <c r="A8611" t="inlineStr">
        <is>
          <t>395de028-db76-4aa5-89ce-d5f6f6aeeec5.jpg</t>
        </is>
      </c>
      <c r="B8611">
        <f>HYPERLINK("Объекты недвижимости, не соответствующие градостроительным нормам_00-022_Август/395de028-db76-4aa5-89ce-d5f6f6aeeec5.jpg","open")</f>
        <v/>
      </c>
      <c r="C8611" t="inlineStr">
        <is>
          <t>685d9054-b74f-49ab-857b-109fd2cec80d</t>
        </is>
      </c>
      <c r="D8611" t="n">
        <v>56.1888</v>
      </c>
      <c r="E8611" t="n">
        <v>37.35814</v>
      </c>
      <c r="F8611" t="inlineStr"/>
      <c r="G8611" t="inlineStr"/>
      <c r="H8611" t="inlineStr"/>
    </row>
    <row r="8612">
      <c r="A8612" t="inlineStr">
        <is>
          <t>94cc45dd-b54b-41ac-aa5b-e49cc11c8b45.jpg</t>
        </is>
      </c>
      <c r="B8612">
        <f>HYPERLINK("Объекты недвижимости, не соответствующие градостроительным нормам_00-022_Август/94cc45dd-b54b-41ac-aa5b-e49cc11c8b45.jpg","open")</f>
        <v/>
      </c>
      <c r="C8612" t="inlineStr">
        <is>
          <t>caa4772d-6278-4484-a046-ee25514bf521</t>
        </is>
      </c>
      <c r="D8612" t="n">
        <v>55.77191</v>
      </c>
      <c r="E8612" t="n">
        <v>37.6831</v>
      </c>
      <c r="F8612" t="inlineStr"/>
      <c r="G8612" t="inlineStr"/>
      <c r="H8612" t="inlineStr"/>
    </row>
    <row r="8613">
      <c r="A8613" t="inlineStr">
        <is>
          <t>1b5b6d6a-b484-471c-be92-42bd3403b998.jpg</t>
        </is>
      </c>
      <c r="B8613">
        <f>HYPERLINK("Объекты недвижимости, не соответствующие градостроительным нормам_00-022_Август/1b5b6d6a-b484-471c-be92-42bd3403b998.jpg","open")</f>
        <v/>
      </c>
      <c r="C8613" t="inlineStr">
        <is>
          <t>b0429a31-0c70-4b9f-8ea5-73929d82f89e</t>
        </is>
      </c>
      <c r="D8613" t="n">
        <v>55.67268</v>
      </c>
      <c r="E8613" t="n">
        <v>37.73976</v>
      </c>
      <c r="F8613" t="inlineStr"/>
      <c r="G8613" t="inlineStr"/>
      <c r="H8613" t="inlineStr"/>
    </row>
    <row r="8614">
      <c r="A8614" t="inlineStr">
        <is>
          <t>16c855f0-8578-46f7-bbb3-d2226d2c83a2.jpg</t>
        </is>
      </c>
      <c r="B8614">
        <f>HYPERLINK("Объекты недвижимости, не соответствующие градостроительным нормам_00-022_Август/16c855f0-8578-46f7-bbb3-d2226d2c83a2.jpg","open")</f>
        <v/>
      </c>
      <c r="C8614" t="inlineStr">
        <is>
          <t>8996eb30-6497-4318-8a0e-b95314b8172e</t>
        </is>
      </c>
      <c r="D8614" t="n">
        <v>55.75811</v>
      </c>
      <c r="E8614" t="n">
        <v>37.68646</v>
      </c>
      <c r="F8614" t="inlineStr"/>
      <c r="G8614" t="inlineStr"/>
      <c r="H8614" t="inlineStr"/>
    </row>
    <row r="8615">
      <c r="A8615" t="inlineStr">
        <is>
          <t>bbb867e7-f52a-46c8-a162-666c1f05fe8d.jpg</t>
        </is>
      </c>
      <c r="B8615">
        <f>HYPERLINK("Объекты недвижимости, не соответствующие градостроительным нормам_00-022_Август/bbb867e7-f52a-46c8-a162-666c1f05fe8d.jpg","open")</f>
        <v/>
      </c>
      <c r="C8615" t="inlineStr">
        <is>
          <t>b0429a31-0c70-4b9f-8ea5-73929d82f89e</t>
        </is>
      </c>
      <c r="D8615" t="n">
        <v>55.74197</v>
      </c>
      <c r="E8615" t="n">
        <v>37.69768</v>
      </c>
      <c r="F8615" t="inlineStr"/>
      <c r="G8615" t="inlineStr"/>
      <c r="H8615" t="inlineStr"/>
    </row>
    <row r="8616">
      <c r="A8616" t="inlineStr">
        <is>
          <t>7ebf5de6-e5e9-4f8a-a26d-0585163b1008.jpg</t>
        </is>
      </c>
      <c r="B8616">
        <f>HYPERLINK("Объекты недвижимости, не соответствующие градостроительным нормам_00-022_Август/7ebf5de6-e5e9-4f8a-a26d-0585163b1008.jpg","open")</f>
        <v/>
      </c>
      <c r="C8616" t="inlineStr">
        <is>
          <t>61936922-4d4b-458e-80ea-6d4c450aa1d5</t>
        </is>
      </c>
      <c r="D8616" t="n">
        <v>55.81087</v>
      </c>
      <c r="E8616" t="n">
        <v>37.23814</v>
      </c>
      <c r="F8616" t="inlineStr"/>
      <c r="G8616" t="inlineStr"/>
      <c r="H8616" t="inlineStr"/>
    </row>
    <row r="8617">
      <c r="A8617" t="inlineStr">
        <is>
          <t>820ae818-701b-4679-ab6c-a90a9e0c4aa6.jpg</t>
        </is>
      </c>
      <c r="B8617">
        <f>HYPERLINK("Объекты недвижимости, не соответствующие градостроительным нормам_00-022_Август/820ae818-701b-4679-ab6c-a90a9e0c4aa6.jpg","open")</f>
        <v/>
      </c>
      <c r="C8617" t="inlineStr">
        <is>
          <t>61936922-4d4b-458e-80ea-6d4c450aa1d5</t>
        </is>
      </c>
      <c r="D8617" t="n">
        <v>55.74958</v>
      </c>
      <c r="E8617" t="n">
        <v>37.21412</v>
      </c>
      <c r="F8617" t="inlineStr"/>
      <c r="G8617" t="inlineStr"/>
      <c r="H8617" t="inlineStr"/>
    </row>
    <row r="8618">
      <c r="A8618" t="inlineStr">
        <is>
          <t>dba71ccd-8d1d-4e27-909d-30f34c9f7861.jpg</t>
        </is>
      </c>
      <c r="B8618">
        <f>HYPERLINK("Объекты недвижимости, не соответствующие градостроительным нормам_00-022_Август/dba71ccd-8d1d-4e27-909d-30f34c9f7861.jpg","open")</f>
        <v/>
      </c>
      <c r="C8618" t="inlineStr">
        <is>
          <t>2ba4f567-3981-4fd7-ac4a-45e8b3d68429</t>
        </is>
      </c>
      <c r="D8618" t="n">
        <v>55.71919</v>
      </c>
      <c r="E8618" t="n">
        <v>37.49517</v>
      </c>
      <c r="F8618" t="inlineStr"/>
      <c r="G8618" t="inlineStr"/>
      <c r="H8618" t="inlineStr"/>
    </row>
    <row r="8619">
      <c r="A8619" t="inlineStr">
        <is>
          <t>ed8f3aa9-edfc-46bb-b09b-3b8bd1ebf5b8.jpg</t>
        </is>
      </c>
      <c r="B8619">
        <f>HYPERLINK("Объекты недвижимости, не соответствующие градостроительным нормам_00-022_Август/ed8f3aa9-edfc-46bb-b09b-3b8bd1ebf5b8.jpg","open")</f>
        <v/>
      </c>
      <c r="C8619" t="inlineStr">
        <is>
          <t>797901ad-53b1-41b8-99d1-d59d59c863d5</t>
        </is>
      </c>
      <c r="D8619" t="n">
        <v>55.80142</v>
      </c>
      <c r="E8619" t="n">
        <v>37.74521</v>
      </c>
      <c r="F8619" t="inlineStr"/>
      <c r="G8619" t="inlineStr"/>
      <c r="H8619" t="inlineStr"/>
    </row>
    <row r="8620">
      <c r="A8620" t="inlineStr">
        <is>
          <t>dc2fb2cd-5370-4b9c-bfb6-499a582c8a53.jpg</t>
        </is>
      </c>
      <c r="B8620">
        <f>HYPERLINK("Объекты недвижимости, не соответствующие градостроительным нормам_00-022_Август/dc2fb2cd-5370-4b9c-bfb6-499a582c8a53.jpg","open")</f>
        <v/>
      </c>
      <c r="C8620" t="inlineStr">
        <is>
          <t>cbf95b01-f708-45a3-9ec0-3603469b538e</t>
        </is>
      </c>
      <c r="D8620" t="n">
        <v>55.60798</v>
      </c>
      <c r="E8620" t="n">
        <v>37.60441</v>
      </c>
      <c r="F8620" t="inlineStr"/>
      <c r="G8620" t="inlineStr"/>
      <c r="H8620" t="inlineStr"/>
    </row>
    <row r="8621">
      <c r="A8621" t="inlineStr">
        <is>
          <t>091a5442-3fb9-4a9f-8897-75d3be058a5c.jpg</t>
        </is>
      </c>
      <c r="B8621">
        <f>HYPERLINK("Объекты недвижимости, не соответствующие градостроительным нормам_00-022_Август/091a5442-3fb9-4a9f-8897-75d3be058a5c.jpg","open")</f>
        <v/>
      </c>
      <c r="C8621" t="inlineStr">
        <is>
          <t>cbf95b01-f708-45a3-9ec0-3603469b538e</t>
        </is>
      </c>
      <c r="D8621" t="n">
        <v>55.60798</v>
      </c>
      <c r="E8621" t="n">
        <v>37.60441</v>
      </c>
      <c r="F8621" t="inlineStr"/>
      <c r="G8621" t="inlineStr"/>
      <c r="H8621" t="inlineStr"/>
    </row>
    <row r="8622">
      <c r="A8622" t="inlineStr">
        <is>
          <t>146a6734-eb42-4337-9e95-d4ac6f90a1c3.jpg</t>
        </is>
      </c>
      <c r="B8622">
        <f>HYPERLINK("Объекты недвижимости, не соответствующие градостроительным нормам_00-022_Август/146a6734-eb42-4337-9e95-d4ac6f90a1c3.jpg","open")</f>
        <v/>
      </c>
      <c r="C8622" t="inlineStr">
        <is>
          <t>cbf95b01-f708-45a3-9ec0-3603469b538e</t>
        </is>
      </c>
      <c r="D8622" t="n">
        <v>55.60798</v>
      </c>
      <c r="E8622" t="n">
        <v>37.60441</v>
      </c>
      <c r="F8622" t="inlineStr"/>
      <c r="G8622" t="inlineStr"/>
      <c r="H8622" t="inlineStr"/>
    </row>
    <row r="8623">
      <c r="A8623" t="inlineStr">
        <is>
          <t>b10723a7-1854-4486-bf69-33932d7cd0b6.jpg</t>
        </is>
      </c>
      <c r="B8623">
        <f>HYPERLINK("Объекты недвижимости, не соответствующие градостроительным нормам_00-022_Август/b10723a7-1854-4486-bf69-33932d7cd0b6.jpg","open")</f>
        <v/>
      </c>
      <c r="C8623" t="inlineStr">
        <is>
          <t>052a5a2b-f222-4b50-b2cc-21612f1f234a</t>
        </is>
      </c>
      <c r="D8623" t="n">
        <v>55.75512</v>
      </c>
      <c r="E8623" t="n">
        <v>37.36946</v>
      </c>
      <c r="F8623" t="inlineStr"/>
      <c r="G8623" t="inlineStr"/>
      <c r="H8623" t="inlineStr"/>
    </row>
    <row r="8624">
      <c r="A8624" t="inlineStr">
        <is>
          <t>0403ec9f-311c-44c8-901d-a09e66ce148f.jpg</t>
        </is>
      </c>
      <c r="B8624">
        <f>HYPERLINK("Объекты недвижимости, не соответствующие градостроительным нормам_00-022_Август/0403ec9f-311c-44c8-901d-a09e66ce148f.jpg","open")</f>
        <v/>
      </c>
      <c r="C8624" t="inlineStr">
        <is>
          <t>caa4772d-6278-4484-a046-ee25514bf521</t>
        </is>
      </c>
      <c r="D8624" t="n">
        <v>55.69987</v>
      </c>
      <c r="E8624" t="n">
        <v>37.73241</v>
      </c>
      <c r="F8624" t="inlineStr"/>
      <c r="G8624" t="inlineStr"/>
      <c r="H8624" t="inlineStr"/>
    </row>
    <row r="8625">
      <c r="A8625" t="inlineStr">
        <is>
          <t>ab568ffe-52be-4076-bb08-ba9b29fba14b.jpg</t>
        </is>
      </c>
      <c r="B8625">
        <f>HYPERLINK("Объекты недвижимости, не соответствующие градостроительным нормам_00-022_Август/ab568ffe-52be-4076-bb08-ba9b29fba14b.jpg","open")</f>
        <v/>
      </c>
      <c r="C8625" t="inlineStr">
        <is>
          <t>caa4772d-6278-4484-a046-ee25514bf521</t>
        </is>
      </c>
      <c r="D8625" t="n">
        <v>55.69395</v>
      </c>
      <c r="E8625" t="n">
        <v>37.73438</v>
      </c>
      <c r="F8625" t="inlineStr"/>
      <c r="G8625" t="inlineStr"/>
      <c r="H8625" t="inlineStr"/>
    </row>
    <row r="8626">
      <c r="A8626" t="inlineStr">
        <is>
          <t>450ff2f0-d7a9-49e2-b38a-5cf822cdf298.jpg</t>
        </is>
      </c>
      <c r="B8626">
        <f>HYPERLINK("Объекты недвижимости, не соответствующие градостроительным нормам_00-022_Август/450ff2f0-d7a9-49e2-b38a-5cf822cdf298.jpg","open")</f>
        <v/>
      </c>
      <c r="C8626" t="inlineStr">
        <is>
          <t>1a55986c-2c3f-40c0-b3d1-014dce77832e</t>
        </is>
      </c>
      <c r="D8626" t="n">
        <v>55.74221</v>
      </c>
      <c r="E8626" t="n">
        <v>37.95882</v>
      </c>
      <c r="F8626" t="inlineStr"/>
      <c r="G8626" t="inlineStr"/>
      <c r="H8626" t="inlineStr"/>
    </row>
    <row r="8627">
      <c r="A8627" t="inlineStr">
        <is>
          <t>9d956e59-78a1-437b-aca1-61ff90322374.jpg</t>
        </is>
      </c>
      <c r="B8627">
        <f>HYPERLINK("Объекты недвижимости, не соответствующие градостроительным нормам_00-022_Август/9d956e59-78a1-437b-aca1-61ff90322374.jpg","open")</f>
        <v/>
      </c>
      <c r="C8627" t="inlineStr">
        <is>
          <t>ed2bf0f1-3a66-4913-896e-4420a9796c0b</t>
        </is>
      </c>
      <c r="D8627" t="n">
        <v>55.74221</v>
      </c>
      <c r="E8627" t="n">
        <v>37.95882</v>
      </c>
      <c r="F8627" t="inlineStr"/>
      <c r="G8627" t="inlineStr"/>
      <c r="H8627" t="inlineStr"/>
    </row>
    <row r="8628">
      <c r="A8628" t="inlineStr">
        <is>
          <t>0ec0ac09-80b2-425e-92e7-c4b6cd9c6317.jpg</t>
        </is>
      </c>
      <c r="B8628">
        <f>HYPERLINK("Объекты недвижимости, не соответствующие градостроительным нормам_00-022_Август/0ec0ac09-80b2-425e-92e7-c4b6cd9c6317.jpg","open")</f>
        <v/>
      </c>
      <c r="C8628" t="inlineStr">
        <is>
          <t>caa4772d-6278-4484-a046-ee25514bf521</t>
        </is>
      </c>
      <c r="D8628" t="n">
        <v>55.68068</v>
      </c>
      <c r="E8628" t="n">
        <v>37.7382</v>
      </c>
      <c r="F8628" t="inlineStr"/>
      <c r="G8628" t="inlineStr"/>
      <c r="H8628" t="inlineStr"/>
    </row>
    <row r="8629">
      <c r="A8629" t="inlineStr">
        <is>
          <t>85d8db70-9f7a-47eb-b0dc-23027c1d1a57.jpg</t>
        </is>
      </c>
      <c r="B8629">
        <f>HYPERLINK("Объекты недвижимости, не соответствующие градостроительным нормам_00-022_Август/85d8db70-9f7a-47eb-b0dc-23027c1d1a57.jpg","open")</f>
        <v/>
      </c>
      <c r="C8629" t="inlineStr">
        <is>
          <t>1a55986c-2c3f-40c0-b3d1-014dce77832e</t>
        </is>
      </c>
      <c r="D8629" t="n">
        <v>55.68161</v>
      </c>
      <c r="E8629" t="n">
        <v>37.62397</v>
      </c>
      <c r="F8629" t="inlineStr"/>
      <c r="G8629" t="inlineStr"/>
      <c r="H8629" t="inlineStr"/>
    </row>
    <row r="8630">
      <c r="A8630" t="inlineStr">
        <is>
          <t>59fb26de-7ac0-4207-a088-22973ab5d1e4.jpg</t>
        </is>
      </c>
      <c r="B8630">
        <f>HYPERLINK("Объекты недвижимости, не соответствующие градостроительным нормам_00-022_Август/59fb26de-7ac0-4207-a088-22973ab5d1e4.jpg","open")</f>
        <v/>
      </c>
      <c r="C8630" t="inlineStr">
        <is>
          <t>ed2bf0f1-3a66-4913-896e-4420a9796c0b</t>
        </is>
      </c>
      <c r="D8630" t="n">
        <v>55.68161</v>
      </c>
      <c r="E8630" t="n">
        <v>37.62397</v>
      </c>
      <c r="F8630" t="inlineStr"/>
      <c r="G8630" t="inlineStr"/>
      <c r="H8630" t="inlineStr"/>
    </row>
    <row r="8631">
      <c r="A8631" t="inlineStr">
        <is>
          <t>7f974cfb-fd22-4662-812a-2ac2e10dda96.jpg</t>
        </is>
      </c>
      <c r="B8631">
        <f>HYPERLINK("Объекты недвижимости, не соответствующие градостроительным нормам_00-022_Август/7f974cfb-fd22-4662-812a-2ac2e10dda96.jpg","open")</f>
        <v/>
      </c>
      <c r="C8631" t="inlineStr">
        <is>
          <t>797901ad-53b1-41b8-99d1-d59d59c863d5</t>
        </is>
      </c>
      <c r="D8631" t="n">
        <v>55.81706</v>
      </c>
      <c r="E8631" t="n">
        <v>37.77823</v>
      </c>
      <c r="F8631" t="inlineStr"/>
      <c r="G8631" t="inlineStr"/>
      <c r="H8631" t="inlineStr"/>
    </row>
    <row r="8632">
      <c r="A8632" t="inlineStr">
        <is>
          <t>bae0ea6f-0537-471e-b3e1-6526954bae78.jpg</t>
        </is>
      </c>
      <c r="B8632">
        <f>HYPERLINK("Объекты недвижимости, не соответствующие градостроительным нормам_00-022_Август/bae0ea6f-0537-471e-b3e1-6526954bae78.jpg","open")</f>
        <v/>
      </c>
      <c r="C8632" t="inlineStr">
        <is>
          <t>0dd30d74-4dbc-46a8-b638-91e1431bb398</t>
        </is>
      </c>
      <c r="D8632" t="n">
        <v>55.70111</v>
      </c>
      <c r="E8632" t="n">
        <v>37.58957</v>
      </c>
      <c r="F8632" t="inlineStr"/>
      <c r="G8632" t="inlineStr"/>
      <c r="H8632" t="inlineStr"/>
    </row>
    <row r="8633">
      <c r="A8633" t="inlineStr">
        <is>
          <t>ba8018de-f981-46a9-b0c5-4e20c1fc0b04.jpg</t>
        </is>
      </c>
      <c r="B8633">
        <f>HYPERLINK("Объекты недвижимости, не соответствующие градостроительным нормам_00-022_Август/ba8018de-f981-46a9-b0c5-4e20c1fc0b04.jpg","open")</f>
        <v/>
      </c>
      <c r="C8633" t="inlineStr">
        <is>
          <t>cbf95b01-f708-45a3-9ec0-3603469b538e</t>
        </is>
      </c>
      <c r="D8633" t="n">
        <v>55.6874</v>
      </c>
      <c r="E8633" t="n">
        <v>37.58496</v>
      </c>
      <c r="F8633" t="inlineStr"/>
      <c r="G8633" t="inlineStr"/>
      <c r="H8633" t="inlineStr"/>
    </row>
    <row r="8634">
      <c r="A8634" t="inlineStr">
        <is>
          <t>a46b1ecd-c567-4dac-a4c2-aed6834761b7.jpg</t>
        </is>
      </c>
      <c r="B8634">
        <f>HYPERLINK("Объекты недвижимости, не соответствующие градостроительным нормам_00-022_Август/a46b1ecd-c567-4dac-a4c2-aed6834761b7.jpg","open")</f>
        <v/>
      </c>
      <c r="C8634" t="inlineStr">
        <is>
          <t>93848fc8-17e7-4748-9ebc-c7e379e11d2f</t>
        </is>
      </c>
      <c r="D8634" t="n">
        <v>55.69319</v>
      </c>
      <c r="E8634" t="n">
        <v>37.58289</v>
      </c>
      <c r="F8634" t="inlineStr"/>
      <c r="G8634" t="inlineStr"/>
      <c r="H8634" t="inlineStr"/>
    </row>
    <row r="8635">
      <c r="A8635" t="inlineStr">
        <is>
          <t>b1ab6de9-1888-4407-b6cd-4c081b3514a5.jpg</t>
        </is>
      </c>
      <c r="B8635">
        <f>HYPERLINK("Объекты недвижимости, не соответствующие градостроительным нормам_00-022_Август/b1ab6de9-1888-4407-b6cd-4c081b3514a5.jpg","open")</f>
        <v/>
      </c>
      <c r="C8635" t="inlineStr">
        <is>
          <t>0dd30d74-4dbc-46a8-b638-91e1431bb398</t>
        </is>
      </c>
      <c r="D8635" t="n">
        <v>55.69319</v>
      </c>
      <c r="E8635" t="n">
        <v>37.58289</v>
      </c>
      <c r="F8635" t="inlineStr"/>
      <c r="G8635" t="inlineStr"/>
      <c r="H8635" t="inlineStr"/>
    </row>
    <row r="8636">
      <c r="A8636" t="inlineStr">
        <is>
          <t>00558aea-6c3a-4308-b9b5-715be21ab97d.jpg</t>
        </is>
      </c>
      <c r="B8636">
        <f>HYPERLINK("Объекты недвижимости, не соответствующие градостроительным нормам_00-022_Август/00558aea-6c3a-4308-b9b5-715be21ab97d.jpg","open")</f>
        <v/>
      </c>
      <c r="C8636" t="inlineStr">
        <is>
          <t>8cde1fd0-eca1-4510-86ab-3c743b65fdfc</t>
        </is>
      </c>
      <c r="D8636" t="n">
        <v>55.97427</v>
      </c>
      <c r="E8636" t="n">
        <v>37.39924</v>
      </c>
      <c r="F8636" t="inlineStr"/>
      <c r="G8636" t="inlineStr"/>
      <c r="H8636" t="inlineStr"/>
    </row>
    <row r="8637">
      <c r="A8637" t="inlineStr">
        <is>
          <t>2c22f62f-a9a8-4f69-bcc1-7d695e8694ad.jpg</t>
        </is>
      </c>
      <c r="B8637">
        <f>HYPERLINK("Объекты недвижимости, не соответствующие градостроительным нормам_00-022_Август/2c22f62f-a9a8-4f69-bcc1-7d695e8694ad.jpg","open")</f>
        <v/>
      </c>
      <c r="C8637" t="inlineStr">
        <is>
          <t>8cde1fd0-eca1-4510-86ab-3c743b65fdfc</t>
        </is>
      </c>
      <c r="D8637" t="n">
        <v>55.9823</v>
      </c>
      <c r="E8637" t="n">
        <v>37.41797</v>
      </c>
      <c r="F8637" t="inlineStr"/>
      <c r="G8637" t="inlineStr"/>
      <c r="H8637" t="inlineStr"/>
    </row>
    <row r="8638">
      <c r="A8638" t="inlineStr">
        <is>
          <t>af143210-8294-4249-8f90-76fe72d72088.jpg</t>
        </is>
      </c>
      <c r="B8638">
        <f>HYPERLINK("Объекты недвижимости, не соответствующие градостроительным нормам_00-022_Август/af143210-8294-4249-8f90-76fe72d72088.jpg","open")</f>
        <v/>
      </c>
      <c r="C8638" t="inlineStr">
        <is>
          <t>1c951e11-4940-43c6-a447-394097e5609a</t>
        </is>
      </c>
      <c r="D8638" t="n">
        <v>55.98228</v>
      </c>
      <c r="E8638" t="n">
        <v>37.41819</v>
      </c>
      <c r="F8638" t="inlineStr"/>
      <c r="G8638" t="inlineStr"/>
      <c r="H8638" t="inlineStr"/>
    </row>
    <row r="8639">
      <c r="A8639" t="inlineStr">
        <is>
          <t>42136af3-4c51-49f4-9364-6685af7b1e9f.jpg</t>
        </is>
      </c>
      <c r="B8639">
        <f>HYPERLINK("Объекты недвижимости, не соответствующие градостроительным нормам_00-022_Август/42136af3-4c51-49f4-9364-6685af7b1e9f.jpg","open")</f>
        <v/>
      </c>
      <c r="C8639" t="inlineStr">
        <is>
          <t>1c951e11-4940-43c6-a447-394097e5609a</t>
        </is>
      </c>
      <c r="D8639" t="n">
        <v>55.98223</v>
      </c>
      <c r="E8639" t="n">
        <v>37.41189</v>
      </c>
      <c r="F8639" t="inlineStr"/>
      <c r="G8639" t="inlineStr"/>
      <c r="H8639" t="inlineStr"/>
    </row>
    <row r="8640">
      <c r="A8640" t="inlineStr">
        <is>
          <t>6df44176-3fa8-4810-9bb9-17d5a04e3f21.jpg</t>
        </is>
      </c>
      <c r="B8640">
        <f>HYPERLINK("Объекты недвижимости, не соответствующие градостроительным нормам_00-022_Август/6df44176-3fa8-4810-9bb9-17d5a04e3f21.jpg","open")</f>
        <v/>
      </c>
      <c r="C8640" t="inlineStr">
        <is>
          <t>8cde1fd0-eca1-4510-86ab-3c743b65fdfc</t>
        </is>
      </c>
      <c r="D8640" t="n">
        <v>55.9823</v>
      </c>
      <c r="E8640" t="n">
        <v>37.41255</v>
      </c>
      <c r="F8640" t="inlineStr"/>
      <c r="G8640" t="inlineStr"/>
      <c r="H8640" t="inlineStr"/>
    </row>
    <row r="8641">
      <c r="A8641" t="inlineStr">
        <is>
          <t>b08acdc8-afd3-4d59-8a6c-cc931b6adbe8.jpg</t>
        </is>
      </c>
      <c r="B8641">
        <f>HYPERLINK("Объекты недвижимости, не соответствующие градостроительным нормам_00-022_Август/b08acdc8-afd3-4d59-8a6c-cc931b6adbe8.jpg","open")</f>
        <v/>
      </c>
      <c r="C8641" t="inlineStr">
        <is>
          <t>f6f80c84-5569-48fd-b627-6f41ce4c61c4</t>
        </is>
      </c>
      <c r="D8641" t="n">
        <v>55.6503</v>
      </c>
      <c r="E8641" t="n">
        <v>37.75942</v>
      </c>
      <c r="F8641" t="inlineStr"/>
      <c r="G8641" t="inlineStr"/>
      <c r="H8641" t="inlineStr"/>
    </row>
    <row r="8642">
      <c r="A8642" t="inlineStr">
        <is>
          <t>16a4cb4c-30aa-4b95-a868-ce5c33938237.jpg</t>
        </is>
      </c>
      <c r="B8642">
        <f>HYPERLINK("Объекты недвижимости, не соответствующие градостроительным нормам_00-022_Август/16a4cb4c-30aa-4b95-a868-ce5c33938237.jpg","open")</f>
        <v/>
      </c>
      <c r="C8642" t="inlineStr">
        <is>
          <t>93848fc8-17e7-4748-9ebc-c7e379e11d2f</t>
        </is>
      </c>
      <c r="D8642" t="n">
        <v>55.68437</v>
      </c>
      <c r="E8642" t="n">
        <v>37.57001</v>
      </c>
      <c r="F8642" t="inlineStr"/>
      <c r="G8642" t="inlineStr"/>
      <c r="H8642" t="inlineStr"/>
    </row>
    <row r="8643">
      <c r="A8643" t="inlineStr">
        <is>
          <t>39a6877d-3c0c-4af3-8c43-fbeeef57750b.jpg</t>
        </is>
      </c>
      <c r="B8643">
        <f>HYPERLINK("Объекты недвижимости, не соответствующие градостроительным нормам_00-022_Август/39a6877d-3c0c-4af3-8c43-fbeeef57750b.jpg","open")</f>
        <v/>
      </c>
      <c r="C8643" t="inlineStr">
        <is>
          <t>cbf95b01-f708-45a3-9ec0-3603469b538e</t>
        </is>
      </c>
      <c r="D8643" t="n">
        <v>55.63701</v>
      </c>
      <c r="E8643" t="n">
        <v>37.69349</v>
      </c>
      <c r="F8643" t="inlineStr"/>
      <c r="G8643" t="inlineStr"/>
      <c r="H8643" t="inlineStr"/>
    </row>
    <row r="8644">
      <c r="A8644" t="inlineStr">
        <is>
          <t>0aaad2db-1c3f-4eb2-8b9e-4c69dff5ad15.jpg</t>
        </is>
      </c>
      <c r="B8644">
        <f>HYPERLINK("Объекты недвижимости, не соответствующие градостроительным нормам_00-022_Август/0aaad2db-1c3f-4eb2-8b9e-4c69dff5ad15.jpg","open")</f>
        <v/>
      </c>
      <c r="C8644" t="inlineStr">
        <is>
          <t>1c951e11-4940-43c6-a447-394097e5609a</t>
        </is>
      </c>
      <c r="D8644" t="n">
        <v>55.97084</v>
      </c>
      <c r="E8644" t="n">
        <v>37.43038</v>
      </c>
      <c r="F8644" t="inlineStr"/>
      <c r="G8644" t="inlineStr"/>
      <c r="H8644" t="inlineStr"/>
    </row>
    <row r="8645">
      <c r="A8645" t="inlineStr">
        <is>
          <t>84393c0d-4098-499d-b6d7-b1f997af70d5.jpg</t>
        </is>
      </c>
      <c r="B8645">
        <f>HYPERLINK("Объекты недвижимости, не соответствующие градостроительным нормам_00-022_Август/84393c0d-4098-499d-b6d7-b1f997af70d5.jpg","open")</f>
        <v/>
      </c>
      <c r="C8645" t="inlineStr">
        <is>
          <t>8cde1fd0-eca1-4510-86ab-3c743b65fdfc</t>
        </is>
      </c>
      <c r="D8645" t="n">
        <v>55.9706</v>
      </c>
      <c r="E8645" t="n">
        <v>37.43024</v>
      </c>
      <c r="F8645" t="inlineStr"/>
      <c r="G8645" t="inlineStr"/>
      <c r="H8645" t="inlineStr"/>
    </row>
    <row r="8646">
      <c r="A8646" t="inlineStr">
        <is>
          <t>038dffe0-1e99-405c-8375-7a92a941530c.jpg</t>
        </is>
      </c>
      <c r="B8646">
        <f>HYPERLINK("Объекты недвижимости, не соответствующие градостроительным нормам_00-022_Август/038dffe0-1e99-405c-8375-7a92a941530c.jpg","open")</f>
        <v/>
      </c>
      <c r="C8646" t="inlineStr">
        <is>
          <t>caa4772d-6278-4484-a046-ee25514bf521</t>
        </is>
      </c>
      <c r="D8646" t="n">
        <v>55.65416</v>
      </c>
      <c r="E8646" t="n">
        <v>37.75689</v>
      </c>
      <c r="F8646" t="inlineStr"/>
      <c r="G8646" t="inlineStr"/>
      <c r="H8646" t="inlineStr"/>
    </row>
    <row r="8647">
      <c r="A8647" t="inlineStr">
        <is>
          <t>8e1e912c-0d7e-4d1c-b444-4c90ac56a7d1.jpg</t>
        </is>
      </c>
      <c r="B8647">
        <f>HYPERLINK("Объекты недвижимости, не соответствующие градостроительным нормам_00-022_Август/8e1e912c-0d7e-4d1c-b444-4c90ac56a7d1.jpg","open")</f>
        <v/>
      </c>
      <c r="C8647" t="inlineStr">
        <is>
          <t>9ca2abb7-5978-4e19-b2b4-4d185fa6739e</t>
        </is>
      </c>
      <c r="D8647" t="n">
        <v>55.96724</v>
      </c>
      <c r="E8647" t="n">
        <v>37.42512</v>
      </c>
      <c r="F8647" t="inlineStr"/>
      <c r="G8647" t="inlineStr"/>
      <c r="H8647" t="inlineStr"/>
    </row>
    <row r="8648">
      <c r="A8648" t="inlineStr">
        <is>
          <t>10547bd7-7ea3-4e5f-926e-bad1b3b6a59a.jpg</t>
        </is>
      </c>
      <c r="B8648">
        <f>HYPERLINK("Объекты недвижимости, не соответствующие градостроительным нормам_00-022_Август/10547bd7-7ea3-4e5f-926e-bad1b3b6a59a.jpg","open")</f>
        <v/>
      </c>
      <c r="C8648" t="inlineStr">
        <is>
          <t>8996eb30-6497-4318-8a0e-b95314b8172e</t>
        </is>
      </c>
      <c r="D8648" t="n">
        <v>55.80343</v>
      </c>
      <c r="E8648" t="n">
        <v>37.45658</v>
      </c>
      <c r="F8648" t="inlineStr"/>
      <c r="G8648" t="inlineStr"/>
      <c r="H8648" t="inlineStr"/>
    </row>
    <row r="8649">
      <c r="A8649" t="inlineStr">
        <is>
          <t>825d0471-7f87-40fe-ad17-9b8d4654772e.jpg</t>
        </is>
      </c>
      <c r="B8649">
        <f>HYPERLINK("Объекты недвижимости, не соответствующие градостроительным нормам_00-022_Август/825d0471-7f87-40fe-ad17-9b8d4654772e.jpg","open")</f>
        <v/>
      </c>
      <c r="C8649" t="inlineStr">
        <is>
          <t>93848fc8-17e7-4748-9ebc-c7e379e11d2f</t>
        </is>
      </c>
      <c r="D8649" t="n">
        <v>55.68106</v>
      </c>
      <c r="E8649" t="n">
        <v>37.5666</v>
      </c>
      <c r="F8649" t="inlineStr"/>
      <c r="G8649" t="inlineStr"/>
      <c r="H8649" t="inlineStr"/>
    </row>
    <row r="8650">
      <c r="A8650" t="inlineStr">
        <is>
          <t>3d68bd5d-e0e1-49ae-9743-1ab27ee8c1fa.jpg</t>
        </is>
      </c>
      <c r="B8650">
        <f>HYPERLINK("Объекты недвижимости, не соответствующие градостроительным нормам_00-022_Август/3d68bd5d-e0e1-49ae-9743-1ab27ee8c1fa.jpg","open")</f>
        <v/>
      </c>
      <c r="C8650" t="inlineStr">
        <is>
          <t>93848fc8-17e7-4748-9ebc-c7e379e11d2f</t>
        </is>
      </c>
      <c r="D8650" t="n">
        <v>55.67889</v>
      </c>
      <c r="E8650" t="n">
        <v>37.58544</v>
      </c>
      <c r="F8650" t="inlineStr"/>
      <c r="G8650" t="inlineStr"/>
      <c r="H8650" t="inlineStr"/>
    </row>
    <row r="8651">
      <c r="A8651" t="inlineStr">
        <is>
          <t>c9e90ab4-7915-482c-be46-1dd11c01e845.jpg</t>
        </is>
      </c>
      <c r="B8651">
        <f>HYPERLINK("Объекты недвижимости, не соответствующие градостроительным нормам_00-022_Август/c9e90ab4-7915-482c-be46-1dd11c01e845.jpg","open")</f>
        <v/>
      </c>
      <c r="C8651" t="inlineStr">
        <is>
          <t>052a5a2b-f222-4b50-b2cc-21612f1f234a</t>
        </is>
      </c>
      <c r="D8651" t="n">
        <v>55.96669</v>
      </c>
      <c r="E8651" t="n">
        <v>37.42579</v>
      </c>
      <c r="F8651" t="inlineStr"/>
      <c r="G8651" t="inlineStr"/>
      <c r="H8651" t="inlineStr"/>
    </row>
    <row r="8652">
      <c r="A8652" t="inlineStr">
        <is>
          <t>a260d028-e3bc-414c-818e-b90d63cb292b.jpg</t>
        </is>
      </c>
      <c r="B8652">
        <f>HYPERLINK("Объекты недвижимости, не соответствующие градостроительным нормам_00-022_Август/a260d028-e3bc-414c-818e-b90d63cb292b.jpg","open")</f>
        <v/>
      </c>
      <c r="C8652" t="inlineStr">
        <is>
          <t>caa4772d-6278-4484-a046-ee25514bf521</t>
        </is>
      </c>
      <c r="D8652" t="n">
        <v>55.65407</v>
      </c>
      <c r="E8652" t="n">
        <v>37.75692</v>
      </c>
      <c r="F8652" t="inlineStr"/>
      <c r="G8652" t="inlineStr"/>
      <c r="H8652" t="inlineStr"/>
    </row>
    <row r="8653">
      <c r="A8653" t="inlineStr">
        <is>
          <t>c5212bc3-d9ba-4652-9f46-5f16c1dff604.jpg</t>
        </is>
      </c>
      <c r="B8653">
        <f>HYPERLINK("Объекты недвижимости, не соответствующие градостроительным нормам_00-022_Август/c5212bc3-d9ba-4652-9f46-5f16c1dff604.jpg","open")</f>
        <v/>
      </c>
      <c r="C8653" t="inlineStr">
        <is>
          <t>91248771-2c4d-44f3-b3cf-d536bd4ae73c</t>
        </is>
      </c>
      <c r="D8653" t="n">
        <v>55.77237</v>
      </c>
      <c r="E8653" t="n">
        <v>37.71286</v>
      </c>
      <c r="F8653" t="inlineStr"/>
      <c r="G8653" t="inlineStr"/>
      <c r="H8653" t="inlineStr"/>
    </row>
    <row r="8654">
      <c r="A8654" t="inlineStr">
        <is>
          <t>8b06c58f-67de-4633-abea-4f7db825cf30.jpg</t>
        </is>
      </c>
      <c r="B8654">
        <f>HYPERLINK("Объекты недвижимости, не соответствующие градостроительным нормам_00-022_Август/8b06c58f-67de-4633-abea-4f7db825cf30.jpg","open")</f>
        <v/>
      </c>
      <c r="C8654" t="inlineStr">
        <is>
          <t>8996eb30-6497-4318-8a0e-b95314b8172e</t>
        </is>
      </c>
      <c r="D8654" t="n">
        <v>55.86091</v>
      </c>
      <c r="E8654" t="n">
        <v>37.36462</v>
      </c>
      <c r="F8654" t="inlineStr"/>
      <c r="G8654" t="inlineStr"/>
      <c r="H8654" t="inlineStr"/>
    </row>
    <row r="8655">
      <c r="A8655" t="inlineStr">
        <is>
          <t>9423988f-5a61-45ca-961e-6c624d87c320.jpg</t>
        </is>
      </c>
      <c r="B8655">
        <f>HYPERLINK("Объекты недвижимости, не соответствующие градостроительным нормам_00-022_Август/9423988f-5a61-45ca-961e-6c624d87c320.jpg","open")</f>
        <v/>
      </c>
      <c r="C8655" t="inlineStr">
        <is>
          <t>1c951e11-4940-43c6-a447-394097e5609a</t>
        </is>
      </c>
      <c r="D8655" t="n">
        <v>55.97</v>
      </c>
      <c r="E8655" t="n">
        <v>37.40009</v>
      </c>
      <c r="F8655" t="inlineStr"/>
      <c r="G8655" t="inlineStr"/>
      <c r="H8655" t="inlineStr"/>
    </row>
    <row r="8656">
      <c r="A8656" t="inlineStr">
        <is>
          <t>f44c7289-f6e2-42fa-8de8-6efefe62b8aa.jpg</t>
        </is>
      </c>
      <c r="B8656">
        <f>HYPERLINK("Объекты недвижимости, не соответствующие градостроительным нормам_00-022_Август/f44c7289-f6e2-42fa-8de8-6efefe62b8aa.jpg","open")</f>
        <v/>
      </c>
      <c r="C8656" t="inlineStr">
        <is>
          <t>a1a9db89-3f74-42ef-8fad-ad69705102cd</t>
        </is>
      </c>
      <c r="D8656" t="n">
        <v>55.74697</v>
      </c>
      <c r="E8656" t="n">
        <v>37.81724</v>
      </c>
      <c r="F8656" t="inlineStr"/>
      <c r="G8656" t="inlineStr"/>
      <c r="H8656" t="inlineStr"/>
    </row>
    <row r="8657">
      <c r="A8657" t="inlineStr">
        <is>
          <t>8632b495-0106-475b-9101-7b142f1ac921.jpg</t>
        </is>
      </c>
      <c r="B8657">
        <f>HYPERLINK("Объекты недвижимости, не соответствующие градостроительным нормам_00-022_Август/8632b495-0106-475b-9101-7b142f1ac921.jpg","open")</f>
        <v/>
      </c>
      <c r="C8657" t="inlineStr">
        <is>
          <t>fb40ed24-21ef-458a-a239-038ab19932cc</t>
        </is>
      </c>
      <c r="D8657" t="n">
        <v>55.79225</v>
      </c>
      <c r="E8657" t="n">
        <v>37.77874</v>
      </c>
      <c r="F8657" t="inlineStr"/>
      <c r="G8657" t="inlineStr"/>
      <c r="H8657" t="inlineStr"/>
    </row>
    <row r="8658">
      <c r="A8658" t="inlineStr">
        <is>
          <t>56eeebbb-bb20-4033-9c19-d91edaa11f94.jpg</t>
        </is>
      </c>
      <c r="B8658">
        <f>HYPERLINK("Объекты недвижимости, не соответствующие градостроительным нормам_00-022_Август/56eeebbb-bb20-4033-9c19-d91edaa11f94.jpg","open")</f>
        <v/>
      </c>
      <c r="C8658" t="inlineStr">
        <is>
          <t>93848fc8-17e7-4748-9ebc-c7e379e11d2f</t>
        </is>
      </c>
      <c r="D8658" t="n">
        <v>55.705</v>
      </c>
      <c r="E8658" t="n">
        <v>37.5079</v>
      </c>
      <c r="F8658" t="inlineStr"/>
      <c r="G8658" t="inlineStr"/>
      <c r="H8658" t="inlineStr"/>
    </row>
    <row r="8659">
      <c r="A8659" t="inlineStr">
        <is>
          <t>223c25d5-2df7-409e-b6d6-60c0b6bcc011.jpg</t>
        </is>
      </c>
      <c r="B8659">
        <f>HYPERLINK("Объекты недвижимости, не соответствующие градостроительным нормам_00-022_Август/223c25d5-2df7-409e-b6d6-60c0b6bcc011.jpg","open")</f>
        <v/>
      </c>
      <c r="C8659" t="inlineStr">
        <is>
          <t>0dd30d74-4dbc-46a8-b638-91e1431bb398</t>
        </is>
      </c>
      <c r="D8659" t="n">
        <v>55.71139</v>
      </c>
      <c r="E8659" t="n">
        <v>37.32678</v>
      </c>
      <c r="F8659" t="inlineStr"/>
      <c r="G8659" t="inlineStr"/>
      <c r="H8659" t="inlineStr"/>
    </row>
    <row r="8660">
      <c r="A8660" t="inlineStr">
        <is>
          <t>51fde5e1-2309-4f09-9718-a441b48b6500.jpg</t>
        </is>
      </c>
      <c r="B8660">
        <f>HYPERLINK("Объекты недвижимости, не соответствующие градостроительным нормам_00-022_Август/51fde5e1-2309-4f09-9718-a441b48b6500.jpg","open")</f>
        <v/>
      </c>
      <c r="C8660" t="inlineStr">
        <is>
          <t>bfe6d308-d042-4641-8584-2e33d24b2451</t>
        </is>
      </c>
      <c r="D8660" t="n">
        <v>55.59583</v>
      </c>
      <c r="E8660" t="n">
        <v>37.10873</v>
      </c>
      <c r="F8660" t="inlineStr"/>
      <c r="G8660" t="inlineStr"/>
      <c r="H8660" t="inlineStr"/>
    </row>
    <row r="8661">
      <c r="A8661" t="inlineStr">
        <is>
          <t>3ec387d9-677a-4b04-a03c-7f151e80eab5.jpg</t>
        </is>
      </c>
      <c r="B8661">
        <f>HYPERLINK("Объекты недвижимости, не соответствующие градостроительным нормам_00-022_Август/3ec387d9-677a-4b04-a03c-7f151e80eab5.jpg","open")</f>
        <v/>
      </c>
      <c r="C8661" t="inlineStr">
        <is>
          <t>f7a3e6af-e9f9-46b2-a77f-b34d6002415e</t>
        </is>
      </c>
      <c r="D8661" t="n">
        <v>55.59565</v>
      </c>
      <c r="E8661" t="n">
        <v>37.10877</v>
      </c>
      <c r="F8661" t="inlineStr"/>
      <c r="G8661" t="inlineStr"/>
      <c r="H8661" t="inlineStr"/>
    </row>
    <row r="8662">
      <c r="A8662" t="inlineStr">
        <is>
          <t>27796fb6-be05-4ef4-b9a4-0ba14f32b6ac.jpg</t>
        </is>
      </c>
      <c r="B8662">
        <f>HYPERLINK("Объекты недвижимости, не соответствующие градостроительным нормам_00-022_Август/27796fb6-be05-4ef4-b9a4-0ba14f32b6ac.jpg","open")</f>
        <v/>
      </c>
      <c r="C8662" t="inlineStr">
        <is>
          <t>1c951e11-4940-43c6-a447-394097e5609a</t>
        </is>
      </c>
      <c r="D8662" t="n">
        <v>55.87873</v>
      </c>
      <c r="E8662" t="n">
        <v>37.54933</v>
      </c>
      <c r="F8662" t="inlineStr"/>
      <c r="G8662" t="inlineStr"/>
      <c r="H8662" t="inlineStr"/>
    </row>
    <row r="8663">
      <c r="A8663" t="inlineStr">
        <is>
          <t>58bda6c2-4c35-4fa2-a701-87db7ea99c45.jpg</t>
        </is>
      </c>
      <c r="B8663">
        <f>HYPERLINK("Объекты недвижимости, не соответствующие градостроительным нормам_00-022_Август/58bda6c2-4c35-4fa2-a701-87db7ea99c45.jpg","open")</f>
        <v/>
      </c>
      <c r="C8663" t="inlineStr">
        <is>
          <t>052a5a2b-f222-4b50-b2cc-21612f1f234a</t>
        </is>
      </c>
      <c r="D8663" t="n">
        <v>55.98161</v>
      </c>
      <c r="E8663" t="n">
        <v>37.42167</v>
      </c>
      <c r="F8663" t="inlineStr"/>
      <c r="G8663" t="inlineStr"/>
      <c r="H8663" t="inlineStr"/>
    </row>
    <row r="8664">
      <c r="A8664" t="inlineStr">
        <is>
          <t>c02dad85-61c8-4668-b13d-6738b4b098f9.jpg</t>
        </is>
      </c>
      <c r="B8664">
        <f>HYPERLINK("Объекты недвижимости, не соответствующие градостроительным нормам_00-022_Август/c02dad85-61c8-4668-b13d-6738b4b098f9.jpg","open")</f>
        <v/>
      </c>
      <c r="C8664" t="inlineStr">
        <is>
          <t>052a5a2b-f222-4b50-b2cc-21612f1f234a</t>
        </is>
      </c>
      <c r="D8664" t="n">
        <v>55.96584</v>
      </c>
      <c r="E8664" t="n">
        <v>37.42403</v>
      </c>
      <c r="F8664" t="inlineStr"/>
      <c r="G8664" t="inlineStr"/>
      <c r="H8664" t="inlineStr"/>
    </row>
    <row r="8665">
      <c r="A8665" t="inlineStr">
        <is>
          <t>3bb62db3-806c-4f37-87ef-13baf6af273c.jpg</t>
        </is>
      </c>
      <c r="B8665">
        <f>HYPERLINK("Объекты недвижимости, не соответствующие градостроительным нормам_00-022_Август/3bb62db3-806c-4f37-87ef-13baf6af273c.jpg","open")</f>
        <v/>
      </c>
      <c r="C8665" t="inlineStr">
        <is>
          <t>052a5a2b-f222-4b50-b2cc-21612f1f234a</t>
        </is>
      </c>
      <c r="D8665" t="n">
        <v>55.96455</v>
      </c>
      <c r="E8665" t="n">
        <v>37.41791</v>
      </c>
      <c r="F8665" t="inlineStr"/>
      <c r="G8665" t="inlineStr"/>
      <c r="H8665" t="inlineStr"/>
    </row>
    <row r="8666">
      <c r="A8666" t="inlineStr">
        <is>
          <t>dad47186-d3dd-4777-bc2c-7983b7712b82.jpg</t>
        </is>
      </c>
      <c r="B8666">
        <f>HYPERLINK("Объекты недвижимости, не соответствующие градостроительным нормам_00-022_Август/dad47186-d3dd-4777-bc2c-7983b7712b82.jpg","open")</f>
        <v/>
      </c>
      <c r="C8666" t="inlineStr">
        <is>
          <t>9ca2abb7-5978-4e19-b2b4-4d185fa6739e</t>
        </is>
      </c>
      <c r="D8666" t="n">
        <v>55.98145</v>
      </c>
      <c r="E8666" t="n">
        <v>37.40807</v>
      </c>
      <c r="F8666" t="inlineStr"/>
      <c r="G8666" t="inlineStr"/>
      <c r="H8666" t="inlineStr"/>
    </row>
    <row r="8667">
      <c r="A8667" t="inlineStr">
        <is>
          <t>cff4d9e2-86cc-4f3f-9663-b831e87657c0.jpg</t>
        </is>
      </c>
      <c r="B8667">
        <f>HYPERLINK("Объекты недвижимости, не соответствующие градостроительным нормам_00-022_Август/cff4d9e2-86cc-4f3f-9663-b831e87657c0.jpg","open")</f>
        <v/>
      </c>
      <c r="C8667" t="inlineStr">
        <is>
          <t>caa4772d-6278-4484-a046-ee25514bf521</t>
        </is>
      </c>
      <c r="D8667" t="n">
        <v>55.67258</v>
      </c>
      <c r="E8667" t="n">
        <v>37.73989</v>
      </c>
      <c r="F8667" t="inlineStr"/>
      <c r="G8667" t="inlineStr"/>
      <c r="H8667" t="inlineStr"/>
    </row>
    <row r="8668">
      <c r="A8668" t="inlineStr">
        <is>
          <t>f7481a6e-68a4-4d74-8831-0273ea8113b3.jpg</t>
        </is>
      </c>
      <c r="B8668">
        <f>HYPERLINK("Объекты недвижимости, не соответствующие градостроительным нормам_00-022_Август/f7481a6e-68a4-4d74-8831-0273ea8113b3.jpg","open")</f>
        <v/>
      </c>
      <c r="C8668" t="inlineStr">
        <is>
          <t>cbf95b01-f708-45a3-9ec0-3603469b538e</t>
        </is>
      </c>
      <c r="D8668" t="n">
        <v>55.73176</v>
      </c>
      <c r="E8668" t="n">
        <v>37.67105</v>
      </c>
      <c r="F8668" t="inlineStr"/>
      <c r="G8668" t="inlineStr"/>
      <c r="H8668" t="inlineStr"/>
    </row>
    <row r="8669">
      <c r="A8669" t="inlineStr">
        <is>
          <t>48808026-18d1-46bb-b40c-a34bf4341869.jpg</t>
        </is>
      </c>
      <c r="B8669">
        <f>HYPERLINK("Объекты недвижимости, не соответствующие градостроительным нормам_00-022_Август/48808026-18d1-46bb-b40c-a34bf4341869.jpg","open")</f>
        <v/>
      </c>
      <c r="C8669" t="inlineStr">
        <is>
          <t>cbf95b01-f708-45a3-9ec0-3603469b538e</t>
        </is>
      </c>
      <c r="D8669" t="n">
        <v>55.72919</v>
      </c>
      <c r="E8669" t="n">
        <v>37.6541</v>
      </c>
      <c r="F8669" t="inlineStr"/>
      <c r="G8669" t="inlineStr"/>
      <c r="H8669" t="inlineStr"/>
    </row>
    <row r="8670">
      <c r="A8670" t="inlineStr">
        <is>
          <t>08855e59-6dfa-4647-a89b-2b6d7e391b6d.jpg</t>
        </is>
      </c>
      <c r="B8670">
        <f>HYPERLINK("Объекты недвижимости, не соответствующие градостроительным нормам_00-022_Август/08855e59-6dfa-4647-a89b-2b6d7e391b6d.jpg","open")</f>
        <v/>
      </c>
      <c r="C8670" t="inlineStr">
        <is>
          <t>cbf95b01-f708-45a3-9ec0-3603469b538e</t>
        </is>
      </c>
      <c r="D8670" t="n">
        <v>55.72919</v>
      </c>
      <c r="E8670" t="n">
        <v>37.6541</v>
      </c>
      <c r="F8670" t="inlineStr"/>
      <c r="G8670" t="inlineStr"/>
      <c r="H8670" t="inlineStr"/>
    </row>
    <row r="8671">
      <c r="A8671" t="inlineStr">
        <is>
          <t>dcb70811-4619-4ea5-8619-885162f7ab8e.jpg</t>
        </is>
      </c>
      <c r="B8671">
        <f>HYPERLINK("Объекты недвижимости, не соответствующие градостроительным нормам_00-022_Август/dcb70811-4619-4ea5-8619-885162f7ab8e.jpg","open")</f>
        <v/>
      </c>
      <c r="C8671" t="inlineStr">
        <is>
          <t>1c951e11-4940-43c6-a447-394097e5609a</t>
        </is>
      </c>
      <c r="D8671" t="n">
        <v>55.88984</v>
      </c>
      <c r="E8671" t="n">
        <v>37.54099</v>
      </c>
      <c r="F8671" t="inlineStr"/>
      <c r="G8671" t="inlineStr"/>
      <c r="H8671" t="inlineStr"/>
    </row>
    <row r="8672">
      <c r="A8672" t="inlineStr">
        <is>
          <t>f97dd46a-aaf6-45c0-bcbd-e6beccac450a.jpg</t>
        </is>
      </c>
      <c r="B8672">
        <f>HYPERLINK("Объекты недвижимости, не соответствующие градостроительным нормам_00-022_Август/f97dd46a-aaf6-45c0-bcbd-e6beccac450a.jpg","open")</f>
        <v/>
      </c>
      <c r="C8672" t="inlineStr">
        <is>
          <t>caa4772d-6278-4484-a046-ee25514bf521</t>
        </is>
      </c>
      <c r="D8672" t="n">
        <v>55.73479</v>
      </c>
      <c r="E8672" t="n">
        <v>37.707</v>
      </c>
      <c r="F8672" t="inlineStr"/>
      <c r="G8672" t="inlineStr"/>
      <c r="H8672" t="inlineStr"/>
    </row>
    <row r="8673">
      <c r="A8673" t="inlineStr">
        <is>
          <t>750d7a4f-d952-4f09-ba4a-2baf01b0772b.jpg</t>
        </is>
      </c>
      <c r="B8673">
        <f>HYPERLINK("Объекты недвижимости, не соответствующие градостроительным нормам_00-022_Август/750d7a4f-d952-4f09-ba4a-2baf01b0772b.jpg","open")</f>
        <v/>
      </c>
      <c r="C8673" t="inlineStr">
        <is>
          <t>caa4772d-6278-4484-a046-ee25514bf521</t>
        </is>
      </c>
      <c r="D8673" t="n">
        <v>55.74228</v>
      </c>
      <c r="E8673" t="n">
        <v>37.71899</v>
      </c>
      <c r="F8673" t="inlineStr"/>
      <c r="G8673" t="inlineStr"/>
      <c r="H8673" t="inlineStr"/>
    </row>
    <row r="8674">
      <c r="A8674" t="inlineStr">
        <is>
          <t>e47694b7-ce75-43f2-a517-712feecd7fc4.jpg</t>
        </is>
      </c>
      <c r="B8674">
        <f>HYPERLINK("Объекты недвижимости, не соответствующие градостроительным нормам_00-022_Август/e47694b7-ce75-43f2-a517-712feecd7fc4.jpg","open")</f>
        <v/>
      </c>
      <c r="C8674" t="inlineStr">
        <is>
          <t>93848fc8-17e7-4748-9ebc-c7e379e11d2f</t>
        </is>
      </c>
      <c r="D8674" t="n">
        <v>55.70737</v>
      </c>
      <c r="E8674" t="n">
        <v>37.54557</v>
      </c>
      <c r="F8674" t="inlineStr"/>
      <c r="G8674" t="inlineStr"/>
      <c r="H8674" t="inlineStr"/>
    </row>
    <row r="8675">
      <c r="A8675" t="inlineStr">
        <is>
          <t>745072f3-baf6-4e0f-aa3d-cf1587f77d46.jpg</t>
        </is>
      </c>
      <c r="B8675">
        <f>HYPERLINK("Объекты недвижимости, не соответствующие градостроительным нормам_00-022_Август/745072f3-baf6-4e0f-aa3d-cf1587f77d46.jpg","open")</f>
        <v/>
      </c>
      <c r="C8675" t="inlineStr">
        <is>
          <t>ed2bf0f1-3a66-4913-896e-4420a9796c0b</t>
        </is>
      </c>
      <c r="D8675" t="n">
        <v>55.31814</v>
      </c>
      <c r="E8675" t="n">
        <v>37.15575</v>
      </c>
      <c r="F8675" t="inlineStr"/>
      <c r="G8675" t="inlineStr"/>
      <c r="H8675" t="inlineStr"/>
    </row>
    <row r="8676">
      <c r="A8676" t="inlineStr">
        <is>
          <t>281f7da0-d7ef-46b2-9a1d-7f16059faf1d.jpg</t>
        </is>
      </c>
      <c r="B8676">
        <f>HYPERLINK("Объекты недвижимости, не соответствующие градостроительным нормам_00-022_Август/281f7da0-d7ef-46b2-9a1d-7f16059faf1d.jpg","open")</f>
        <v/>
      </c>
      <c r="C8676" t="inlineStr">
        <is>
          <t>caa4772d-6278-4484-a046-ee25514bf521</t>
        </is>
      </c>
      <c r="D8676" t="n">
        <v>55.74228</v>
      </c>
      <c r="E8676" t="n">
        <v>37.71899</v>
      </c>
      <c r="F8676" t="inlineStr"/>
      <c r="G8676" t="inlineStr"/>
      <c r="H8676" t="inlineStr"/>
    </row>
    <row r="8677">
      <c r="A8677" t="inlineStr">
        <is>
          <t>06343176-6439-48bd-a562-7c8f255b7bad.jpg</t>
        </is>
      </c>
      <c r="B8677">
        <f>HYPERLINK("Объекты недвижимости, не соответствующие градостроительным нормам_00-022_Август/06343176-6439-48bd-a562-7c8f255b7bad.jpg","open")</f>
        <v/>
      </c>
      <c r="C8677" t="inlineStr">
        <is>
          <t>caa4772d-6278-4484-a046-ee25514bf521</t>
        </is>
      </c>
      <c r="D8677" t="n">
        <v>55.75236</v>
      </c>
      <c r="E8677" t="n">
        <v>37.68731</v>
      </c>
      <c r="F8677" t="inlineStr"/>
      <c r="G8677" t="inlineStr"/>
      <c r="H8677" t="inlineStr"/>
    </row>
    <row r="8678">
      <c r="A8678" t="inlineStr">
        <is>
          <t>dd591764-64b7-43b3-9201-1500760cefd8.jpg</t>
        </is>
      </c>
      <c r="B8678">
        <f>HYPERLINK("Объекты недвижимости, не соответствующие градостроительным нормам_00-022_Август/dd591764-64b7-43b3-9201-1500760cefd8.jpg","open")</f>
        <v/>
      </c>
      <c r="C8678" t="inlineStr">
        <is>
          <t>93848fc8-17e7-4748-9ebc-c7e379e11d2f</t>
        </is>
      </c>
      <c r="D8678" t="n">
        <v>55.69465</v>
      </c>
      <c r="E8678" t="n">
        <v>37.5459</v>
      </c>
      <c r="F8678" t="inlineStr"/>
      <c r="G8678" t="inlineStr"/>
      <c r="H8678" t="inlineStr"/>
    </row>
    <row r="8679">
      <c r="A8679" t="inlineStr">
        <is>
          <t>0ad28cf8-a408-4acf-90f7-ca1bd675c04d.jpg</t>
        </is>
      </c>
      <c r="B8679">
        <f>HYPERLINK("Объекты недвижимости, не соответствующие градостроительным нормам_00-022_Август/0ad28cf8-a408-4acf-90f7-ca1bd675c04d.jpg","open")</f>
        <v/>
      </c>
      <c r="C8679" t="inlineStr">
        <is>
          <t>f6f80c84-5569-48fd-b627-6f41ce4c61c4</t>
        </is>
      </c>
      <c r="D8679" t="n">
        <v>55.75236</v>
      </c>
      <c r="E8679" t="n">
        <v>37.68731</v>
      </c>
      <c r="F8679" t="inlineStr"/>
      <c r="G8679" t="inlineStr"/>
      <c r="H8679" t="inlineStr"/>
    </row>
    <row r="8680">
      <c r="A8680" t="inlineStr">
        <is>
          <t>662a5fb2-07bd-4769-9b36-350f39258199.jpg</t>
        </is>
      </c>
      <c r="B8680">
        <f>HYPERLINK("Объекты недвижимости, не соответствующие градостроительным нормам_00-022_Август/662a5fb2-07bd-4769-9b36-350f39258199.jpg","open")</f>
        <v/>
      </c>
      <c r="C8680" t="inlineStr">
        <is>
          <t>a1a9db89-3f74-42ef-8fad-ad69705102cd</t>
        </is>
      </c>
      <c r="D8680" t="n">
        <v>55.72919</v>
      </c>
      <c r="E8680" t="n">
        <v>37.6541</v>
      </c>
      <c r="F8680" t="inlineStr"/>
      <c r="G8680" t="inlineStr"/>
      <c r="H8680" t="inlineStr"/>
    </row>
    <row r="8681">
      <c r="A8681" t="inlineStr">
        <is>
          <t>f817d112-4a97-46c8-9571-429e17d2c46f.jpg</t>
        </is>
      </c>
      <c r="B8681">
        <f>HYPERLINK("Объекты недвижимости, не соответствующие градостроительным нормам_00-022_Август/f817d112-4a97-46c8-9571-429e17d2c46f.jpg","open")</f>
        <v/>
      </c>
      <c r="C8681" t="inlineStr">
        <is>
          <t>93848fc8-17e7-4748-9ebc-c7e379e11d2f</t>
        </is>
      </c>
      <c r="D8681" t="n">
        <v>55.6903</v>
      </c>
      <c r="E8681" t="n">
        <v>37.54212</v>
      </c>
      <c r="F8681" t="inlineStr"/>
      <c r="G8681" t="inlineStr"/>
      <c r="H8681" t="inlineStr"/>
    </row>
    <row r="8682">
      <c r="A8682" t="inlineStr">
        <is>
          <t>af6627b1-54e3-4e32-8ffe-5fb7c15a0a29.jpg</t>
        </is>
      </c>
      <c r="B8682">
        <f>HYPERLINK("Объекты недвижимости, не соответствующие градостроительным нормам_00-022_Август/af6627b1-54e3-4e32-8ffe-5fb7c15a0a29.jpg","open")</f>
        <v/>
      </c>
      <c r="C8682" t="inlineStr">
        <is>
          <t>93848fc8-17e7-4748-9ebc-c7e379e11d2f</t>
        </is>
      </c>
      <c r="D8682" t="n">
        <v>55.69341</v>
      </c>
      <c r="E8682" t="n">
        <v>37.54089</v>
      </c>
      <c r="F8682" t="inlineStr"/>
      <c r="G8682" t="inlineStr"/>
      <c r="H8682" t="inlineStr"/>
    </row>
    <row r="8683">
      <c r="A8683" t="inlineStr">
        <is>
          <t>c6e5d1cf-7573-4adf-9784-4583081fbf3c.jpg</t>
        </is>
      </c>
      <c r="B8683">
        <f>HYPERLINK("Объекты недвижимости, не соответствующие градостроительным нормам_00-022_Август/c6e5d1cf-7573-4adf-9784-4583081fbf3c.jpg","open")</f>
        <v/>
      </c>
      <c r="C8683" t="inlineStr">
        <is>
          <t>caa4772d-6278-4484-a046-ee25514bf521</t>
        </is>
      </c>
      <c r="D8683" t="n">
        <v>55.75113</v>
      </c>
      <c r="E8683" t="n">
        <v>37.67353</v>
      </c>
      <c r="F8683" t="inlineStr"/>
      <c r="G8683" t="inlineStr"/>
      <c r="H8683" t="inlineStr"/>
    </row>
    <row r="8684">
      <c r="A8684" t="inlineStr">
        <is>
          <t>49d9c46e-7381-40ee-96fb-5a5c861cfee9.jpg</t>
        </is>
      </c>
      <c r="B8684">
        <f>HYPERLINK("Объекты недвижимости, не соответствующие градостроительным нормам_00-022_Август/49d9c46e-7381-40ee-96fb-5a5c861cfee9.jpg","open")</f>
        <v/>
      </c>
      <c r="C8684" t="inlineStr">
        <is>
          <t>cbf95b01-f708-45a3-9ec0-3603469b538e</t>
        </is>
      </c>
      <c r="D8684" t="n">
        <v>55.75642</v>
      </c>
      <c r="E8684" t="n">
        <v>37.55571</v>
      </c>
      <c r="F8684" t="inlineStr"/>
      <c r="G8684" t="inlineStr"/>
      <c r="H8684" t="inlineStr"/>
    </row>
    <row r="8685">
      <c r="A8685" t="inlineStr">
        <is>
          <t>6aec4712-8dd5-4a30-95f4-35b519990e8e.jpg</t>
        </is>
      </c>
      <c r="B8685">
        <f>HYPERLINK("Объекты недвижимости, не соответствующие градостроительным нормам_00-022_Август/6aec4712-8dd5-4a30-95f4-35b519990e8e.jpg","open")</f>
        <v/>
      </c>
      <c r="C8685" t="inlineStr">
        <is>
          <t>caa4772d-6278-4484-a046-ee25514bf521</t>
        </is>
      </c>
      <c r="D8685" t="n">
        <v>55.75171</v>
      </c>
      <c r="E8685" t="n">
        <v>37.68644</v>
      </c>
      <c r="F8685" t="inlineStr"/>
      <c r="G8685" t="inlineStr"/>
      <c r="H8685" t="inlineStr"/>
    </row>
    <row r="8686">
      <c r="A8686" t="inlineStr">
        <is>
          <t>0d06d4fd-eafd-4b97-86da-ad73cac752d1.jpg</t>
        </is>
      </c>
      <c r="B8686">
        <f>HYPERLINK("Объекты недвижимости, не соответствующие градостроительным нормам_00-022_Август/0d06d4fd-eafd-4b97-86da-ad73cac752d1.jpg","open")</f>
        <v/>
      </c>
      <c r="C8686" t="inlineStr">
        <is>
          <t>caa4772d-6278-4484-a046-ee25514bf521</t>
        </is>
      </c>
      <c r="D8686" t="n">
        <v>55.75171</v>
      </c>
      <c r="E8686" t="n">
        <v>37.68644</v>
      </c>
      <c r="F8686" t="inlineStr"/>
      <c r="G8686" t="inlineStr"/>
      <c r="H8686" t="inlineStr"/>
    </row>
    <row r="8687">
      <c r="A8687" t="inlineStr">
        <is>
          <t>9621fc30-59fd-4a41-bb3e-960b31e327c3.jpg</t>
        </is>
      </c>
      <c r="B8687">
        <f>HYPERLINK("Объекты недвижимости, не соответствующие градостроительным нормам_00-022_Август/9621fc30-59fd-4a41-bb3e-960b31e327c3.jpg","open")</f>
        <v/>
      </c>
      <c r="C8687" t="inlineStr">
        <is>
          <t>caa4772d-6278-4484-a046-ee25514bf521</t>
        </is>
      </c>
      <c r="D8687" t="n">
        <v>55.75171</v>
      </c>
      <c r="E8687" t="n">
        <v>37.68644</v>
      </c>
      <c r="F8687" t="inlineStr"/>
      <c r="G8687" t="inlineStr"/>
      <c r="H8687" t="inlineStr"/>
    </row>
    <row r="8688">
      <c r="A8688" t="inlineStr">
        <is>
          <t>841c94e9-291e-418e-9b79-5bde1f8b15d3.jpg</t>
        </is>
      </c>
      <c r="B8688">
        <f>HYPERLINK("Объекты недвижимости, не соответствующие градостроительным нормам_00-022_Август/841c94e9-291e-418e-9b79-5bde1f8b15d3.jpg","open")</f>
        <v/>
      </c>
      <c r="C8688" t="inlineStr">
        <is>
          <t>caa4772d-6278-4484-a046-ee25514bf521</t>
        </is>
      </c>
      <c r="D8688" t="n">
        <v>55.75171</v>
      </c>
      <c r="E8688" t="n">
        <v>37.68644</v>
      </c>
      <c r="F8688" t="inlineStr"/>
      <c r="G8688" t="inlineStr"/>
      <c r="H8688" t="inlineStr"/>
    </row>
    <row r="8689">
      <c r="A8689" t="inlineStr">
        <is>
          <t>98942b20-cbde-48dc-a2a6-9b192b33bbd1.jpg</t>
        </is>
      </c>
      <c r="B8689">
        <f>HYPERLINK("Объекты недвижимости, не соответствующие градостроительным нормам_00-022_Август/98942b20-cbde-48dc-a2a6-9b192b33bbd1.jpg","open")</f>
        <v/>
      </c>
      <c r="C8689" t="inlineStr">
        <is>
          <t>0dd30d74-4dbc-46a8-b638-91e1431bb398</t>
        </is>
      </c>
      <c r="D8689" t="n">
        <v>55.69267</v>
      </c>
      <c r="E8689" t="n">
        <v>37.55958</v>
      </c>
      <c r="F8689" t="inlineStr"/>
      <c r="G8689" t="inlineStr"/>
      <c r="H8689" t="inlineStr"/>
    </row>
    <row r="8690">
      <c r="A8690" t="inlineStr">
        <is>
          <t>38753276-5a4b-4847-ac46-4cb73b50f784.jpg</t>
        </is>
      </c>
      <c r="B8690">
        <f>HYPERLINK("Объекты недвижимости, не соответствующие градостроительным нормам_00-022_Август/38753276-5a4b-4847-ac46-4cb73b50f784.jpg","open")</f>
        <v/>
      </c>
      <c r="C8690" t="inlineStr">
        <is>
          <t>f6f80c84-5569-48fd-b627-6f41ce4c61c4</t>
        </is>
      </c>
      <c r="D8690" t="n">
        <v>55.76052</v>
      </c>
      <c r="E8690" t="n">
        <v>37.68594</v>
      </c>
      <c r="F8690" t="inlineStr"/>
      <c r="G8690" t="inlineStr"/>
      <c r="H8690" t="inlineStr"/>
    </row>
    <row r="8691">
      <c r="A8691" t="inlineStr">
        <is>
          <t>d7780476-d64e-4bbf-a601-56030065d0d8.jpg</t>
        </is>
      </c>
      <c r="B8691">
        <f>HYPERLINK("Объекты недвижимости, не соответствующие градостроительным нормам_00-022_Август/d7780476-d64e-4bbf-a601-56030065d0d8.jpg","open")</f>
        <v/>
      </c>
      <c r="C8691" t="inlineStr">
        <is>
          <t>caa4772d-6278-4484-a046-ee25514bf521</t>
        </is>
      </c>
      <c r="D8691" t="n">
        <v>55.759</v>
      </c>
      <c r="E8691" t="n">
        <v>37.69394</v>
      </c>
      <c r="F8691" t="inlineStr"/>
      <c r="G8691" t="inlineStr"/>
      <c r="H8691" t="inlineStr"/>
    </row>
    <row r="8692">
      <c r="A8692" t="inlineStr">
        <is>
          <t>2a659227-696b-4a18-91ed-0484ecd30d4a.jpg</t>
        </is>
      </c>
      <c r="B8692">
        <f>HYPERLINK("Объекты недвижимости, не соответствующие градостроительным нормам_00-022_Август/2a659227-696b-4a18-91ed-0484ecd30d4a.jpg","open")</f>
        <v/>
      </c>
      <c r="C8692" t="inlineStr">
        <is>
          <t>93848fc8-17e7-4748-9ebc-c7e379e11d2f</t>
        </is>
      </c>
      <c r="D8692" t="n">
        <v>55.70231</v>
      </c>
      <c r="E8692" t="n">
        <v>37.57113</v>
      </c>
      <c r="F8692" t="inlineStr"/>
      <c r="G8692" t="inlineStr"/>
      <c r="H8692" t="inlineStr"/>
    </row>
    <row r="8693">
      <c r="A8693" t="inlineStr">
        <is>
          <t>deae7c44-e8a3-4ff8-b3d1-400c2fe5b278.jpg</t>
        </is>
      </c>
      <c r="B8693">
        <f>HYPERLINK("Объекты недвижимости, не соответствующие градостроительным нормам_00-022_Август/deae7c44-e8a3-4ff8-b3d1-400c2fe5b278.jpg","open")</f>
        <v/>
      </c>
      <c r="C8693" t="inlineStr">
        <is>
          <t>93848fc8-17e7-4748-9ebc-c7e379e11d2f</t>
        </is>
      </c>
      <c r="D8693" t="n">
        <v>55.70117</v>
      </c>
      <c r="E8693" t="n">
        <v>37.5712</v>
      </c>
      <c r="F8693" t="inlineStr"/>
      <c r="G8693" t="inlineStr"/>
      <c r="H8693" t="inlineStr"/>
    </row>
    <row r="8694">
      <c r="A8694" t="inlineStr">
        <is>
          <t>783d08a5-ec8a-4e4b-971a-c6006ca07e5d.jpg</t>
        </is>
      </c>
      <c r="B8694">
        <f>HYPERLINK("Объекты недвижимости, не соответствующие градостроительным нормам_00-022_Август/783d08a5-ec8a-4e4b-971a-c6006ca07e5d.jpg","open")</f>
        <v/>
      </c>
      <c r="C8694" t="inlineStr">
        <is>
          <t>caa4772d-6278-4484-a046-ee25514bf521</t>
        </is>
      </c>
      <c r="D8694" t="n">
        <v>55.76307</v>
      </c>
      <c r="E8694" t="n">
        <v>37.68114</v>
      </c>
      <c r="F8694" t="inlineStr"/>
      <c r="G8694" t="inlineStr"/>
      <c r="H8694" t="inlineStr"/>
    </row>
    <row r="8695">
      <c r="A8695" t="inlineStr">
        <is>
          <t>4b0a2442-62f6-4585-afe8-e80f696d8592.jpg</t>
        </is>
      </c>
      <c r="B8695">
        <f>HYPERLINK("Объекты недвижимости, не соответствующие градостроительным нормам_00-022_Август/4b0a2442-62f6-4585-afe8-e80f696d8592.jpg","open")</f>
        <v/>
      </c>
      <c r="C8695" t="inlineStr">
        <is>
          <t>f6f80c84-5569-48fd-b627-6f41ce4c61c4</t>
        </is>
      </c>
      <c r="D8695" t="n">
        <v>55.76765</v>
      </c>
      <c r="E8695" t="n">
        <v>37.69554</v>
      </c>
      <c r="F8695" t="inlineStr"/>
      <c r="G8695" t="inlineStr"/>
      <c r="H8695" t="inlineStr"/>
    </row>
    <row r="8696">
      <c r="A8696" t="inlineStr">
        <is>
          <t>d2b4612f-e12a-4a70-9fde-39d612c5fa3d.jpg</t>
        </is>
      </c>
      <c r="B8696">
        <f>HYPERLINK("Объекты недвижимости, не соответствующие градостроительным нормам_00-022_Август/d2b4612f-e12a-4a70-9fde-39d612c5fa3d.jpg","open")</f>
        <v/>
      </c>
      <c r="C8696" t="inlineStr">
        <is>
          <t>caa4772d-6278-4484-a046-ee25514bf521</t>
        </is>
      </c>
      <c r="D8696" t="n">
        <v>55.77142</v>
      </c>
      <c r="E8696" t="n">
        <v>37.70571</v>
      </c>
      <c r="F8696" t="inlineStr"/>
      <c r="G8696" t="inlineStr"/>
      <c r="H8696" t="inlineStr"/>
    </row>
    <row r="8697">
      <c r="A8697" t="inlineStr">
        <is>
          <t>01fcf6ab-33f4-4c37-83b5-f335701a72d5.jpg</t>
        </is>
      </c>
      <c r="B8697">
        <f>HYPERLINK("Объекты недвижимости, не соответствующие градостроительным нормам_00-022_Август/01fcf6ab-33f4-4c37-83b5-f335701a72d5.jpg","open")</f>
        <v/>
      </c>
      <c r="C8697" t="inlineStr">
        <is>
          <t>f6f80c84-5569-48fd-b627-6f41ce4c61c4</t>
        </is>
      </c>
      <c r="D8697" t="n">
        <v>55.77107</v>
      </c>
      <c r="E8697" t="n">
        <v>37.71225</v>
      </c>
      <c r="F8697" t="inlineStr"/>
      <c r="G8697" t="inlineStr"/>
      <c r="H8697" t="inlineStr"/>
    </row>
    <row r="8698">
      <c r="A8698" t="inlineStr">
        <is>
          <t>3229486e-834a-45a6-8e19-511d4af6dd4a.jpg</t>
        </is>
      </c>
      <c r="B8698">
        <f>HYPERLINK("Объекты недвижимости, не соответствующие градостроительным нормам_00-022_Август/3229486e-834a-45a6-8e19-511d4af6dd4a.jpg","open")</f>
        <v/>
      </c>
      <c r="C8698" t="inlineStr">
        <is>
          <t>caa4772d-6278-4484-a046-ee25514bf521</t>
        </is>
      </c>
      <c r="D8698" t="n">
        <v>55.77105</v>
      </c>
      <c r="E8698" t="n">
        <v>37.71218</v>
      </c>
      <c r="F8698" t="inlineStr"/>
      <c r="G8698" t="inlineStr"/>
      <c r="H8698" t="inlineStr"/>
    </row>
    <row r="8699">
      <c r="A8699" t="inlineStr">
        <is>
          <t>b751a419-c280-47e7-ba9e-26b9982379bd.jpg</t>
        </is>
      </c>
      <c r="B8699">
        <f>HYPERLINK("Объекты недвижимости, не соответствующие градостроительным нормам_00-022_Август/b751a419-c280-47e7-ba9e-26b9982379bd.jpg","open")</f>
        <v/>
      </c>
      <c r="C8699" t="inlineStr">
        <is>
          <t>caa4772d-6278-4484-a046-ee25514bf521</t>
        </is>
      </c>
      <c r="D8699" t="n">
        <v>55.77165</v>
      </c>
      <c r="E8699" t="n">
        <v>37.71018</v>
      </c>
      <c r="F8699" t="inlineStr"/>
      <c r="G8699" t="inlineStr"/>
      <c r="H8699" t="inlineStr"/>
    </row>
    <row r="8700">
      <c r="A8700" t="inlineStr">
        <is>
          <t>9b7c5287-c25c-4bb6-8f3d-13a90f511219.jpg</t>
        </is>
      </c>
      <c r="B8700">
        <f>HYPERLINK("Объекты недвижимости, не соответствующие градостроительным нормам_00-022_Август/9b7c5287-c25c-4bb6-8f3d-13a90f511219.jpg","open")</f>
        <v/>
      </c>
      <c r="C8700" t="inlineStr">
        <is>
          <t>93848fc8-17e7-4748-9ebc-c7e379e11d2f</t>
        </is>
      </c>
      <c r="D8700" t="n">
        <v>55.69221</v>
      </c>
      <c r="E8700" t="n">
        <v>37.56256</v>
      </c>
      <c r="F8700" t="inlineStr"/>
      <c r="G8700" t="inlineStr"/>
      <c r="H8700" t="inlineStr"/>
    </row>
    <row r="8701">
      <c r="A8701" t="inlineStr">
        <is>
          <t>fae84d8a-08b0-4675-99c7-342b8f95f2fa.jpg</t>
        </is>
      </c>
      <c r="B8701">
        <f>HYPERLINK("Объекты недвижимости, не соответствующие градостроительным нормам_00-022_Август/fae84d8a-08b0-4675-99c7-342b8f95f2fa.jpg","open")</f>
        <v/>
      </c>
      <c r="C8701" t="inlineStr">
        <is>
          <t>48b533d5-d106-4175-ac9b-d5ce8d90cccf</t>
        </is>
      </c>
      <c r="D8701" t="n">
        <v>55.83925</v>
      </c>
      <c r="E8701" t="n">
        <v>37.34066</v>
      </c>
      <c r="F8701" t="inlineStr"/>
      <c r="G8701" t="inlineStr"/>
      <c r="H8701" t="inlineStr"/>
    </row>
    <row r="8702">
      <c r="A8702" t="inlineStr">
        <is>
          <t>73d3c2ec-4a59-49b5-9d47-f92b10d0308a.jpg</t>
        </is>
      </c>
      <c r="B8702">
        <f>HYPERLINK("Объекты недвижимости, не соответствующие градостроительным нормам_00-022_Август/73d3c2ec-4a59-49b5-9d47-f92b10d0308a.jpg","open")</f>
        <v/>
      </c>
      <c r="C8702" t="inlineStr">
        <is>
          <t>8996eb30-6497-4318-8a0e-b95314b8172e</t>
        </is>
      </c>
      <c r="D8702" t="n">
        <v>55.83924</v>
      </c>
      <c r="E8702" t="n">
        <v>37.34066</v>
      </c>
      <c r="F8702" t="inlineStr"/>
      <c r="G8702" t="inlineStr"/>
      <c r="H8702" t="inlineStr"/>
    </row>
    <row r="8703">
      <c r="A8703" t="inlineStr">
        <is>
          <t>6e8b550d-4885-4c2d-9ad6-69583709ece2.jpg</t>
        </is>
      </c>
      <c r="B8703">
        <f>HYPERLINK("Объекты недвижимости, не соответствующие градостроительным нормам_00-022_Август/6e8b550d-4885-4c2d-9ad6-69583709ece2.jpg","open")</f>
        <v/>
      </c>
      <c r="C8703" t="inlineStr">
        <is>
          <t>48b533d5-d106-4175-ac9b-d5ce8d90cccf</t>
        </is>
      </c>
      <c r="D8703" t="n">
        <v>55.82864</v>
      </c>
      <c r="E8703" t="n">
        <v>37.35293</v>
      </c>
      <c r="F8703" t="inlineStr"/>
      <c r="G8703" t="inlineStr"/>
      <c r="H8703" t="inlineStr"/>
    </row>
    <row r="8704">
      <c r="A8704" t="inlineStr">
        <is>
          <t>763753b0-1263-4c06-864c-8b2ca0c4faee.jpg</t>
        </is>
      </c>
      <c r="B8704">
        <f>HYPERLINK("Объекты недвижимости, не соответствующие градостроительным нормам_00-022_Август/763753b0-1263-4c06-864c-8b2ca0c4faee.jpg","open")</f>
        <v/>
      </c>
      <c r="C8704" t="inlineStr">
        <is>
          <t>8cde1fd0-eca1-4510-86ab-3c743b65fdfc</t>
        </is>
      </c>
      <c r="D8704" t="n">
        <v>55.89269</v>
      </c>
      <c r="E8704" t="n">
        <v>37.533</v>
      </c>
      <c r="F8704" t="inlineStr"/>
      <c r="G8704" t="inlineStr"/>
      <c r="H8704" t="inlineStr"/>
    </row>
    <row r="8705">
      <c r="A8705" t="inlineStr">
        <is>
          <t>38322d46-b2e3-4514-8fba-258d8b942024.jpg</t>
        </is>
      </c>
      <c r="B8705">
        <f>HYPERLINK("Объекты недвижимости, не соответствующие градостроительным нормам_00-022_Август/38322d46-b2e3-4514-8fba-258d8b942024.jpg","open")</f>
        <v/>
      </c>
      <c r="C8705" t="inlineStr">
        <is>
          <t>1c951e11-4940-43c6-a447-394097e5609a</t>
        </is>
      </c>
      <c r="D8705" t="n">
        <v>55.89285</v>
      </c>
      <c r="E8705" t="n">
        <v>37.53328</v>
      </c>
      <c r="F8705" t="inlineStr"/>
      <c r="G8705" t="inlineStr"/>
      <c r="H8705" t="inlineStr"/>
    </row>
    <row r="8706">
      <c r="A8706" t="inlineStr">
        <is>
          <t>349d7390-ac27-40a9-8eec-fb674eec745f.jpg</t>
        </is>
      </c>
      <c r="B8706">
        <f>HYPERLINK("Объекты недвижимости, не соответствующие градостроительным нормам_00-022_Август/349d7390-ac27-40a9-8eec-fb674eec745f.jpg","open")</f>
        <v/>
      </c>
      <c r="C8706" t="inlineStr">
        <is>
          <t>caa4772d-6278-4484-a046-ee25514bf521</t>
        </is>
      </c>
      <c r="D8706" t="n">
        <v>55.77085</v>
      </c>
      <c r="E8706" t="n">
        <v>37.71342</v>
      </c>
      <c r="F8706" t="inlineStr"/>
      <c r="G8706" t="inlineStr"/>
      <c r="H8706" t="inlineStr"/>
    </row>
    <row r="8707">
      <c r="A8707" t="inlineStr">
        <is>
          <t>596500df-9766-4d57-955c-dcf45ac6231a.jpg</t>
        </is>
      </c>
      <c r="B8707">
        <f>HYPERLINK("Объекты недвижимости, не соответствующие градостроительным нормам_00-022_Август/596500df-9766-4d57-955c-dcf45ac6231a.jpg","open")</f>
        <v/>
      </c>
      <c r="C8707" t="inlineStr">
        <is>
          <t>48b533d5-d106-4175-ac9b-d5ce8d90cccf</t>
        </is>
      </c>
      <c r="D8707" t="n">
        <v>55.82888</v>
      </c>
      <c r="E8707" t="n">
        <v>37.35387</v>
      </c>
      <c r="F8707" t="inlineStr"/>
      <c r="G8707" t="inlineStr"/>
      <c r="H8707" t="inlineStr"/>
    </row>
    <row r="8708">
      <c r="A8708" t="inlineStr">
        <is>
          <t>e52cebd9-7867-4097-b850-0586e32dd67d.jpg</t>
        </is>
      </c>
      <c r="B8708">
        <f>HYPERLINK("Объекты недвижимости, не соответствующие градостроительным нормам_00-022_Август/e52cebd9-7867-4097-b850-0586e32dd67d.jpg","open")</f>
        <v/>
      </c>
      <c r="C8708" t="inlineStr">
        <is>
          <t>8996eb30-6497-4318-8a0e-b95314b8172e</t>
        </is>
      </c>
      <c r="D8708" t="n">
        <v>55.82875</v>
      </c>
      <c r="E8708" t="n">
        <v>37.35382</v>
      </c>
      <c r="F8708" t="inlineStr"/>
      <c r="G8708" t="inlineStr"/>
      <c r="H8708" t="inlineStr"/>
    </row>
    <row r="8709">
      <c r="A8709" t="inlineStr">
        <is>
          <t>3856d988-dab4-4617-8354-345bd8e8f48d.jpg</t>
        </is>
      </c>
      <c r="B8709">
        <f>HYPERLINK("Объекты недвижимости, не соответствующие градостроительным нормам_00-022_Август/3856d988-dab4-4617-8354-345bd8e8f48d.jpg","open")</f>
        <v/>
      </c>
      <c r="C8709" t="inlineStr">
        <is>
          <t>8996eb30-6497-4318-8a0e-b95314b8172e</t>
        </is>
      </c>
      <c r="D8709" t="n">
        <v>55.81979</v>
      </c>
      <c r="E8709" t="n">
        <v>37.35826</v>
      </c>
      <c r="F8709" t="inlineStr"/>
      <c r="G8709" t="inlineStr"/>
      <c r="H8709" t="inlineStr"/>
    </row>
    <row r="8710">
      <c r="A8710" t="inlineStr">
        <is>
          <t>44831e8d-ba53-477d-8da9-0661334af828.jpg</t>
        </is>
      </c>
      <c r="B8710">
        <f>HYPERLINK("Объекты недвижимости, не соответствующие градостроительным нормам_00-022_Август/44831e8d-ba53-477d-8da9-0661334af828.jpg","open")</f>
        <v/>
      </c>
      <c r="C8710" t="inlineStr">
        <is>
          <t>8996eb30-6497-4318-8a0e-b95314b8172e</t>
        </is>
      </c>
      <c r="D8710" t="n">
        <v>55.81864</v>
      </c>
      <c r="E8710" t="n">
        <v>37.35572</v>
      </c>
      <c r="F8710" t="inlineStr"/>
      <c r="G8710" t="inlineStr"/>
      <c r="H8710" t="inlineStr"/>
    </row>
    <row r="8711">
      <c r="A8711" t="inlineStr">
        <is>
          <t>aef6a84b-3c57-4c6b-9c7f-a2ecaf400e81.jpg</t>
        </is>
      </c>
      <c r="B8711">
        <f>HYPERLINK("Объекты недвижимости, не соответствующие градостроительным нормам_00-022_Август/aef6a84b-3c57-4c6b-9c7f-a2ecaf400e81.jpg","open")</f>
        <v/>
      </c>
      <c r="C8711" t="inlineStr">
        <is>
          <t>1c951e11-4940-43c6-a447-394097e5609a</t>
        </is>
      </c>
      <c r="D8711" t="n">
        <v>55.89915</v>
      </c>
      <c r="E8711" t="n">
        <v>37.53026</v>
      </c>
      <c r="F8711" t="inlineStr"/>
      <c r="G8711" t="inlineStr"/>
      <c r="H8711" t="inlineStr"/>
    </row>
    <row r="8712">
      <c r="A8712" t="inlineStr">
        <is>
          <t>ad812a64-994a-4bfd-98b5-c11aa7be9224.jpg</t>
        </is>
      </c>
      <c r="B8712">
        <f>HYPERLINK("Объекты недвижимости, не соответствующие градостроительным нормам_00-022_Август/ad812a64-994a-4bfd-98b5-c11aa7be9224.jpg","open")</f>
        <v/>
      </c>
      <c r="C8712" t="inlineStr">
        <is>
          <t>caa4772d-6278-4484-a046-ee25514bf521</t>
        </is>
      </c>
      <c r="D8712" t="n">
        <v>55.7629</v>
      </c>
      <c r="E8712" t="n">
        <v>37.70809</v>
      </c>
      <c r="F8712" t="inlineStr"/>
      <c r="G8712" t="inlineStr"/>
      <c r="H8712" t="inlineStr"/>
    </row>
    <row r="8713">
      <c r="A8713" t="inlineStr">
        <is>
          <t>5e93ef26-a5d0-42bc-a6a6-1b2252750c0e.jpg</t>
        </is>
      </c>
      <c r="B8713">
        <f>HYPERLINK("Объекты недвижимости, не соответствующие градостроительным нормам_00-022_Август/5e93ef26-a5d0-42bc-a6a6-1b2252750c0e.jpg","open")</f>
        <v/>
      </c>
      <c r="C8713" t="inlineStr">
        <is>
          <t>caa4772d-6278-4484-a046-ee25514bf521</t>
        </is>
      </c>
      <c r="D8713" t="n">
        <v>55.76329</v>
      </c>
      <c r="E8713" t="n">
        <v>37.70847</v>
      </c>
      <c r="F8713" t="inlineStr"/>
      <c r="G8713" t="inlineStr"/>
      <c r="H8713" t="inlineStr"/>
    </row>
    <row r="8714">
      <c r="A8714" t="inlineStr">
        <is>
          <t>df00e66b-b0dd-4c8a-8465-c181317ecc0e.jpg</t>
        </is>
      </c>
      <c r="B8714">
        <f>HYPERLINK("Объекты недвижимости, не соответствующие градостроительным нормам_00-022_Август/df00e66b-b0dd-4c8a-8465-c181317ecc0e.jpg","open")</f>
        <v/>
      </c>
      <c r="C8714" t="inlineStr">
        <is>
          <t>caa4772d-6278-4484-a046-ee25514bf521</t>
        </is>
      </c>
      <c r="D8714" t="n">
        <v>55.75301</v>
      </c>
      <c r="E8714" t="n">
        <v>37.71617</v>
      </c>
      <c r="F8714" t="inlineStr"/>
      <c r="G8714" t="inlineStr"/>
      <c r="H8714" t="inlineStr"/>
    </row>
    <row r="8715">
      <c r="A8715" t="inlineStr">
        <is>
          <t>f444a54f-f336-4fa3-8bf9-176c7c2bbd07.jpg</t>
        </is>
      </c>
      <c r="B8715">
        <f>HYPERLINK("Объекты недвижимости, не соответствующие градостроительным нормам_00-022_Август/f444a54f-f336-4fa3-8bf9-176c7c2bbd07.jpg","open")</f>
        <v/>
      </c>
      <c r="C8715" t="inlineStr">
        <is>
          <t>f6f80c84-5569-48fd-b627-6f41ce4c61c4</t>
        </is>
      </c>
      <c r="D8715" t="n">
        <v>55.7415</v>
      </c>
      <c r="E8715" t="n">
        <v>37.71653</v>
      </c>
      <c r="F8715" t="inlineStr"/>
      <c r="G8715" t="inlineStr"/>
      <c r="H8715" t="inlineStr"/>
    </row>
    <row r="8716">
      <c r="A8716" t="inlineStr">
        <is>
          <t>0e0d44b5-2586-40e9-ab32-1c8a2103c00f.jpg</t>
        </is>
      </c>
      <c r="B8716">
        <f>HYPERLINK("Объекты недвижимости, не соответствующие градостроительным нормам_00-022_Август/0e0d44b5-2586-40e9-ab32-1c8a2103c00f.jpg","open")</f>
        <v/>
      </c>
      <c r="C8716" t="inlineStr">
        <is>
          <t>f6f80c84-5569-48fd-b627-6f41ce4c61c4</t>
        </is>
      </c>
      <c r="D8716" t="n">
        <v>55.74147</v>
      </c>
      <c r="E8716" t="n">
        <v>37.7164</v>
      </c>
      <c r="F8716" t="inlineStr"/>
      <c r="G8716" t="inlineStr"/>
      <c r="H8716" t="inlineStr"/>
    </row>
    <row r="8717">
      <c r="A8717" t="inlineStr">
        <is>
          <t>8e591323-396b-4ef3-acf5-24a1d154fbb0.jpg</t>
        </is>
      </c>
      <c r="B8717">
        <f>HYPERLINK("Объекты недвижимости, не соответствующие градостроительным нормам_00-022_Август/8e591323-396b-4ef3-acf5-24a1d154fbb0.jpg","open")</f>
        <v/>
      </c>
      <c r="C8717" t="inlineStr">
        <is>
          <t>caa4772d-6278-4484-a046-ee25514bf521</t>
        </is>
      </c>
      <c r="D8717" t="n">
        <v>55.74148</v>
      </c>
      <c r="E8717" t="n">
        <v>37.71638</v>
      </c>
      <c r="F8717" t="inlineStr"/>
      <c r="G8717" t="inlineStr"/>
      <c r="H8717" t="inlineStr"/>
    </row>
    <row r="8718">
      <c r="A8718" t="inlineStr">
        <is>
          <t>807fac83-1380-4e0a-a2ba-48e1253b6e87.jpg</t>
        </is>
      </c>
      <c r="B8718">
        <f>HYPERLINK("Объекты недвижимости, не соответствующие градостроительным нормам_00-022_Август/807fac83-1380-4e0a-a2ba-48e1253b6e87.jpg","open")</f>
        <v/>
      </c>
      <c r="C8718" t="inlineStr">
        <is>
          <t>caa4772d-6278-4484-a046-ee25514bf521</t>
        </is>
      </c>
      <c r="D8718" t="n">
        <v>55.73794</v>
      </c>
      <c r="E8718" t="n">
        <v>37.7207</v>
      </c>
      <c r="F8718" t="inlineStr"/>
      <c r="G8718" t="inlineStr"/>
      <c r="H8718" t="inlineStr"/>
    </row>
    <row r="8719">
      <c r="A8719" t="inlineStr">
        <is>
          <t>104c9ec0-64ac-40c8-b352-45f35db0a47c.jpg</t>
        </is>
      </c>
      <c r="B8719">
        <f>HYPERLINK("Объекты недвижимости, не соответствующие градостроительным нормам_00-022_Август/104c9ec0-64ac-40c8-b352-45f35db0a47c.jpg","open")</f>
        <v/>
      </c>
      <c r="C8719" t="inlineStr">
        <is>
          <t>f6f80c84-5569-48fd-b627-6f41ce4c61c4</t>
        </is>
      </c>
      <c r="D8719" t="n">
        <v>55.73806</v>
      </c>
      <c r="E8719" t="n">
        <v>37.72075</v>
      </c>
      <c r="F8719" t="inlineStr"/>
      <c r="G8719" t="inlineStr"/>
      <c r="H8719" t="inlineStr"/>
    </row>
    <row r="8720">
      <c r="A8720" t="inlineStr">
        <is>
          <t>585dd9b2-2769-468f-b0f8-40a340872807.jpg</t>
        </is>
      </c>
      <c r="B8720">
        <f>HYPERLINK("Объекты недвижимости, не соответствующие градостроительным нормам_00-022_Август/585dd9b2-2769-468f-b0f8-40a340872807.jpg","open")</f>
        <v/>
      </c>
      <c r="C8720" t="inlineStr">
        <is>
          <t>f6f80c84-5569-48fd-b627-6f41ce4c61c4</t>
        </is>
      </c>
      <c r="D8720" t="n">
        <v>55.73838</v>
      </c>
      <c r="E8720" t="n">
        <v>37.72743</v>
      </c>
      <c r="F8720" t="inlineStr"/>
      <c r="G8720" t="inlineStr"/>
      <c r="H8720" t="inlineStr"/>
    </row>
    <row r="8721">
      <c r="A8721" t="inlineStr">
        <is>
          <t>6369a8fd-5f3b-443c-8b4d-7a3924c8c7df.jpg</t>
        </is>
      </c>
      <c r="B8721">
        <f>HYPERLINK("Объекты недвижимости, не соответствующие градостроительным нормам_00-022_Август/6369a8fd-5f3b-443c-8b4d-7a3924c8c7df.jpg","open")</f>
        <v/>
      </c>
      <c r="C8721" t="inlineStr">
        <is>
          <t>caa4772d-6278-4484-a046-ee25514bf521</t>
        </is>
      </c>
      <c r="D8721" t="n">
        <v>55.73848</v>
      </c>
      <c r="E8721" t="n">
        <v>37.72745</v>
      </c>
      <c r="F8721" t="inlineStr"/>
      <c r="G8721" t="inlineStr"/>
      <c r="H8721" t="inlineStr"/>
    </row>
    <row r="8722">
      <c r="A8722" t="inlineStr">
        <is>
          <t>77d1c3d0-98bf-4f93-8789-55c9e5e77c73.jpg</t>
        </is>
      </c>
      <c r="B8722">
        <f>HYPERLINK("Объекты недвижимости, не соответствующие градостроительным нормам_00-022_Август/77d1c3d0-98bf-4f93-8789-55c9e5e77c73.jpg","open")</f>
        <v/>
      </c>
      <c r="C8722" t="inlineStr">
        <is>
          <t>1c951e11-4940-43c6-a447-394097e5609a</t>
        </is>
      </c>
      <c r="D8722" t="n">
        <v>55.89101</v>
      </c>
      <c r="E8722" t="n">
        <v>37.51555</v>
      </c>
      <c r="F8722" t="inlineStr"/>
      <c r="G8722" t="inlineStr"/>
      <c r="H8722" t="inlineStr"/>
    </row>
    <row r="8723">
      <c r="A8723" t="inlineStr">
        <is>
          <t>4070b0f5-37c1-422b-bd2c-dda49ab1cec5.jpg</t>
        </is>
      </c>
      <c r="B8723">
        <f>HYPERLINK("Объекты недвижимости, не соответствующие градостроительным нормам_00-022_Август/4070b0f5-37c1-422b-bd2c-dda49ab1cec5.jpg","open")</f>
        <v/>
      </c>
      <c r="C8723" t="inlineStr">
        <is>
          <t>8cde1fd0-eca1-4510-86ab-3c743b65fdfc</t>
        </is>
      </c>
      <c r="D8723" t="n">
        <v>55.89281</v>
      </c>
      <c r="E8723" t="n">
        <v>37.51963</v>
      </c>
      <c r="F8723" t="inlineStr"/>
      <c r="G8723" t="inlineStr"/>
      <c r="H8723" t="inlineStr"/>
    </row>
    <row r="8724">
      <c r="A8724" t="inlineStr">
        <is>
          <t>eba6e562-8161-4f49-842a-234fdd551a0f.jpg</t>
        </is>
      </c>
      <c r="B8724">
        <f>HYPERLINK("Объекты недвижимости, не соответствующие градостроительным нормам_00-022_Август/eba6e562-8161-4f49-842a-234fdd551a0f.jpg","open")</f>
        <v/>
      </c>
      <c r="C8724" t="inlineStr">
        <is>
          <t>8cde1fd0-eca1-4510-86ab-3c743b65fdfc</t>
        </is>
      </c>
      <c r="D8724" t="n">
        <v>55.89071</v>
      </c>
      <c r="E8724" t="n">
        <v>37.51449</v>
      </c>
      <c r="F8724" t="inlineStr"/>
      <c r="G8724" t="inlineStr"/>
      <c r="H8724" t="inlineStr"/>
    </row>
    <row r="8725">
      <c r="A8725" t="inlineStr">
        <is>
          <t>6f4238f2-513c-42ed-82ad-4b23b80b713d.jpg</t>
        </is>
      </c>
      <c r="B8725">
        <f>HYPERLINK("Объекты недвижимости, не соответствующие градостроительным нормам_00-022_Август/6f4238f2-513c-42ed-82ad-4b23b80b713d.jpg","open")</f>
        <v/>
      </c>
      <c r="C8725" t="inlineStr">
        <is>
          <t>caa4772d-6278-4484-a046-ee25514bf521</t>
        </is>
      </c>
      <c r="D8725" t="n">
        <v>55.74695</v>
      </c>
      <c r="E8725" t="n">
        <v>37.71587</v>
      </c>
      <c r="F8725" t="inlineStr"/>
      <c r="G8725" t="inlineStr"/>
      <c r="H8725" t="inlineStr"/>
    </row>
    <row r="8726">
      <c r="A8726" t="inlineStr">
        <is>
          <t>a6d5cc5b-9561-4f64-b648-f4a0183f8803.jpg</t>
        </is>
      </c>
      <c r="B8726">
        <f>HYPERLINK("Объекты недвижимости, не соответствующие градостроительным нормам_00-022_Август/a6d5cc5b-9561-4f64-b648-f4a0183f8803.jpg","open")</f>
        <v/>
      </c>
      <c r="C8726" t="inlineStr">
        <is>
          <t>9c930d0e-e445-452d-a046-325646b21ab7</t>
        </is>
      </c>
      <c r="D8726" t="n">
        <v>55.84723</v>
      </c>
      <c r="E8726" t="n">
        <v>37.58486</v>
      </c>
      <c r="F8726" t="inlineStr"/>
      <c r="G8726" t="inlineStr"/>
      <c r="H8726" t="inlineStr"/>
    </row>
    <row r="8727">
      <c r="A8727" t="inlineStr">
        <is>
          <t>365c2d49-4f3e-4c3d-a8e1-6072d5da3939.jpg</t>
        </is>
      </c>
      <c r="B8727">
        <f>HYPERLINK("Объекты недвижимости, не соответствующие градостроительным нормам_00-022_Август/365c2d49-4f3e-4c3d-a8e1-6072d5da3939.jpg","open")</f>
        <v/>
      </c>
      <c r="C8727" t="inlineStr">
        <is>
          <t>8996eb30-6497-4318-8a0e-b95314b8172e</t>
        </is>
      </c>
      <c r="D8727" t="n">
        <v>55.97623</v>
      </c>
      <c r="E8727" t="n">
        <v>37.43042</v>
      </c>
      <c r="F8727" t="inlineStr"/>
      <c r="G8727" t="inlineStr"/>
      <c r="H8727" t="inlineStr"/>
    </row>
    <row r="8728">
      <c r="A8728" t="inlineStr">
        <is>
          <t>e9dc71d0-ac34-4a02-ab89-0c6ade37f9a0.jpg</t>
        </is>
      </c>
      <c r="B8728">
        <f>HYPERLINK("Объекты недвижимости, не соответствующие градостроительным нормам_00-022_Август/e9dc71d0-ac34-4a02-ab89-0c6ade37f9a0.jpg","open")</f>
        <v/>
      </c>
      <c r="C8728" t="inlineStr">
        <is>
          <t>ed2bf0f1-3a66-4913-896e-4420a9796c0b</t>
        </is>
      </c>
      <c r="D8728" t="n">
        <v>55.63697</v>
      </c>
      <c r="E8728" t="n">
        <v>37.6757</v>
      </c>
      <c r="F8728" t="inlineStr"/>
      <c r="G8728" t="inlineStr"/>
      <c r="H8728" t="inlineStr"/>
    </row>
    <row r="8729">
      <c r="A8729" t="inlineStr">
        <is>
          <t>efbf3df5-2d74-40fd-bec6-757401ab164e.jpg</t>
        </is>
      </c>
      <c r="B8729">
        <f>HYPERLINK("Объекты недвижимости, не соответствующие градостроительным нормам_00-022_Август/efbf3df5-2d74-40fd-bec6-757401ab164e.jpg","open")</f>
        <v/>
      </c>
      <c r="C8729" t="inlineStr">
        <is>
          <t>8996eb30-6497-4318-8a0e-b95314b8172e</t>
        </is>
      </c>
      <c r="D8729" t="n">
        <v>55.76984</v>
      </c>
      <c r="E8729" t="n">
        <v>37.68937</v>
      </c>
      <c r="F8729" t="inlineStr"/>
      <c r="G8729" t="inlineStr"/>
      <c r="H8729" t="inlineStr"/>
    </row>
    <row r="8730">
      <c r="A8730" t="inlineStr">
        <is>
          <t>3434984c-3ac6-4916-85e7-50661aefacd6.jpg</t>
        </is>
      </c>
      <c r="B8730">
        <f>HYPERLINK("Объекты недвижимости, не соответствующие градостроительным нормам_00-022_Август/3434984c-3ac6-4916-85e7-50661aefacd6.jpg","open")</f>
        <v/>
      </c>
      <c r="C8730" t="inlineStr">
        <is>
          <t>8beacb4f-617e-4b34-8030-60c4dff5f8d1</t>
        </is>
      </c>
      <c r="D8730" t="n">
        <v>55.7303</v>
      </c>
      <c r="E8730" t="n">
        <v>37.54724</v>
      </c>
      <c r="F8730" t="inlineStr"/>
      <c r="G8730" t="inlineStr"/>
      <c r="H8730" t="inlineStr"/>
    </row>
    <row r="8731">
      <c r="A8731" t="inlineStr">
        <is>
          <t>c3b87079-6a4e-4bbf-80a0-839692de1cb6.jpg</t>
        </is>
      </c>
      <c r="B8731">
        <f>HYPERLINK("Объекты недвижимости, не соответствующие градостроительным нормам_00-022_Август/c3b87079-6a4e-4bbf-80a0-839692de1cb6.jpg","open")</f>
        <v/>
      </c>
      <c r="C8731" t="inlineStr">
        <is>
          <t>fb40ed24-21ef-458a-a239-038ab19932cc</t>
        </is>
      </c>
      <c r="D8731" t="n">
        <v>55.80329</v>
      </c>
      <c r="E8731" t="n">
        <v>37.82597</v>
      </c>
      <c r="F8731" t="inlineStr"/>
      <c r="G8731" t="inlineStr"/>
      <c r="H8731" t="inlineStr"/>
    </row>
    <row r="8732">
      <c r="A8732" t="inlineStr">
        <is>
          <t>5401830f-5f11-4591-b9b8-4cc14afafac7.jpg</t>
        </is>
      </c>
      <c r="B8732">
        <f>HYPERLINK("Объекты недвижимости, не соответствующие градостроительным нормам_00-022_Август/5401830f-5f11-4591-b9b8-4cc14afafac7.jpg","open")</f>
        <v/>
      </c>
      <c r="C8732" t="inlineStr">
        <is>
          <t>71239877-3cfe-4ed6-87a7-5c84ab51c75a</t>
        </is>
      </c>
      <c r="D8732" t="n">
        <v>55.75477</v>
      </c>
      <c r="E8732" t="n">
        <v>37.58045</v>
      </c>
      <c r="F8732" t="inlineStr"/>
      <c r="G8732" t="inlineStr"/>
      <c r="H8732" t="inlineStr"/>
    </row>
    <row r="8733">
      <c r="A8733" t="inlineStr">
        <is>
          <t>852f8a58-bee5-402b-8910-94ca83a34f1d.jpg</t>
        </is>
      </c>
      <c r="B8733">
        <f>HYPERLINK("Объекты недвижимости, не соответствующие градостроительным нормам_00-022_Август/852f8a58-bee5-402b-8910-94ca83a34f1d.jpg","open")</f>
        <v/>
      </c>
      <c r="C8733" t="inlineStr">
        <is>
          <t>cbf95b01-f708-45a3-9ec0-3603469b538e</t>
        </is>
      </c>
      <c r="D8733" t="n">
        <v>55.7728</v>
      </c>
      <c r="E8733" t="n">
        <v>37.67638</v>
      </c>
      <c r="F8733" t="inlineStr"/>
      <c r="G8733" t="inlineStr"/>
      <c r="H8733" t="inlineStr"/>
    </row>
    <row r="8734">
      <c r="A8734" t="inlineStr">
        <is>
          <t>c7061a7b-e190-434e-877a-1e50f6f72b3d.jpg</t>
        </is>
      </c>
      <c r="B8734">
        <f>HYPERLINK("Объекты недвижимости, не соответствующие градостроительным нормам_00-022_Август/c7061a7b-e190-434e-877a-1e50f6f72b3d.jpg","open")</f>
        <v/>
      </c>
      <c r="C8734" t="inlineStr">
        <is>
          <t>91248771-2c4d-44f3-b3cf-d536bd4ae73c</t>
        </is>
      </c>
      <c r="D8734" t="n">
        <v>55.7324</v>
      </c>
      <c r="E8734" t="n">
        <v>37.69577</v>
      </c>
      <c r="F8734" t="inlineStr"/>
      <c r="G8734" t="inlineStr"/>
      <c r="H8734" t="inlineStr"/>
    </row>
    <row r="8735">
      <c r="A8735" t="inlineStr">
        <is>
          <t>89b6ccac-03dd-4ec1-82ee-76fb520db5ba.jpg</t>
        </is>
      </c>
      <c r="B8735">
        <f>HYPERLINK("Объекты недвижимости, не соответствующие градостроительным нормам_00-022_Август/89b6ccac-03dd-4ec1-82ee-76fb520db5ba.jpg","open")</f>
        <v/>
      </c>
      <c r="C8735" t="inlineStr">
        <is>
          <t>cbf95b01-f708-45a3-9ec0-3603469b538e</t>
        </is>
      </c>
      <c r="D8735" t="n">
        <v>55.77418</v>
      </c>
      <c r="E8735" t="n">
        <v>37.67361</v>
      </c>
      <c r="F8735" t="inlineStr"/>
      <c r="G8735" t="inlineStr"/>
      <c r="H8735" t="inlineStr"/>
    </row>
    <row r="8736">
      <c r="A8736" t="inlineStr">
        <is>
          <t>b41fe7d7-eb4f-4ee9-8003-32bbfb3dbb2d.jpg</t>
        </is>
      </c>
      <c r="B8736">
        <f>HYPERLINK("Объекты недвижимости, не соответствующие градостроительным нормам_00-022_Август/b41fe7d7-eb4f-4ee9-8003-32bbfb3dbb2d.jpg","open")</f>
        <v/>
      </c>
      <c r="C8736" t="inlineStr">
        <is>
          <t>cbf95b01-f708-45a3-9ec0-3603469b538e</t>
        </is>
      </c>
      <c r="D8736" t="n">
        <v>55.7663</v>
      </c>
      <c r="E8736" t="n">
        <v>37.67806</v>
      </c>
      <c r="F8736" t="inlineStr"/>
      <c r="G8736" t="inlineStr"/>
      <c r="H8736" t="inlineStr"/>
    </row>
    <row r="8737">
      <c r="A8737" t="inlineStr">
        <is>
          <t>d7bd4f4e-175a-47e5-ab6d-31567b58bc33.jpg</t>
        </is>
      </c>
      <c r="B8737">
        <f>HYPERLINK("Объекты недвижимости, не соответствующие градостроительным нормам_00-022_Август/d7bd4f4e-175a-47e5-ab6d-31567b58bc33.jpg","open")</f>
        <v/>
      </c>
      <c r="C8737" t="inlineStr">
        <is>
          <t>8cde1fd0-eca1-4510-86ab-3c743b65fdfc</t>
        </is>
      </c>
      <c r="D8737" t="n">
        <v>55.80691</v>
      </c>
      <c r="E8737" t="n">
        <v>37.58128</v>
      </c>
      <c r="F8737" t="inlineStr"/>
      <c r="G8737" t="inlineStr"/>
      <c r="H8737" t="inlineStr"/>
    </row>
    <row r="8738">
      <c r="A8738" t="inlineStr">
        <is>
          <t>979fd339-3a34-4439-a04a-c0622b1dd2dd.jpg</t>
        </is>
      </c>
      <c r="B8738">
        <f>HYPERLINK("Объекты недвижимости, не соответствующие градостроительным нормам_00-022_Август/979fd339-3a34-4439-a04a-c0622b1dd2dd.jpg","open")</f>
        <v/>
      </c>
      <c r="C8738" t="inlineStr">
        <is>
          <t>a1a9db89-3f74-42ef-8fad-ad69705102cd</t>
        </is>
      </c>
      <c r="D8738" t="n">
        <v>55.72912</v>
      </c>
      <c r="E8738" t="n">
        <v>37.65449</v>
      </c>
      <c r="F8738" t="inlineStr"/>
      <c r="G8738" t="inlineStr"/>
      <c r="H8738" t="inlineStr"/>
    </row>
    <row r="8739">
      <c r="A8739" t="inlineStr">
        <is>
          <t>7b66f9f0-23f1-49f5-803b-b6f44e91b786.jpg</t>
        </is>
      </c>
      <c r="B8739">
        <f>HYPERLINK("Объекты недвижимости, не соответствующие градостроительным нормам_00-022_Август/7b66f9f0-23f1-49f5-803b-b6f44e91b786.jpg","open")</f>
        <v/>
      </c>
      <c r="C8739" t="inlineStr">
        <is>
          <t>a1a9db89-3f74-42ef-8fad-ad69705102cd</t>
        </is>
      </c>
      <c r="D8739" t="n">
        <v>55.72912</v>
      </c>
      <c r="E8739" t="n">
        <v>37.65449</v>
      </c>
      <c r="F8739" t="inlineStr"/>
      <c r="G8739" t="inlineStr"/>
      <c r="H8739" t="inlineStr"/>
    </row>
    <row r="8740">
      <c r="A8740" t="inlineStr">
        <is>
          <t>140705de-91ba-4916-ba3d-372b163c63aa.jpg</t>
        </is>
      </c>
      <c r="B8740">
        <f>HYPERLINK("Объекты недвижимости, не соответствующие градостроительным нормам_00-022_Август/140705de-91ba-4916-ba3d-372b163c63aa.jpg","open")</f>
        <v/>
      </c>
      <c r="C8740" t="inlineStr">
        <is>
          <t>93848fc8-17e7-4748-9ebc-c7e379e11d2f</t>
        </is>
      </c>
      <c r="D8740" t="n">
        <v>55.7541</v>
      </c>
      <c r="E8740" t="n">
        <v>37.69085</v>
      </c>
      <c r="F8740" t="inlineStr"/>
      <c r="G8740" t="inlineStr"/>
      <c r="H8740" t="inlineStr"/>
    </row>
    <row r="8741">
      <c r="A8741" t="inlineStr">
        <is>
          <t>ef9682f5-eaea-4e25-89ac-6861907a4573.jpg</t>
        </is>
      </c>
      <c r="B8741">
        <f>HYPERLINK("Объекты недвижимости, не соответствующие градостроительным нормам_00-022_Август/ef9682f5-eaea-4e25-89ac-6861907a4573.jpg","open")</f>
        <v/>
      </c>
      <c r="C8741" t="inlineStr">
        <is>
          <t>0dd30d74-4dbc-46a8-b638-91e1431bb398</t>
        </is>
      </c>
      <c r="D8741" t="n">
        <v>55.7541</v>
      </c>
      <c r="E8741" t="n">
        <v>37.69085</v>
      </c>
      <c r="F8741" t="inlineStr"/>
      <c r="G8741" t="inlineStr"/>
      <c r="H8741" t="inlineStr"/>
    </row>
    <row r="8742">
      <c r="A8742" t="inlineStr">
        <is>
          <t>b1a8734e-3c50-4d13-adec-39789cb66b98.jpg</t>
        </is>
      </c>
      <c r="B8742">
        <f>HYPERLINK("Объекты недвижимости, не соответствующие градостроительным нормам_00-022_Август/b1a8734e-3c50-4d13-adec-39789cb66b98.jpg","open")</f>
        <v/>
      </c>
      <c r="C8742" t="inlineStr">
        <is>
          <t>cbf95b01-f708-45a3-9ec0-3603469b538e</t>
        </is>
      </c>
      <c r="D8742" t="n">
        <v>55.72912</v>
      </c>
      <c r="E8742" t="n">
        <v>37.65449</v>
      </c>
      <c r="F8742" t="inlineStr"/>
      <c r="G8742" t="inlineStr"/>
      <c r="H8742" t="inlineStr"/>
    </row>
    <row r="8743">
      <c r="A8743" t="inlineStr">
        <is>
          <t>bb200494-d6e1-4359-8159-4ef38a46c95d.jpg</t>
        </is>
      </c>
      <c r="B8743">
        <f>HYPERLINK("Объекты недвижимости, не соответствующие градостроительным нормам_00-022_Август/bb200494-d6e1-4359-8159-4ef38a46c95d.jpg","open")</f>
        <v/>
      </c>
      <c r="C8743" t="inlineStr">
        <is>
          <t>cbf95b01-f708-45a3-9ec0-3603469b538e</t>
        </is>
      </c>
      <c r="D8743" t="n">
        <v>55.72912</v>
      </c>
      <c r="E8743" t="n">
        <v>37.65449</v>
      </c>
      <c r="F8743" t="inlineStr"/>
      <c r="G8743" t="inlineStr"/>
      <c r="H8743" t="inlineStr"/>
    </row>
    <row r="8744">
      <c r="A8744" t="inlineStr">
        <is>
          <t>eb2c3571-8911-4cde-8761-03e97f288a1b.jpg</t>
        </is>
      </c>
      <c r="B8744">
        <f>HYPERLINK("Объекты недвижимости, не соответствующие градостроительным нормам_00-022_Август/eb2c3571-8911-4cde-8761-03e97f288a1b.jpg","open")</f>
        <v/>
      </c>
      <c r="C8744" t="inlineStr">
        <is>
          <t>a1a9db89-3f74-42ef-8fad-ad69705102cd</t>
        </is>
      </c>
      <c r="D8744" t="n">
        <v>55.72912</v>
      </c>
      <c r="E8744" t="n">
        <v>37.65449</v>
      </c>
      <c r="F8744" t="inlineStr"/>
      <c r="G8744" t="inlineStr"/>
      <c r="H8744" t="inlineStr"/>
    </row>
    <row r="8745">
      <c r="A8745" t="inlineStr">
        <is>
          <t>50b60977-8f77-4098-a22e-8c1d348e8abe.jpg</t>
        </is>
      </c>
      <c r="B8745">
        <f>HYPERLINK("Объекты недвижимости, не соответствующие градостроительным нормам_00-022_Август/50b60977-8f77-4098-a22e-8c1d348e8abe.jpg","open")</f>
        <v/>
      </c>
      <c r="C8745" t="inlineStr">
        <is>
          <t>cbf95b01-f708-45a3-9ec0-3603469b538e</t>
        </is>
      </c>
      <c r="D8745" t="n">
        <v>55.72912</v>
      </c>
      <c r="E8745" t="n">
        <v>37.65449</v>
      </c>
      <c r="F8745" t="inlineStr"/>
      <c r="G8745" t="inlineStr"/>
      <c r="H8745" t="inlineStr"/>
    </row>
    <row r="8746">
      <c r="A8746" t="inlineStr">
        <is>
          <t>449bb0f6-2d8f-4d91-ba19-de5e1980b545.jpg</t>
        </is>
      </c>
      <c r="B8746">
        <f>HYPERLINK("Объекты недвижимости, не соответствующие градостроительным нормам_00-022_Август/449bb0f6-2d8f-4d91-ba19-de5e1980b545.jpg","open")</f>
        <v/>
      </c>
      <c r="C8746" t="inlineStr">
        <is>
          <t>cbf95b01-f708-45a3-9ec0-3603469b538e</t>
        </is>
      </c>
      <c r="D8746" t="n">
        <v>55.72912</v>
      </c>
      <c r="E8746" t="n">
        <v>37.65449</v>
      </c>
      <c r="F8746" t="inlineStr"/>
      <c r="G8746" t="inlineStr"/>
      <c r="H8746" t="inlineStr"/>
    </row>
    <row r="8747">
      <c r="A8747" t="inlineStr">
        <is>
          <t>5b1257a4-d4b9-4560-9ab3-e75da0b0e242.jpg</t>
        </is>
      </c>
      <c r="B8747">
        <f>HYPERLINK("Объекты недвижимости, не соответствующие градостроительным нормам_00-022_Август/5b1257a4-d4b9-4560-9ab3-e75da0b0e242.jpg","open")</f>
        <v/>
      </c>
      <c r="C8747" t="inlineStr">
        <is>
          <t>797901ad-53b1-41b8-99d1-d59d59c863d5</t>
        </is>
      </c>
      <c r="D8747" t="n">
        <v>55.81702</v>
      </c>
      <c r="E8747" t="n">
        <v>37.77823</v>
      </c>
      <c r="F8747" t="inlineStr"/>
      <c r="G8747" t="inlineStr"/>
      <c r="H8747" t="inlineStr"/>
    </row>
    <row r="8748">
      <c r="A8748" t="inlineStr">
        <is>
          <t>2ef3f84d-2b35-49cf-b678-36b2d603f9e0.jpg</t>
        </is>
      </c>
      <c r="B8748">
        <f>HYPERLINK("Объекты недвижимости, не соответствующие градостроительным нормам_00-022_Август/2ef3f84d-2b35-49cf-b678-36b2d603f9e0.jpg","open")</f>
        <v/>
      </c>
      <c r="C8748" t="inlineStr">
        <is>
          <t>fb40ed24-21ef-458a-a239-038ab19932cc</t>
        </is>
      </c>
      <c r="D8748" t="n">
        <v>55.81702</v>
      </c>
      <c r="E8748" t="n">
        <v>37.77823</v>
      </c>
      <c r="F8748" t="inlineStr"/>
      <c r="G8748" t="inlineStr"/>
      <c r="H8748" t="inlineStr"/>
    </row>
    <row r="8749">
      <c r="A8749" t="inlineStr">
        <is>
          <t>20dbc6e4-ba7a-4cee-95c1-a7eacab27f57.jpg</t>
        </is>
      </c>
      <c r="B8749">
        <f>HYPERLINK("Объекты недвижимости, не соответствующие градостроительным нормам_00-022_Август/20dbc6e4-ba7a-4cee-95c1-a7eacab27f57.jpg","open")</f>
        <v/>
      </c>
      <c r="C8749" t="inlineStr">
        <is>
          <t>caa4772d-6278-4484-a046-ee25514bf521</t>
        </is>
      </c>
      <c r="D8749" t="n">
        <v>55.75054</v>
      </c>
      <c r="E8749" t="n">
        <v>37.71281</v>
      </c>
      <c r="F8749" t="inlineStr"/>
      <c r="G8749" t="inlineStr"/>
      <c r="H8749" t="inlineStr"/>
    </row>
    <row r="8750">
      <c r="A8750" t="inlineStr">
        <is>
          <t>791de539-a39e-4567-b3fd-15126116f944.jpg</t>
        </is>
      </c>
      <c r="B8750">
        <f>HYPERLINK("Объекты недвижимости, не соответствующие градостроительным нормам_00-022_Август/791de539-a39e-4567-b3fd-15126116f944.jpg","open")</f>
        <v/>
      </c>
      <c r="C8750" t="inlineStr">
        <is>
          <t>caa4772d-6278-4484-a046-ee25514bf521</t>
        </is>
      </c>
      <c r="D8750" t="n">
        <v>55.74913</v>
      </c>
      <c r="E8750" t="n">
        <v>37.71598</v>
      </c>
      <c r="F8750" t="inlineStr"/>
      <c r="G8750" t="inlineStr"/>
      <c r="H8750" t="inlineStr"/>
    </row>
    <row r="8751">
      <c r="A8751" t="inlineStr">
        <is>
          <t>f01ae5de-b739-4181-a289-a5ce977e8aa4.jpg</t>
        </is>
      </c>
      <c r="B8751">
        <f>HYPERLINK("Объекты недвижимости, не соответствующие градостроительным нормам_00-022_Август/f01ae5de-b739-4181-a289-a5ce977e8aa4.jpg","open")</f>
        <v/>
      </c>
      <c r="C8751" t="inlineStr">
        <is>
          <t>ed2bf0f1-3a66-4913-896e-4420a9796c0b</t>
        </is>
      </c>
      <c r="D8751" t="n">
        <v>55.65152</v>
      </c>
      <c r="E8751" t="n">
        <v>37.70234</v>
      </c>
      <c r="F8751" t="inlineStr"/>
      <c r="G8751" t="inlineStr"/>
      <c r="H8751" t="inlineStr"/>
    </row>
    <row r="8752">
      <c r="A8752" t="inlineStr">
        <is>
          <t>ed9b1b54-309f-4a42-8387-07a35bbca0c2.jpg</t>
        </is>
      </c>
      <c r="B8752">
        <f>HYPERLINK("Объекты недвижимости, не соответствующие градостроительным нормам_00-022_Август/ed9b1b54-309f-4a42-8387-07a35bbca0c2.jpg","open")</f>
        <v/>
      </c>
      <c r="C8752" t="inlineStr">
        <is>
          <t>48b533d5-d106-4175-ac9b-d5ce8d90cccf</t>
        </is>
      </c>
      <c r="D8752" t="n">
        <v>55.96771</v>
      </c>
      <c r="E8752" t="n">
        <v>37.42735</v>
      </c>
      <c r="F8752" t="inlineStr"/>
      <c r="G8752" t="inlineStr"/>
      <c r="H8752" t="inlineStr"/>
    </row>
    <row r="8753">
      <c r="A8753" t="inlineStr">
        <is>
          <t>74c06555-0590-4be9-9f52-23ab16171f9d.jpg</t>
        </is>
      </c>
      <c r="B8753">
        <f>HYPERLINK("Объекты недвижимости, не соответствующие градостроительным нормам_00-022_Август/74c06555-0590-4be9-9f52-23ab16171f9d.jpg","open")</f>
        <v/>
      </c>
      <c r="C8753" t="inlineStr">
        <is>
          <t>8beacb4f-617e-4b34-8030-60c4dff5f8d1</t>
        </is>
      </c>
      <c r="D8753" t="n">
        <v>55.75477</v>
      </c>
      <c r="E8753" t="n">
        <v>37.58045</v>
      </c>
      <c r="F8753" t="inlineStr"/>
      <c r="G8753" t="inlineStr"/>
      <c r="H8753" t="inlineStr"/>
    </row>
    <row r="8754">
      <c r="A8754" t="inlineStr">
        <is>
          <t>102c9741-98f6-4f19-a637-516a9dadb681.jpg</t>
        </is>
      </c>
      <c r="B8754">
        <f>HYPERLINK("Объекты недвижимости, не соответствующие градостроительным нормам_00-022_Август/102c9741-98f6-4f19-a637-516a9dadb681.jpg","open")</f>
        <v/>
      </c>
      <c r="C8754" t="inlineStr">
        <is>
          <t>8beacb4f-617e-4b34-8030-60c4dff5f8d1</t>
        </is>
      </c>
      <c r="D8754" t="n">
        <v>55.75477</v>
      </c>
      <c r="E8754" t="n">
        <v>37.58045</v>
      </c>
      <c r="F8754" t="inlineStr"/>
      <c r="G8754" t="inlineStr"/>
      <c r="H8754" t="inlineStr"/>
    </row>
    <row r="8755">
      <c r="A8755" t="inlineStr">
        <is>
          <t>0b3b27da-3ca5-4906-ad8b-3ebf8c95bde4.jpg</t>
        </is>
      </c>
      <c r="B8755">
        <f>HYPERLINK("Объекты недвижимости, не соответствующие градостроительным нормам_00-022_Август/0b3b27da-3ca5-4906-ad8b-3ebf8c95bde4.jpg","open")</f>
        <v/>
      </c>
      <c r="C8755" t="inlineStr">
        <is>
          <t>71239877-3cfe-4ed6-87a7-5c84ab51c75a</t>
        </is>
      </c>
      <c r="D8755" t="n">
        <v>55.75477</v>
      </c>
      <c r="E8755" t="n">
        <v>37.58045</v>
      </c>
      <c r="F8755" t="inlineStr"/>
      <c r="G8755" t="inlineStr"/>
      <c r="H8755" t="inlineStr"/>
    </row>
    <row r="8756">
      <c r="A8756" t="inlineStr">
        <is>
          <t>723447e3-58cb-4183-87ba-2e2eea9df253.jpg</t>
        </is>
      </c>
      <c r="B8756">
        <f>HYPERLINK("Объекты недвижимости, не соответствующие градостроительным нормам_00-022_Август/723447e3-58cb-4183-87ba-2e2eea9df253.jpg","open")</f>
        <v/>
      </c>
      <c r="C8756" t="inlineStr">
        <is>
          <t>71239877-3cfe-4ed6-87a7-5c84ab51c75a</t>
        </is>
      </c>
      <c r="D8756" t="n">
        <v>55.75477</v>
      </c>
      <c r="E8756" t="n">
        <v>37.58045</v>
      </c>
      <c r="F8756" t="inlineStr"/>
      <c r="G8756" t="inlineStr"/>
      <c r="H8756" t="inlineStr"/>
    </row>
    <row r="8757">
      <c r="A8757" t="inlineStr">
        <is>
          <t>6f93e14a-763a-4428-b74d-6296257c28ec.jpg</t>
        </is>
      </c>
      <c r="B8757">
        <f>HYPERLINK("Объекты недвижимости, не соответствующие градостроительным нормам_00-022_Август/6f93e14a-763a-4428-b74d-6296257c28ec.jpg","open")</f>
        <v/>
      </c>
      <c r="C8757" t="inlineStr">
        <is>
          <t>8beacb4f-617e-4b34-8030-60c4dff5f8d1</t>
        </is>
      </c>
      <c r="D8757" t="n">
        <v>55.75477</v>
      </c>
      <c r="E8757" t="n">
        <v>37.58045</v>
      </c>
      <c r="F8757" t="inlineStr"/>
      <c r="G8757" t="inlineStr"/>
      <c r="H8757" t="inlineStr"/>
    </row>
    <row r="8758">
      <c r="A8758" t="inlineStr">
        <is>
          <t>cb312ea1-8ad4-4926-bd56-c8e390e8c0b2.jpg</t>
        </is>
      </c>
      <c r="B8758">
        <f>HYPERLINK("Объекты недвижимости, не соответствующие градостроительным нормам_00-022_Август/cb312ea1-8ad4-4926-bd56-c8e390e8c0b2.jpg","open")</f>
        <v/>
      </c>
      <c r="C8758" t="inlineStr">
        <is>
          <t>8beacb4f-617e-4b34-8030-60c4dff5f8d1</t>
        </is>
      </c>
      <c r="D8758" t="n">
        <v>55.75477</v>
      </c>
      <c r="E8758" t="n">
        <v>37.58045</v>
      </c>
      <c r="F8758" t="inlineStr"/>
      <c r="G8758" t="inlineStr"/>
      <c r="H8758" t="inlineStr"/>
    </row>
    <row r="8759">
      <c r="A8759" t="inlineStr">
        <is>
          <t>e49a2bb4-d4bb-4519-bd12-16bb01be084f.jpg</t>
        </is>
      </c>
      <c r="B8759">
        <f>HYPERLINK("Объекты недвижимости, не соответствующие градостроительным нормам_00-022_Август/e49a2bb4-d4bb-4519-bd12-16bb01be084f.jpg","open")</f>
        <v/>
      </c>
      <c r="C8759" t="inlineStr">
        <is>
          <t>caa4772d-6278-4484-a046-ee25514bf521</t>
        </is>
      </c>
      <c r="D8759" t="n">
        <v>55.76472</v>
      </c>
      <c r="E8759" t="n">
        <v>37.70065</v>
      </c>
      <c r="F8759" t="inlineStr"/>
      <c r="G8759" t="inlineStr"/>
      <c r="H8759" t="inlineStr"/>
    </row>
    <row r="8760">
      <c r="A8760" t="inlineStr">
        <is>
          <t>c5959f25-948b-4d19-8f66-83d6002177b3.jpg</t>
        </is>
      </c>
      <c r="B8760">
        <f>HYPERLINK("Объекты недвижимости, не соответствующие градостроительным нормам_00-022_Август/c5959f25-948b-4d19-8f66-83d6002177b3.jpg","open")</f>
        <v/>
      </c>
      <c r="C8760" t="inlineStr">
        <is>
          <t>caa4772d-6278-4484-a046-ee25514bf521</t>
        </is>
      </c>
      <c r="D8760" t="n">
        <v>55.76421</v>
      </c>
      <c r="E8760" t="n">
        <v>37.70003</v>
      </c>
      <c r="F8760" t="inlineStr"/>
      <c r="G8760" t="inlineStr"/>
      <c r="H8760" t="inlineStr"/>
    </row>
    <row r="8761">
      <c r="A8761" t="inlineStr">
        <is>
          <t>ceede978-a8b7-409e-a796-3063e07e26fd.jpg</t>
        </is>
      </c>
      <c r="B8761">
        <f>HYPERLINK("Объекты недвижимости, не соответствующие градостроительным нормам_00-022_Август/ceede978-a8b7-409e-a796-3063e07e26fd.jpg","open")</f>
        <v/>
      </c>
      <c r="C8761" t="inlineStr">
        <is>
          <t>1c951e11-4940-43c6-a447-394097e5609a</t>
        </is>
      </c>
      <c r="D8761" t="n">
        <v>55.86315</v>
      </c>
      <c r="E8761" t="n">
        <v>37.48499</v>
      </c>
      <c r="F8761" t="inlineStr"/>
      <c r="G8761" t="inlineStr"/>
      <c r="H8761" t="inlineStr"/>
    </row>
    <row r="8762">
      <c r="A8762" t="inlineStr">
        <is>
          <t>70861755-49ef-4356-8fe4-dc0467123cc1.jpg</t>
        </is>
      </c>
      <c r="B8762">
        <f>HYPERLINK("Объекты недвижимости, не соответствующие градостроительным нормам_00-022_Август/70861755-49ef-4356-8fe4-dc0467123cc1.jpg","open")</f>
        <v/>
      </c>
      <c r="C8762" t="inlineStr">
        <is>
          <t>ed2bf0f1-3a66-4913-896e-4420a9796c0b</t>
        </is>
      </c>
      <c r="D8762" t="n">
        <v>55.40821</v>
      </c>
      <c r="E8762" t="n">
        <v>37.50205</v>
      </c>
      <c r="F8762" t="inlineStr"/>
      <c r="G8762" t="inlineStr"/>
      <c r="H8762" t="inlineStr"/>
    </row>
    <row r="8763">
      <c r="A8763" t="inlineStr">
        <is>
          <t>4890558f-2abd-44de-9834-00500c043baa.jpg</t>
        </is>
      </c>
      <c r="B8763">
        <f>HYPERLINK("Объекты недвижимости, не соответствующие градостроительным нормам_00-022_Август/4890558f-2abd-44de-9834-00500c043baa.jpg","open")</f>
        <v/>
      </c>
      <c r="C8763" t="inlineStr">
        <is>
          <t>052a5a2b-f222-4b50-b2cc-21612f1f234a</t>
        </is>
      </c>
      <c r="D8763" t="n">
        <v>55.97441</v>
      </c>
      <c r="E8763" t="n">
        <v>37.39909</v>
      </c>
      <c r="F8763" t="inlineStr"/>
      <c r="G8763" t="inlineStr"/>
      <c r="H8763" t="inlineStr"/>
    </row>
    <row r="8764">
      <c r="A8764" t="inlineStr">
        <is>
          <t>5483949c-a50c-4aac-a259-da17944b7469.jpg</t>
        </is>
      </c>
      <c r="B8764">
        <f>HYPERLINK("Объекты недвижимости, не соответствующие градостроительным нормам_00-022_Август/5483949c-a50c-4aac-a259-da17944b7469.jpg","open")</f>
        <v/>
      </c>
      <c r="C8764" t="inlineStr">
        <is>
          <t>8cde1fd0-eca1-4510-86ab-3c743b65fdfc</t>
        </is>
      </c>
      <c r="D8764" t="n">
        <v>55.86805</v>
      </c>
      <c r="E8764" t="n">
        <v>37.49328</v>
      </c>
      <c r="F8764" t="inlineStr"/>
      <c r="G8764" t="inlineStr"/>
      <c r="H8764" t="inlineStr"/>
    </row>
    <row r="8765">
      <c r="A8765" t="inlineStr">
        <is>
          <t>b7205e91-5db0-4148-a8bc-a5fefdb50249.jpg</t>
        </is>
      </c>
      <c r="B8765">
        <f>HYPERLINK("Объекты недвижимости, не соответствующие градостроительным нормам_00-022_Август/b7205e91-5db0-4148-a8bc-a5fefdb50249.jpg","open")</f>
        <v/>
      </c>
      <c r="C8765" t="inlineStr">
        <is>
          <t>93848fc8-17e7-4748-9ebc-c7e379e11d2f</t>
        </is>
      </c>
      <c r="D8765" t="n">
        <v>55.68833</v>
      </c>
      <c r="E8765" t="n">
        <v>37.57396</v>
      </c>
      <c r="F8765" t="inlineStr"/>
      <c r="G8765" t="inlineStr"/>
      <c r="H8765" t="inlineStr"/>
    </row>
    <row r="8766">
      <c r="A8766" t="inlineStr">
        <is>
          <t>fc5e1475-d17c-4b96-b4e2-e57bfeeac817.jpg</t>
        </is>
      </c>
      <c r="B8766">
        <f>HYPERLINK("Объекты недвижимости, не соответствующие градостроительным нормам_00-022_Август/fc5e1475-d17c-4b96-b4e2-e57bfeeac817.jpg","open")</f>
        <v/>
      </c>
      <c r="C8766" t="inlineStr">
        <is>
          <t>caa4772d-6278-4484-a046-ee25514bf521</t>
        </is>
      </c>
      <c r="D8766" t="n">
        <v>55.76006</v>
      </c>
      <c r="E8766" t="n">
        <v>37.70207</v>
      </c>
      <c r="F8766" t="inlineStr"/>
      <c r="G8766" t="inlineStr"/>
      <c r="H8766" t="inlineStr"/>
    </row>
    <row r="8767">
      <c r="A8767" t="inlineStr">
        <is>
          <t>6d456943-9fef-46a5-95f6-321d345f69de.jpg</t>
        </is>
      </c>
      <c r="B8767">
        <f>HYPERLINK("Объекты недвижимости, не соответствующие градостроительным нормам_00-022_Август/6d456943-9fef-46a5-95f6-321d345f69de.jpg","open")</f>
        <v/>
      </c>
      <c r="C8767" t="inlineStr">
        <is>
          <t>a1a9db89-3f74-42ef-8fad-ad69705102cd</t>
        </is>
      </c>
      <c r="D8767" t="n">
        <v>55.77486</v>
      </c>
      <c r="E8767" t="n">
        <v>37.58508</v>
      </c>
      <c r="F8767" t="inlineStr"/>
      <c r="G8767" t="inlineStr"/>
      <c r="H8767" t="inlineStr"/>
    </row>
    <row r="8768">
      <c r="A8768" t="inlineStr">
        <is>
          <t>11bb06f3-4fcb-4306-bc77-01e049d7ec74.jpg</t>
        </is>
      </c>
      <c r="B8768">
        <f>HYPERLINK("Объекты недвижимости, не соответствующие градостроительным нормам_00-022_Август/11bb06f3-4fcb-4306-bc77-01e049d7ec74.jpg","open")</f>
        <v/>
      </c>
      <c r="C8768" t="inlineStr">
        <is>
          <t>cbf95b01-f708-45a3-9ec0-3603469b538e</t>
        </is>
      </c>
      <c r="D8768" t="n">
        <v>55.77517</v>
      </c>
      <c r="E8768" t="n">
        <v>37.58418</v>
      </c>
      <c r="F8768" t="inlineStr"/>
      <c r="G8768" t="inlineStr"/>
      <c r="H8768" t="inlineStr"/>
    </row>
    <row r="8769">
      <c r="A8769" t="inlineStr">
        <is>
          <t>b97faef8-c809-4b4f-8a59-a258c689a5fb.jpg</t>
        </is>
      </c>
      <c r="B8769">
        <f>HYPERLINK("Объекты недвижимости, не соответствующие градостроительным нормам_00-022_Август/b97faef8-c809-4b4f-8a59-a258c689a5fb.jpg","open")</f>
        <v/>
      </c>
      <c r="C8769" t="inlineStr">
        <is>
          <t>e90a3ac0-5b70-4ede-abeb-382371713306</t>
        </is>
      </c>
      <c r="D8769" t="n">
        <v>55.68207</v>
      </c>
      <c r="E8769" t="n">
        <v>37.5686</v>
      </c>
      <c r="F8769" t="inlineStr"/>
      <c r="G8769" t="inlineStr"/>
      <c r="H8769" t="inlineStr"/>
    </row>
    <row r="8770">
      <c r="A8770" t="inlineStr">
        <is>
          <t>6ae6dea7-e78d-46a1-b234-f17c130cb8ee.jpg</t>
        </is>
      </c>
      <c r="B8770">
        <f>HYPERLINK("Объекты недвижимости, не соответствующие градостроительным нормам_00-022_Август/6ae6dea7-e78d-46a1-b234-f17c130cb8ee.jpg","open")</f>
        <v/>
      </c>
      <c r="C8770" t="inlineStr">
        <is>
          <t>caa4772d-6278-4484-a046-ee25514bf521</t>
        </is>
      </c>
      <c r="D8770" t="n">
        <v>55.76776</v>
      </c>
      <c r="E8770" t="n">
        <v>37.69653</v>
      </c>
      <c r="F8770" t="inlineStr"/>
      <c r="G8770" t="inlineStr"/>
      <c r="H8770" t="inlineStr"/>
    </row>
    <row r="8771">
      <c r="A8771" t="inlineStr">
        <is>
          <t>31c3b37e-da00-4d72-a9d6-4b4365dfc9a9.jpg</t>
        </is>
      </c>
      <c r="B8771">
        <f>HYPERLINK("Объекты недвижимости, не соответствующие градостроительным нормам_00-022_Август/31c3b37e-da00-4d72-a9d6-4b4365dfc9a9.jpg","open")</f>
        <v/>
      </c>
      <c r="C8771" t="inlineStr">
        <is>
          <t>f6f80c84-5569-48fd-b627-6f41ce4c61c4</t>
        </is>
      </c>
      <c r="D8771" t="n">
        <v>55.76776</v>
      </c>
      <c r="E8771" t="n">
        <v>37.69653</v>
      </c>
      <c r="F8771" t="inlineStr"/>
      <c r="G8771" t="inlineStr"/>
      <c r="H8771" t="inlineStr"/>
    </row>
    <row r="8772">
      <c r="A8772" t="inlineStr">
        <is>
          <t>d1cf94a2-2ca6-4daa-a073-89e9e5ae1a2e.jpg</t>
        </is>
      </c>
      <c r="B8772">
        <f>HYPERLINK("Объекты недвижимости, не соответствующие градостроительным нормам_00-022_Август/d1cf94a2-2ca6-4daa-a073-89e9e5ae1a2e.jpg","open")</f>
        <v/>
      </c>
      <c r="C8772" t="inlineStr">
        <is>
          <t>caa4772d-6278-4484-a046-ee25514bf521</t>
        </is>
      </c>
      <c r="D8772" t="n">
        <v>55.76776</v>
      </c>
      <c r="E8772" t="n">
        <v>37.69653</v>
      </c>
      <c r="F8772" t="inlineStr"/>
      <c r="G8772" t="inlineStr"/>
      <c r="H8772" t="inlineStr"/>
    </row>
    <row r="8773">
      <c r="A8773" t="inlineStr">
        <is>
          <t>c88785b1-cb38-44c2-bc47-e5c706519d60.jpg</t>
        </is>
      </c>
      <c r="B8773">
        <f>HYPERLINK("Объекты недвижимости, не соответствующие градостроительным нормам_00-022_Август/c88785b1-cb38-44c2-bc47-e5c706519d60.jpg","open")</f>
        <v/>
      </c>
      <c r="C8773" t="inlineStr">
        <is>
          <t>caa4772d-6278-4484-a046-ee25514bf521</t>
        </is>
      </c>
      <c r="D8773" t="n">
        <v>55.75623</v>
      </c>
      <c r="E8773" t="n">
        <v>37.69068</v>
      </c>
      <c r="F8773" t="inlineStr"/>
      <c r="G8773" t="inlineStr"/>
      <c r="H8773" t="inlineStr"/>
    </row>
    <row r="8774">
      <c r="A8774" t="inlineStr">
        <is>
          <t>ed829850-5248-4673-ad3d-5a362e887fb6.jpg</t>
        </is>
      </c>
      <c r="B8774">
        <f>HYPERLINK("Объекты недвижимости, не соответствующие градостроительным нормам_00-022_Август/ed829850-5248-4673-ad3d-5a362e887fb6.jpg","open")</f>
        <v/>
      </c>
      <c r="C8774" t="inlineStr">
        <is>
          <t>cbf95b01-f708-45a3-9ec0-3603469b538e</t>
        </is>
      </c>
      <c r="D8774" t="n">
        <v>55.79118</v>
      </c>
      <c r="E8774" t="n">
        <v>37.59004</v>
      </c>
      <c r="F8774" t="inlineStr"/>
      <c r="G8774" t="inlineStr"/>
      <c r="H8774" t="inlineStr"/>
    </row>
    <row r="8775">
      <c r="A8775" t="inlineStr">
        <is>
          <t>c93aff91-51e1-49d0-99c7-aeb2cb54d249.jpg</t>
        </is>
      </c>
      <c r="B8775">
        <f>HYPERLINK("Объекты недвижимости, не соответствующие градостроительным нормам_00-022_Август/c93aff91-51e1-49d0-99c7-aeb2cb54d249.jpg","open")</f>
        <v/>
      </c>
      <c r="C8775" t="inlineStr">
        <is>
          <t>cbf95b01-f708-45a3-9ec0-3603469b538e</t>
        </is>
      </c>
      <c r="D8775" t="n">
        <v>55.79115</v>
      </c>
      <c r="E8775" t="n">
        <v>37.58997</v>
      </c>
      <c r="F8775" t="inlineStr"/>
      <c r="G8775" t="inlineStr"/>
      <c r="H8775" t="inlineStr"/>
    </row>
    <row r="8776">
      <c r="A8776" t="inlineStr">
        <is>
          <t>b5df4cc6-c695-4eb4-b1d7-7652baca03d2.jpg</t>
        </is>
      </c>
      <c r="B8776">
        <f>HYPERLINK("Объекты недвижимости, не соответствующие градостроительным нормам_00-022_Август/b5df4cc6-c695-4eb4-b1d7-7652baca03d2.jpg","open")</f>
        <v/>
      </c>
      <c r="C8776" t="inlineStr">
        <is>
          <t>cbf95b01-f708-45a3-9ec0-3603469b538e</t>
        </is>
      </c>
      <c r="D8776" t="n">
        <v>55.79507</v>
      </c>
      <c r="E8776" t="n">
        <v>37.58153</v>
      </c>
      <c r="F8776" t="inlineStr"/>
      <c r="G8776" t="inlineStr"/>
      <c r="H8776" t="inlineStr"/>
    </row>
    <row r="8777">
      <c r="A8777" t="inlineStr">
        <is>
          <t>99aee6ff-3a23-4933-9425-98048752c0d0.jpg</t>
        </is>
      </c>
      <c r="B8777">
        <f>HYPERLINK("Объекты недвижимости, не соответствующие градостроительным нормам_00-022_Август/99aee6ff-3a23-4933-9425-98048752c0d0.jpg","open")</f>
        <v/>
      </c>
      <c r="C8777" t="inlineStr">
        <is>
          <t>48b533d5-d106-4175-ac9b-d5ce8d90cccf</t>
        </is>
      </c>
      <c r="D8777" t="n">
        <v>55.84417</v>
      </c>
      <c r="E8777" t="n">
        <v>37.36779</v>
      </c>
      <c r="F8777" t="inlineStr"/>
      <c r="G8777" t="inlineStr"/>
      <c r="H8777" t="inlineStr"/>
    </row>
    <row r="8778">
      <c r="A8778" t="inlineStr">
        <is>
          <t>f115cbd3-af64-48f9-9cb1-344b57b0faec.jpg</t>
        </is>
      </c>
      <c r="B8778">
        <f>HYPERLINK("Объекты недвижимости, не соответствующие градостроительным нормам_00-022_Август/f115cbd3-af64-48f9-9cb1-344b57b0faec.jpg","open")</f>
        <v/>
      </c>
      <c r="C8778" t="inlineStr">
        <is>
          <t>8996eb30-6497-4318-8a0e-b95314b8172e</t>
        </is>
      </c>
      <c r="D8778" t="n">
        <v>55.8442</v>
      </c>
      <c r="E8778" t="n">
        <v>37.36782</v>
      </c>
      <c r="F8778" t="inlineStr"/>
      <c r="G8778" t="inlineStr"/>
      <c r="H8778" t="inlineStr"/>
    </row>
    <row r="8779">
      <c r="A8779" t="inlineStr">
        <is>
          <t>b93a6a7d-51e3-408a-8a11-5343558502eb.jpg</t>
        </is>
      </c>
      <c r="B8779">
        <f>HYPERLINK("Объекты недвижимости, не соответствующие градостроительным нормам_00-022_Август/b93a6a7d-51e3-408a-8a11-5343558502eb.jpg","open")</f>
        <v/>
      </c>
      <c r="C8779" t="inlineStr">
        <is>
          <t>caa4772d-6278-4484-a046-ee25514bf521</t>
        </is>
      </c>
      <c r="D8779" t="n">
        <v>55.74962</v>
      </c>
      <c r="E8779" t="n">
        <v>37.70425</v>
      </c>
      <c r="F8779" t="inlineStr"/>
      <c r="G8779" t="inlineStr"/>
      <c r="H8779" t="inlineStr"/>
    </row>
    <row r="8780">
      <c r="A8780" t="inlineStr">
        <is>
          <t>89823551-ce58-45e4-bf57-5019d6acf011.jpg</t>
        </is>
      </c>
      <c r="B8780">
        <f>HYPERLINK("Объекты недвижимости, не соответствующие градостроительным нормам_00-022_Август/89823551-ce58-45e4-bf57-5019d6acf011.jpg","open")</f>
        <v/>
      </c>
      <c r="C8780" t="inlineStr">
        <is>
          <t>caa4772d-6278-4484-a046-ee25514bf521</t>
        </is>
      </c>
      <c r="D8780" t="n">
        <v>55.74902</v>
      </c>
      <c r="E8780" t="n">
        <v>37.70358</v>
      </c>
      <c r="F8780" t="inlineStr"/>
      <c r="G8780" t="inlineStr"/>
      <c r="H8780" t="inlineStr"/>
    </row>
    <row r="8781">
      <c r="A8781" t="inlineStr">
        <is>
          <t>dc513f34-694d-4391-b5ca-01f88b8575cc.jpg</t>
        </is>
      </c>
      <c r="B8781">
        <f>HYPERLINK("Объекты недвижимости, не соответствующие градостроительным нормам_00-022_Август/dc513f34-694d-4391-b5ca-01f88b8575cc.jpg","open")</f>
        <v/>
      </c>
      <c r="C8781" t="inlineStr">
        <is>
          <t>caa4772d-6278-4484-a046-ee25514bf521</t>
        </is>
      </c>
      <c r="D8781" t="n">
        <v>55.74644</v>
      </c>
      <c r="E8781" t="n">
        <v>37.68379</v>
      </c>
      <c r="F8781" t="inlineStr"/>
      <c r="G8781" t="inlineStr"/>
      <c r="H8781" t="inlineStr"/>
    </row>
    <row r="8782">
      <c r="A8782" t="inlineStr">
        <is>
          <t>07cec9db-d5fd-4b2c-8642-6f216a39b5bb.jpg</t>
        </is>
      </c>
      <c r="B8782">
        <f>HYPERLINK("Объекты недвижимости, не соответствующие градостроительным нормам_00-022_Август/07cec9db-d5fd-4b2c-8642-6f216a39b5bb.jpg","open")</f>
        <v/>
      </c>
      <c r="C8782" t="inlineStr">
        <is>
          <t>8996eb30-6497-4318-8a0e-b95314b8172e</t>
        </is>
      </c>
      <c r="D8782" t="n">
        <v>55.98245</v>
      </c>
      <c r="E8782" t="n">
        <v>37.41611</v>
      </c>
      <c r="F8782" t="inlineStr"/>
      <c r="G8782" t="inlineStr"/>
      <c r="H8782" t="inlineStr"/>
    </row>
    <row r="8783">
      <c r="A8783" t="inlineStr">
        <is>
          <t>fd1bc535-a494-4b34-8ede-103c8ab1037f.jpg</t>
        </is>
      </c>
      <c r="B8783">
        <f>HYPERLINK("Объекты недвижимости, не соответствующие градостроительным нормам_00-022_Август/fd1bc535-a494-4b34-8ede-103c8ab1037f.jpg","open")</f>
        <v/>
      </c>
      <c r="C8783" t="inlineStr">
        <is>
          <t>a1a9db89-3f74-42ef-8fad-ad69705102cd</t>
        </is>
      </c>
      <c r="D8783" t="n">
        <v>55.81139</v>
      </c>
      <c r="E8783" t="n">
        <v>37.53106</v>
      </c>
      <c r="F8783" t="inlineStr"/>
      <c r="G8783" t="inlineStr"/>
      <c r="H8783" t="inlineStr"/>
    </row>
    <row r="8784">
      <c r="A8784" t="inlineStr">
        <is>
          <t>ef17f2e3-3f38-46e9-ac4f-8e78d0ec4c2b.jpg</t>
        </is>
      </c>
      <c r="B8784">
        <f>HYPERLINK("Объекты недвижимости, не соответствующие градостроительным нормам_00-022_Август/ef17f2e3-3f38-46e9-ac4f-8e78d0ec4c2b.jpg","open")</f>
        <v/>
      </c>
      <c r="C8784" t="inlineStr">
        <is>
          <t>9ca2abb7-5978-4e19-b2b4-4d185fa6739e</t>
        </is>
      </c>
      <c r="D8784" t="n">
        <v>55.68073</v>
      </c>
      <c r="E8784" t="n">
        <v>37.45105</v>
      </c>
      <c r="F8784" t="inlineStr"/>
      <c r="G8784" t="inlineStr"/>
      <c r="H8784" t="inlineStr"/>
    </row>
    <row r="8785">
      <c r="A8785" t="inlineStr">
        <is>
          <t>1ea9deb3-d3a5-489d-b0e5-d2c2efbdf968.jpg</t>
        </is>
      </c>
      <c r="B8785">
        <f>HYPERLINK("Объекты недвижимости, не соответствующие градостроительным нормам_00-022_Август/1ea9deb3-d3a5-489d-b0e5-d2c2efbdf968.jpg","open")</f>
        <v/>
      </c>
      <c r="C8785" t="inlineStr">
        <is>
          <t>8996eb30-6497-4318-8a0e-b95314b8172e</t>
        </is>
      </c>
      <c r="D8785" t="n">
        <v>55.96432</v>
      </c>
      <c r="E8785" t="n">
        <v>37.415</v>
      </c>
      <c r="F8785" t="inlineStr"/>
      <c r="G8785" t="inlineStr"/>
      <c r="H8785" t="inlineStr"/>
    </row>
    <row r="8786">
      <c r="A8786" t="inlineStr">
        <is>
          <t>185d1a81-8741-41bd-85f6-e66f9f756b17.jpg</t>
        </is>
      </c>
      <c r="B8786">
        <f>HYPERLINK("Объекты недвижимости, не соответствующие градостроительным нормам_00-022_Август/185d1a81-8741-41bd-85f6-e66f9f756b17.jpg","open")</f>
        <v/>
      </c>
      <c r="C8786" t="inlineStr">
        <is>
          <t>caa4772d-6278-4484-a046-ee25514bf521</t>
        </is>
      </c>
      <c r="D8786" t="n">
        <v>55.81119</v>
      </c>
      <c r="E8786" t="n">
        <v>37.85749</v>
      </c>
      <c r="F8786" t="inlineStr"/>
      <c r="G8786" t="inlineStr"/>
      <c r="H8786" t="inlineStr"/>
    </row>
    <row r="8787">
      <c r="A8787" t="inlineStr">
        <is>
          <t>f0b09536-3caa-4bd6-8aae-01e41c914203.jpg</t>
        </is>
      </c>
      <c r="B8787">
        <f>HYPERLINK("Объекты недвижимости, не соответствующие градостроительным нормам_00-022_Август/f0b09536-3caa-4bd6-8aae-01e41c914203.jpg","open")</f>
        <v/>
      </c>
      <c r="C8787" t="inlineStr">
        <is>
          <t>8996eb30-6497-4318-8a0e-b95314b8172e</t>
        </is>
      </c>
      <c r="D8787" t="n">
        <v>55.97512</v>
      </c>
      <c r="E8787" t="n">
        <v>37.39957</v>
      </c>
      <c r="F8787" t="inlineStr"/>
      <c r="G8787" t="inlineStr"/>
      <c r="H8787" t="inlineStr"/>
    </row>
    <row r="8788">
      <c r="A8788" t="inlineStr">
        <is>
          <t>5cc65475-b1ba-4d53-a8dd-0e191cad319b.jpg</t>
        </is>
      </c>
      <c r="B8788">
        <f>HYPERLINK("Объекты недвижимости, не соответствующие градостроительным нормам_00-022_Август/5cc65475-b1ba-4d53-a8dd-0e191cad319b.jpg","open")</f>
        <v/>
      </c>
      <c r="C8788" t="inlineStr">
        <is>
          <t>caa4772d-6278-4484-a046-ee25514bf521</t>
        </is>
      </c>
      <c r="D8788" t="n">
        <v>55.81119</v>
      </c>
      <c r="E8788" t="n">
        <v>37.85749</v>
      </c>
      <c r="F8788" t="inlineStr"/>
      <c r="G8788" t="inlineStr"/>
      <c r="H8788" t="inlineStr"/>
    </row>
    <row r="8789">
      <c r="A8789" t="inlineStr">
        <is>
          <t>57f3eec9-e63a-46db-94e2-182bf694791c.jpg</t>
        </is>
      </c>
      <c r="B8789">
        <f>HYPERLINK("Объекты недвижимости, не соответствующие градостроительным нормам_00-022_Август/57f3eec9-e63a-46db-94e2-182bf694791c.jpg","open")</f>
        <v/>
      </c>
      <c r="C8789" t="inlineStr">
        <is>
          <t>9c930d0e-e445-452d-a046-325646b21ab7</t>
        </is>
      </c>
      <c r="D8789" t="n">
        <v>55.86894</v>
      </c>
      <c r="E8789" t="n">
        <v>37.51821</v>
      </c>
      <c r="F8789" t="inlineStr"/>
      <c r="G8789" t="inlineStr"/>
      <c r="H8789" t="inlineStr"/>
    </row>
    <row r="8790">
      <c r="A8790" t="inlineStr">
        <is>
          <t>228db37d-508b-454e-ad98-0909a076d05c.jpg</t>
        </is>
      </c>
      <c r="B8790">
        <f>HYPERLINK("Объекты недвижимости, не соответствующие градостроительным нормам_00-022_Август/228db37d-508b-454e-ad98-0909a076d05c.jpg","open")</f>
        <v/>
      </c>
      <c r="C8790" t="inlineStr">
        <is>
          <t>caa4772d-6278-4484-a046-ee25514bf521</t>
        </is>
      </c>
      <c r="D8790" t="n">
        <v>55.74895</v>
      </c>
      <c r="E8790" t="n">
        <v>37.70441</v>
      </c>
      <c r="F8790" t="inlineStr"/>
      <c r="G8790" t="inlineStr"/>
      <c r="H8790" t="inlineStr"/>
    </row>
    <row r="8791">
      <c r="A8791" t="inlineStr">
        <is>
          <t>acf57abc-02fb-4e7f-a440-83797336acdf.jpg</t>
        </is>
      </c>
      <c r="B8791">
        <f>HYPERLINK("Объекты недвижимости, не соответствующие градостроительным нормам_00-022_Август/acf57abc-02fb-4e7f-a440-83797336acdf.jpg","open")</f>
        <v/>
      </c>
      <c r="C8791" t="inlineStr">
        <is>
          <t>ed2bf0f1-3a66-4913-896e-4420a9796c0b</t>
        </is>
      </c>
      <c r="D8791" t="n">
        <v>55.31072</v>
      </c>
      <c r="E8791" t="n">
        <v>37.18123</v>
      </c>
      <c r="F8791" t="inlineStr"/>
      <c r="G8791" t="inlineStr"/>
      <c r="H8791" t="inlineStr"/>
    </row>
    <row r="8792">
      <c r="A8792" t="inlineStr">
        <is>
          <t>0a730578-e072-442f-8780-5b7883ad0972.jpg</t>
        </is>
      </c>
      <c r="B8792">
        <f>HYPERLINK("Объекты недвижимости, не соответствующие градостроительным нормам_00-022_Август/0a730578-e072-442f-8780-5b7883ad0972.jpg","open")</f>
        <v/>
      </c>
      <c r="C8792" t="inlineStr">
        <is>
          <t>8996eb30-6497-4318-8a0e-b95314b8172e</t>
        </is>
      </c>
      <c r="D8792" t="n">
        <v>55.81226</v>
      </c>
      <c r="E8792" t="n">
        <v>37.34358</v>
      </c>
      <c r="F8792" t="inlineStr"/>
      <c r="G8792" t="inlineStr"/>
      <c r="H8792" t="inlineStr"/>
    </row>
    <row r="8793">
      <c r="A8793" t="inlineStr">
        <is>
          <t>411a99de-150d-4ab9-91a8-f1bc64b8ae12.jpg</t>
        </is>
      </c>
      <c r="B8793">
        <f>HYPERLINK("Объекты недвижимости, не соответствующие градостроительным нормам_00-022_Август/411a99de-150d-4ab9-91a8-f1bc64b8ae12.jpg","open")</f>
        <v/>
      </c>
      <c r="C8793" t="inlineStr">
        <is>
          <t>cbf95b01-f708-45a3-9ec0-3603469b538e</t>
        </is>
      </c>
      <c r="D8793" t="n">
        <v>55.97828</v>
      </c>
      <c r="E8793" t="n">
        <v>37.40143</v>
      </c>
      <c r="F8793" t="inlineStr"/>
      <c r="G8793" t="inlineStr"/>
      <c r="H8793" t="inlineStr"/>
    </row>
    <row r="8794">
      <c r="A8794" t="inlineStr">
        <is>
          <t>4c14f029-430e-4ffa-831b-70e22dfb0a64.jpg</t>
        </is>
      </c>
      <c r="B8794">
        <f>HYPERLINK("Объекты недвижимости, не соответствующие градостроительным нормам_00-022_Август/4c14f029-430e-4ffa-831b-70e22dfb0a64.jpg","open")</f>
        <v/>
      </c>
      <c r="C8794" t="inlineStr">
        <is>
          <t>ed2bf0f1-3a66-4913-896e-4420a9796c0b</t>
        </is>
      </c>
      <c r="D8794" t="n">
        <v>55.31127</v>
      </c>
      <c r="E8794" t="n">
        <v>37.18257</v>
      </c>
      <c r="F8794" t="inlineStr"/>
      <c r="G8794" t="inlineStr"/>
      <c r="H8794" t="inlineStr"/>
    </row>
    <row r="8795">
      <c r="A8795" t="inlineStr">
        <is>
          <t>2fe4f28c-c834-44ef-9bdd-7e36d4a63e6f.jpg</t>
        </is>
      </c>
      <c r="B8795">
        <f>HYPERLINK("Объекты недвижимости, не соответствующие градостроительным нормам_00-022_Август/2fe4f28c-c834-44ef-9bdd-7e36d4a63e6f.jpg","open")</f>
        <v/>
      </c>
      <c r="C8795" t="inlineStr">
        <is>
          <t>1a55986c-2c3f-40c0-b3d1-014dce77832e</t>
        </is>
      </c>
      <c r="D8795" t="n">
        <v>55.3113</v>
      </c>
      <c r="E8795" t="n">
        <v>37.18259</v>
      </c>
      <c r="F8795" t="inlineStr"/>
      <c r="G8795" t="inlineStr"/>
      <c r="H8795" t="inlineStr"/>
    </row>
    <row r="8796">
      <c r="A8796" t="inlineStr">
        <is>
          <t>6fa36092-cffd-4bcd-bcc6-0e6b6d19666a.jpg</t>
        </is>
      </c>
      <c r="B8796">
        <f>HYPERLINK("Объекты недвижимости, не соответствующие градостроительным нормам_00-022_Август/6fa36092-cffd-4bcd-bcc6-0e6b6d19666a.jpg","open")</f>
        <v/>
      </c>
      <c r="C8796" t="inlineStr">
        <is>
          <t>8996eb30-6497-4318-8a0e-b95314b8172e</t>
        </is>
      </c>
      <c r="D8796" t="n">
        <v>55.8328</v>
      </c>
      <c r="E8796" t="n">
        <v>37.392</v>
      </c>
      <c r="F8796" t="inlineStr"/>
      <c r="G8796" t="inlineStr"/>
      <c r="H8796" t="inlineStr"/>
    </row>
    <row r="8797">
      <c r="A8797" t="inlineStr">
        <is>
          <t>660fff33-1a3d-4c62-aaad-753debbe4645.jpg</t>
        </is>
      </c>
      <c r="B8797">
        <f>HYPERLINK("Объекты недвижимости, не соответствующие градостроительным нормам_00-022_Август/660fff33-1a3d-4c62-aaad-753debbe4645.jpg","open")</f>
        <v/>
      </c>
      <c r="C8797" t="inlineStr">
        <is>
          <t>8996eb30-6497-4318-8a0e-b95314b8172e</t>
        </is>
      </c>
      <c r="D8797" t="n">
        <v>55.83258</v>
      </c>
      <c r="E8797" t="n">
        <v>37.39459</v>
      </c>
      <c r="F8797" t="inlineStr"/>
      <c r="G8797" t="inlineStr"/>
      <c r="H8797" t="inlineStr"/>
    </row>
    <row r="8798">
      <c r="A8798" t="inlineStr">
        <is>
          <t>e57237a3-5b16-4471-a735-1c90d61c2cb6.jpg</t>
        </is>
      </c>
      <c r="B8798">
        <f>HYPERLINK("Объекты недвижимости, не соответствующие градостроительным нормам_00-022_Август/e57237a3-5b16-4471-a735-1c90d61c2cb6.jpg","open")</f>
        <v/>
      </c>
      <c r="C8798" t="inlineStr">
        <is>
          <t>ed2bf0f1-3a66-4913-896e-4420a9796c0b</t>
        </is>
      </c>
      <c r="D8798" t="n">
        <v>55.30938</v>
      </c>
      <c r="E8798" t="n">
        <v>37.19144</v>
      </c>
      <c r="F8798" t="inlineStr"/>
      <c r="G8798" t="inlineStr"/>
      <c r="H8798" t="inlineStr"/>
    </row>
    <row r="8799">
      <c r="A8799" t="inlineStr">
        <is>
          <t>9a42f063-1136-4c61-bed4-82de89ada7d1.jpg</t>
        </is>
      </c>
      <c r="B8799">
        <f>HYPERLINK("Объекты недвижимости, не соответствующие градостроительным нормам_00-022_Август/9a42f063-1136-4c61-bed4-82de89ada7d1.jpg","open")</f>
        <v/>
      </c>
      <c r="C8799" t="inlineStr">
        <is>
          <t>db8b536c-32f2-4d9a-ae08-679d227e61f1</t>
        </is>
      </c>
      <c r="D8799" t="n">
        <v>55.69322</v>
      </c>
      <c r="E8799" t="n">
        <v>37.75648</v>
      </c>
      <c r="F8799" t="inlineStr"/>
      <c r="G8799" t="inlineStr"/>
      <c r="H8799" t="inlineStr"/>
    </row>
    <row r="8800">
      <c r="A8800" t="inlineStr">
        <is>
          <t>e2921c6a-522a-4177-bc4e-bb44626de314.jpg</t>
        </is>
      </c>
      <c r="B8800">
        <f>HYPERLINK("Объекты недвижимости, не соответствующие градостроительным нормам_00-022_Август/e2921c6a-522a-4177-bc4e-bb44626de314.jpg","open")</f>
        <v/>
      </c>
      <c r="C8800" t="inlineStr">
        <is>
          <t>caa4772d-6278-4484-a046-ee25514bf521</t>
        </is>
      </c>
      <c r="D8800" t="n">
        <v>55.75854</v>
      </c>
      <c r="E8800" t="n">
        <v>37.68515</v>
      </c>
      <c r="F8800" t="inlineStr"/>
      <c r="G8800" t="inlineStr"/>
      <c r="H8800" t="inlineStr"/>
    </row>
    <row r="8801">
      <c r="A8801" t="inlineStr">
        <is>
          <t>d12767ce-501f-4e06-b80d-af284d64a7a7.jpg</t>
        </is>
      </c>
      <c r="B8801">
        <f>HYPERLINK("Объекты недвижимости, не соответствующие градостроительным нормам_00-022_Август/d12767ce-501f-4e06-b80d-af284d64a7a7.jpg","open")</f>
        <v/>
      </c>
      <c r="C8801" t="inlineStr">
        <is>
          <t>052a5a2b-f222-4b50-b2cc-21612f1f234a</t>
        </is>
      </c>
      <c r="D8801" t="n">
        <v>55.66737</v>
      </c>
      <c r="E8801" t="n">
        <v>37.46884</v>
      </c>
      <c r="F8801" t="inlineStr"/>
      <c r="G8801" t="inlineStr"/>
      <c r="H8801" t="inlineStr"/>
    </row>
    <row r="8802">
      <c r="A8802" t="inlineStr">
        <is>
          <t>7b43d36b-2dad-43a4-b3bb-63a9dc72469b.jpg</t>
        </is>
      </c>
      <c r="B8802">
        <f>HYPERLINK("Объекты недвижимости, не соответствующие градостроительным нормам_00-022_Август/7b43d36b-2dad-43a4-b3bb-63a9dc72469b.jpg","open")</f>
        <v/>
      </c>
      <c r="C8802" t="inlineStr">
        <is>
          <t>cbf95b01-f708-45a3-9ec0-3603469b538e</t>
        </is>
      </c>
      <c r="D8802" t="n">
        <v>55.8694</v>
      </c>
      <c r="E8802" t="n">
        <v>37.5888</v>
      </c>
      <c r="F8802" t="inlineStr"/>
      <c r="G8802" t="inlineStr"/>
      <c r="H8802" t="inlineStr"/>
    </row>
    <row r="8803">
      <c r="A8803" t="inlineStr">
        <is>
          <t>306a6ce0-e3bd-4277-bede-420642ff9814.jpg</t>
        </is>
      </c>
      <c r="B8803">
        <f>HYPERLINK("Объекты недвижимости, не соответствующие градостроительным нормам_00-022_Август/306a6ce0-e3bd-4277-bede-420642ff9814.jpg","open")</f>
        <v/>
      </c>
      <c r="C8803" t="inlineStr">
        <is>
          <t>caa4772d-6278-4484-a046-ee25514bf521</t>
        </is>
      </c>
      <c r="D8803" t="n">
        <v>55.69691</v>
      </c>
      <c r="E8803" t="n">
        <v>37.80561</v>
      </c>
      <c r="F8803" t="inlineStr"/>
      <c r="G8803" t="inlineStr"/>
      <c r="H8803" t="inlineStr"/>
    </row>
    <row r="8804">
      <c r="A8804" t="inlineStr">
        <is>
          <t>d913532d-e3cf-4790-9f93-ed3ee0a003ad.jpg</t>
        </is>
      </c>
      <c r="B8804">
        <f>HYPERLINK("Объекты недвижимости, не соответствующие градостроительным нормам_00-022_Август/d913532d-e3cf-4790-9f93-ed3ee0a003ad.jpg","open")</f>
        <v/>
      </c>
      <c r="C8804" t="inlineStr">
        <is>
          <t>e90a3ac0-5b70-4ede-abeb-382371713306</t>
        </is>
      </c>
      <c r="D8804" t="n">
        <v>55.70507</v>
      </c>
      <c r="E8804" t="n">
        <v>37.59477</v>
      </c>
      <c r="F8804" t="inlineStr"/>
      <c r="G8804" t="inlineStr"/>
      <c r="H8804" t="inlineStr"/>
    </row>
    <row r="8805">
      <c r="A8805" t="inlineStr">
        <is>
          <t>62023e2c-78c4-41de-8901-5d9cdfcda3fc.jpg</t>
        </is>
      </c>
      <c r="B8805">
        <f>HYPERLINK("Объекты недвижимости, не соответствующие градостроительным нормам_00-022_Август/62023e2c-78c4-41de-8901-5d9cdfcda3fc.jpg","open")</f>
        <v/>
      </c>
      <c r="C8805" t="inlineStr">
        <is>
          <t>db8b536c-32f2-4d9a-ae08-679d227e61f1</t>
        </is>
      </c>
      <c r="D8805" t="n">
        <v>55.70507</v>
      </c>
      <c r="E8805" t="n">
        <v>37.59477</v>
      </c>
      <c r="F8805" t="inlineStr"/>
      <c r="G8805" t="inlineStr"/>
      <c r="H8805" t="inlineStr"/>
    </row>
    <row r="8806">
      <c r="A8806" t="inlineStr">
        <is>
          <t>779899dd-a67c-4140-a7d9-e008527f59c4.jpg</t>
        </is>
      </c>
      <c r="B8806">
        <f>HYPERLINK("Объекты недвижимости, не соответствующие градостроительным нормам_00-022_Август/779899dd-a67c-4140-a7d9-e008527f59c4.jpg","open")</f>
        <v/>
      </c>
      <c r="C8806" t="inlineStr">
        <is>
          <t>e90a3ac0-5b70-4ede-abeb-382371713306</t>
        </is>
      </c>
      <c r="D8806" t="n">
        <v>55.70507</v>
      </c>
      <c r="E8806" t="n">
        <v>37.59477</v>
      </c>
      <c r="F8806" t="inlineStr"/>
      <c r="G8806" t="inlineStr"/>
      <c r="H8806" t="inlineStr"/>
    </row>
    <row r="8807">
      <c r="A8807" t="inlineStr">
        <is>
          <t>f3166e9d-1453-417b-b3e4-9ff9ad3da647.jpg</t>
        </is>
      </c>
      <c r="B8807">
        <f>HYPERLINK("Объекты недвижимости, не соответствующие градостроительным нормам_00-022_Август/f3166e9d-1453-417b-b3e4-9ff9ad3da647.jpg","open")</f>
        <v/>
      </c>
      <c r="C8807" t="inlineStr">
        <is>
          <t>cbf95b01-f708-45a3-9ec0-3603469b538e</t>
        </is>
      </c>
      <c r="D8807" t="n">
        <v>55.85148</v>
      </c>
      <c r="E8807" t="n">
        <v>37.51162</v>
      </c>
      <c r="F8807" t="inlineStr"/>
      <c r="G8807" t="inlineStr"/>
      <c r="H8807" t="inlineStr"/>
    </row>
    <row r="8808">
      <c r="A8808" t="inlineStr">
        <is>
          <t>425f725c-9d48-4680-8664-92e3566f30a4.jpg</t>
        </is>
      </c>
      <c r="B8808">
        <f>HYPERLINK("Объекты недвижимости, не соответствующие градостроительным нормам_00-022_Август/425f725c-9d48-4680-8664-92e3566f30a4.jpg","open")</f>
        <v/>
      </c>
      <c r="C8808" t="inlineStr">
        <is>
          <t>8996eb30-6497-4318-8a0e-b95314b8172e</t>
        </is>
      </c>
      <c r="D8808" t="n">
        <v>55.81148</v>
      </c>
      <c r="E8808" t="n">
        <v>37.45615</v>
      </c>
      <c r="F8808" t="inlineStr"/>
      <c r="G8808" t="inlineStr"/>
      <c r="H8808" t="inlineStr"/>
    </row>
    <row r="8809">
      <c r="A8809" t="inlineStr">
        <is>
          <t>551893dd-9be7-415e-a664-86787c8ed921.jpg</t>
        </is>
      </c>
      <c r="B8809">
        <f>HYPERLINK("Объекты недвижимости, не соответствующие градостроительным нормам_00-022_Август/551893dd-9be7-415e-a664-86787c8ed921.jpg","open")</f>
        <v/>
      </c>
      <c r="C8809" t="inlineStr">
        <is>
          <t>8996eb30-6497-4318-8a0e-b95314b8172e</t>
        </is>
      </c>
      <c r="D8809" t="n">
        <v>55.98251</v>
      </c>
      <c r="E8809" t="n">
        <v>37.41487</v>
      </c>
      <c r="F8809" t="inlineStr"/>
      <c r="G8809" t="inlineStr"/>
      <c r="H8809" t="inlineStr"/>
    </row>
    <row r="8810">
      <c r="A8810" t="inlineStr">
        <is>
          <t>87cd4ec9-3b17-4ea2-bdc0-285c008d5390.jpg</t>
        </is>
      </c>
      <c r="B8810">
        <f>HYPERLINK("Объекты недвижимости, не соответствующие градостроительным нормам_00-022_Август/87cd4ec9-3b17-4ea2-bdc0-285c008d5390.jpg","open")</f>
        <v/>
      </c>
      <c r="C8810" t="inlineStr">
        <is>
          <t>a1a9db89-3f74-42ef-8fad-ad69705102cd</t>
        </is>
      </c>
      <c r="D8810" t="n">
        <v>55.75661</v>
      </c>
      <c r="E8810" t="n">
        <v>37.52909</v>
      </c>
      <c r="F8810" t="inlineStr"/>
      <c r="G8810" t="inlineStr"/>
      <c r="H8810" t="inlineStr"/>
    </row>
    <row r="8811">
      <c r="A8811" t="inlineStr">
        <is>
          <t>87b91458-ab9b-4578-b817-aad79931486b.jpg</t>
        </is>
      </c>
      <c r="B8811">
        <f>HYPERLINK("Объекты недвижимости, не соответствующие градостроительным нормам_00-022_Август/87b91458-ab9b-4578-b817-aad79931486b.jpg","open")</f>
        <v/>
      </c>
      <c r="C8811" t="inlineStr">
        <is>
          <t>8996eb30-6497-4318-8a0e-b95314b8172e</t>
        </is>
      </c>
      <c r="D8811" t="n">
        <v>55.98349</v>
      </c>
      <c r="E8811" t="n">
        <v>37.41535</v>
      </c>
      <c r="F8811" t="inlineStr"/>
      <c r="G8811" t="inlineStr"/>
      <c r="H8811" t="inlineStr"/>
    </row>
    <row r="8812">
      <c r="A8812" t="inlineStr">
        <is>
          <t>d55e2073-28d0-44c8-815b-88df1ecbcbea.jpg</t>
        </is>
      </c>
      <c r="B8812">
        <f>HYPERLINK("Объекты недвижимости, не соответствующие градостроительным нормам_00-022_Август/d55e2073-28d0-44c8-815b-88df1ecbcbea.jpg","open")</f>
        <v/>
      </c>
      <c r="C8812" t="inlineStr">
        <is>
          <t>8996eb30-6497-4318-8a0e-b95314b8172e</t>
        </is>
      </c>
      <c r="D8812" t="n">
        <v>55.9826</v>
      </c>
      <c r="E8812" t="n">
        <v>37.41691</v>
      </c>
      <c r="F8812" t="inlineStr"/>
      <c r="G8812" t="inlineStr"/>
      <c r="H8812" t="inlineStr"/>
    </row>
    <row r="8813">
      <c r="A8813" t="inlineStr">
        <is>
          <t>ad7f1191-1db5-4f22-aa07-28c4828adc75.jpg</t>
        </is>
      </c>
      <c r="B8813">
        <f>HYPERLINK("Объекты недвижимости, не соответствующие градостроительным нормам_00-022_Август/ad7f1191-1db5-4f22-aa07-28c4828adc75.jpg","open")</f>
        <v/>
      </c>
      <c r="C8813" t="inlineStr">
        <is>
          <t>a1a9db89-3f74-42ef-8fad-ad69705102cd</t>
        </is>
      </c>
      <c r="D8813" t="n">
        <v>55.73808</v>
      </c>
      <c r="E8813" t="n">
        <v>37.52691</v>
      </c>
      <c r="F8813" t="inlineStr"/>
      <c r="G8813" t="inlineStr"/>
      <c r="H8813" t="inlineStr"/>
    </row>
    <row r="8814">
      <c r="A8814" t="inlineStr">
        <is>
          <t>5ccac2e7-2119-4ce5-b1c6-91640266f30a.jpg</t>
        </is>
      </c>
      <c r="B8814">
        <f>HYPERLINK("Объекты недвижимости, не соответствующие градостроительным нормам_00-022_Август/5ccac2e7-2119-4ce5-b1c6-91640266f30a.jpg","open")</f>
        <v/>
      </c>
      <c r="C8814" t="inlineStr">
        <is>
          <t>8996eb30-6497-4318-8a0e-b95314b8172e</t>
        </is>
      </c>
      <c r="D8814" t="n">
        <v>55.97383</v>
      </c>
      <c r="E8814" t="n">
        <v>37.43044</v>
      </c>
      <c r="F8814" t="inlineStr"/>
      <c r="G8814" t="inlineStr"/>
      <c r="H8814" t="inlineStr"/>
    </row>
    <row r="8815">
      <c r="A8815" t="inlineStr">
        <is>
          <t>cfdfa7c4-3f4f-4366-a2e7-217556e58917.jpg</t>
        </is>
      </c>
      <c r="B8815">
        <f>HYPERLINK("Объекты недвижимости, не соответствующие градостроительным нормам_00-022_Август/cfdfa7c4-3f4f-4366-a2e7-217556e58917.jpg","open")</f>
        <v/>
      </c>
      <c r="C8815" t="inlineStr">
        <is>
          <t>93848fc8-17e7-4748-9ebc-c7e379e11d2f</t>
        </is>
      </c>
      <c r="D8815" t="n">
        <v>55.69918</v>
      </c>
      <c r="E8815" t="n">
        <v>37.57857</v>
      </c>
      <c r="F8815" t="inlineStr"/>
      <c r="G8815" t="inlineStr"/>
      <c r="H8815" t="inlineStr"/>
    </row>
    <row r="8816">
      <c r="A8816" t="inlineStr">
        <is>
          <t>eb1d71de-db74-4835-9901-dc08bfdbe521.jpg</t>
        </is>
      </c>
      <c r="B8816">
        <f>HYPERLINK("Объекты недвижимости, не соответствующие градостроительным нормам_00-022_Август/eb1d71de-db74-4835-9901-dc08bfdbe521.jpg","open")</f>
        <v/>
      </c>
      <c r="C8816" t="inlineStr">
        <is>
          <t>91248771-2c4d-44f3-b3cf-d536bd4ae73c</t>
        </is>
      </c>
      <c r="D8816" t="n">
        <v>55.00885</v>
      </c>
      <c r="E8816" t="n">
        <v>82.65210999999999</v>
      </c>
      <c r="F8816" t="inlineStr"/>
      <c r="G8816" t="inlineStr"/>
      <c r="H8816" t="inlineStr"/>
    </row>
    <row r="8817">
      <c r="A8817" t="inlineStr">
        <is>
          <t>575fcec5-c657-4e8a-9e4e-b7c3f57d8d5c.jpg</t>
        </is>
      </c>
      <c r="B8817">
        <f>HYPERLINK("Объекты недвижимости, не соответствующие градостроительным нормам_00-022_Август/575fcec5-c657-4e8a-9e4e-b7c3f57d8d5c.jpg","open")</f>
        <v/>
      </c>
      <c r="C8817" t="inlineStr">
        <is>
          <t>91248771-2c4d-44f3-b3cf-d536bd4ae73c</t>
        </is>
      </c>
      <c r="D8817" t="n">
        <v>55.00885</v>
      </c>
      <c r="E8817" t="n">
        <v>82.65210999999999</v>
      </c>
      <c r="F8817" t="inlineStr"/>
      <c r="G8817" t="inlineStr"/>
      <c r="H8817" t="inlineStr"/>
    </row>
    <row r="8818">
      <c r="A8818" t="inlineStr">
        <is>
          <t>d5c49895-0bca-41ab-a8a2-fd397ce96f36.jpg</t>
        </is>
      </c>
      <c r="B8818">
        <f>HYPERLINK("Объекты недвижимости, не соответствующие градостроительным нормам_00-022_Август/d5c49895-0bca-41ab-a8a2-fd397ce96f36.jpg","open")</f>
        <v/>
      </c>
      <c r="C8818" t="inlineStr">
        <is>
          <t>93848fc8-17e7-4748-9ebc-c7e379e11d2f</t>
        </is>
      </c>
      <c r="D8818" t="n">
        <v>55.7143</v>
      </c>
      <c r="E8818" t="n">
        <v>37.57677</v>
      </c>
      <c r="F8818" t="inlineStr"/>
      <c r="G8818" t="inlineStr"/>
      <c r="H8818" t="inlineStr"/>
    </row>
    <row r="8819">
      <c r="A8819" t="inlineStr">
        <is>
          <t>958ba10b-decd-4002-a5bd-8ee80e50d7fb.jpg</t>
        </is>
      </c>
      <c r="B8819">
        <f>HYPERLINK("Объекты недвижимости, не соответствующие градостроительным нормам_00-022_Август/958ba10b-decd-4002-a5bd-8ee80e50d7fb.jpg","open")</f>
        <v/>
      </c>
      <c r="C8819" t="inlineStr">
        <is>
          <t>93848fc8-17e7-4748-9ebc-c7e379e11d2f</t>
        </is>
      </c>
      <c r="D8819" t="n">
        <v>55.74842</v>
      </c>
      <c r="E8819" t="n">
        <v>37.69824</v>
      </c>
      <c r="F8819" t="inlineStr"/>
      <c r="G8819" t="inlineStr"/>
      <c r="H8819" t="inlineStr"/>
    </row>
    <row r="8820">
      <c r="A8820" t="inlineStr">
        <is>
          <t>708efc51-ae01-4bf5-8394-b854c61b3462.jpg</t>
        </is>
      </c>
      <c r="B8820">
        <f>HYPERLINK("Объекты недвижимости, не соответствующие градостроительным нормам_00-022_Август/708efc51-ae01-4bf5-8394-b854c61b3462.jpg","open")</f>
        <v/>
      </c>
      <c r="C8820" t="inlineStr">
        <is>
          <t>0dd30d74-4dbc-46a8-b638-91e1431bb398</t>
        </is>
      </c>
      <c r="D8820" t="n">
        <v>55.75553</v>
      </c>
      <c r="E8820" t="n">
        <v>37.69393</v>
      </c>
      <c r="F8820" t="inlineStr"/>
      <c r="G8820" t="inlineStr"/>
      <c r="H8820" t="inlineStr"/>
    </row>
    <row r="8821">
      <c r="A8821" t="inlineStr">
        <is>
          <t>d1861f2f-38ba-4eaa-bde9-da1c076419e1.jpg</t>
        </is>
      </c>
      <c r="B8821">
        <f>HYPERLINK("Объекты недвижимости, не соответствующие градостроительным нормам_00-022_Август/d1861f2f-38ba-4eaa-bde9-da1c076419e1.jpg","open")</f>
        <v/>
      </c>
      <c r="C8821" t="inlineStr">
        <is>
          <t>8996eb30-6497-4318-8a0e-b95314b8172e</t>
        </is>
      </c>
      <c r="D8821" t="n">
        <v>55.97524</v>
      </c>
      <c r="E8821" t="n">
        <v>37.39939</v>
      </c>
      <c r="F8821" t="inlineStr"/>
      <c r="G8821" t="inlineStr"/>
      <c r="H8821" t="inlineStr"/>
    </row>
    <row r="8822">
      <c r="A8822" t="inlineStr">
        <is>
          <t>3754480c-0153-4672-a7ad-d5f150640eb4.jpg</t>
        </is>
      </c>
      <c r="B8822">
        <f>HYPERLINK("Объекты недвижимости, не соответствующие градостроительным нормам_00-022_Август/3754480c-0153-4672-a7ad-d5f150640eb4.jpg","open")</f>
        <v/>
      </c>
      <c r="C8822" t="inlineStr">
        <is>
          <t>8996eb30-6497-4318-8a0e-b95314b8172e</t>
        </is>
      </c>
      <c r="D8822" t="n">
        <v>55.9817</v>
      </c>
      <c r="E8822" t="n">
        <v>37.42132</v>
      </c>
      <c r="F8822" t="inlineStr"/>
      <c r="G8822" t="inlineStr"/>
      <c r="H8822" t="inlineStr"/>
    </row>
    <row r="8823">
      <c r="A8823" t="inlineStr">
        <is>
          <t>230abba0-ec50-4a73-84e9-24eb540c2234.jpg</t>
        </is>
      </c>
      <c r="B8823">
        <f>HYPERLINK("Объекты недвижимости, не соответствующие градостроительным нормам_00-022_Август/230abba0-ec50-4a73-84e9-24eb540c2234.jpg","open")</f>
        <v/>
      </c>
      <c r="C8823" t="inlineStr">
        <is>
          <t>caa4772d-6278-4484-a046-ee25514bf521</t>
        </is>
      </c>
      <c r="D8823" t="n">
        <v>55.67871</v>
      </c>
      <c r="E8823" t="n">
        <v>37.85963</v>
      </c>
      <c r="F8823" t="inlineStr"/>
      <c r="G8823" t="inlineStr"/>
      <c r="H8823" t="inlineStr"/>
    </row>
    <row r="8824">
      <c r="A8824" t="inlineStr">
        <is>
          <t>55bc2410-a8ac-4355-8512-3e548aeb4577.jpg</t>
        </is>
      </c>
      <c r="B8824">
        <f>HYPERLINK("Объекты недвижимости, не соответствующие градостроительным нормам_00-022_Август/55bc2410-a8ac-4355-8512-3e548aeb4577.jpg","open")</f>
        <v/>
      </c>
      <c r="C8824" t="inlineStr">
        <is>
          <t>caa4772d-6278-4484-a046-ee25514bf521</t>
        </is>
      </c>
      <c r="D8824" t="n">
        <v>55.68137</v>
      </c>
      <c r="E8824" t="n">
        <v>37.86124</v>
      </c>
      <c r="F8824" t="inlineStr"/>
      <c r="G8824" t="inlineStr"/>
      <c r="H8824" t="inlineStr"/>
    </row>
    <row r="8825">
      <c r="A8825" t="inlineStr">
        <is>
          <t>f4ccaebf-a032-495f-9ec5-6d943af69474.jpg</t>
        </is>
      </c>
      <c r="B8825">
        <f>HYPERLINK("Объекты недвижимости, не соответствующие градостроительным нормам_00-022_Август/f4ccaebf-a032-495f-9ec5-6d943af69474.jpg","open")</f>
        <v/>
      </c>
      <c r="C8825" t="inlineStr">
        <is>
          <t>ed2bf0f1-3a66-4913-896e-4420a9796c0b</t>
        </is>
      </c>
      <c r="D8825" t="n">
        <v>55.66691</v>
      </c>
      <c r="E8825" t="n">
        <v>37.55145</v>
      </c>
      <c r="F8825" t="inlineStr"/>
      <c r="G8825" t="inlineStr"/>
      <c r="H8825" t="inlineStr"/>
    </row>
    <row r="8826">
      <c r="A8826" t="inlineStr">
        <is>
          <t>7e4e7e0f-e520-4e3f-8d8a-68fe111a1278.jpg</t>
        </is>
      </c>
      <c r="B8826">
        <f>HYPERLINK("Объекты недвижимости, не соответствующие градостроительным нормам_00-022_Август/7e4e7e0f-e520-4e3f-8d8a-68fe111a1278.jpg","open")</f>
        <v/>
      </c>
      <c r="C8826" t="inlineStr">
        <is>
          <t>caa4772d-6278-4484-a046-ee25514bf521</t>
        </is>
      </c>
      <c r="D8826" t="n">
        <v>55.6787</v>
      </c>
      <c r="E8826" t="n">
        <v>37.85891</v>
      </c>
      <c r="F8826" t="inlineStr"/>
      <c r="G8826" t="inlineStr"/>
      <c r="H8826" t="inlineStr"/>
    </row>
    <row r="8827">
      <c r="A8827" t="inlineStr">
        <is>
          <t>b702bbb5-6350-4e95-9e3d-e3c257783e20.jpg</t>
        </is>
      </c>
      <c r="B8827">
        <f>HYPERLINK("Объекты недвижимости, не соответствующие градостроительным нормам_00-022_Август/b702bbb5-6350-4e95-9e3d-e3c257783e20.jpg","open")</f>
        <v/>
      </c>
      <c r="C8827" t="inlineStr">
        <is>
          <t>caa4772d-6278-4484-a046-ee25514bf521</t>
        </is>
      </c>
      <c r="D8827" t="n">
        <v>55.68577</v>
      </c>
      <c r="E8827" t="n">
        <v>37.85581</v>
      </c>
      <c r="F8827" t="inlineStr"/>
      <c r="G8827" t="inlineStr"/>
      <c r="H8827" t="inlineStr"/>
    </row>
    <row r="8828">
      <c r="A8828" t="inlineStr">
        <is>
          <t>82d0e987-f974-4eae-b0a6-676def3d11c4.jpg</t>
        </is>
      </c>
      <c r="B8828">
        <f>HYPERLINK("Объекты недвижимости, не соответствующие градостроительным нормам_00-022_Август/82d0e987-f974-4eae-b0a6-676def3d11c4.jpg","open")</f>
        <v/>
      </c>
      <c r="C8828" t="inlineStr">
        <is>
          <t>8996eb30-6497-4318-8a0e-b95314b8172e</t>
        </is>
      </c>
      <c r="D8828" t="n">
        <v>55.97998</v>
      </c>
      <c r="E8828" t="n">
        <v>37.42606</v>
      </c>
      <c r="F8828" t="inlineStr"/>
      <c r="G8828" t="inlineStr"/>
      <c r="H8828" t="inlineStr"/>
    </row>
    <row r="8829">
      <c r="A8829" t="inlineStr">
        <is>
          <t>c62404b8-06ac-48d6-bfae-10c8810dd035.jpg</t>
        </is>
      </c>
      <c r="B8829">
        <f>HYPERLINK("Объекты недвижимости, не соответствующие градостроительным нормам_00-022_Август/c62404b8-06ac-48d6-bfae-10c8810dd035.jpg","open")</f>
        <v/>
      </c>
      <c r="C8829" t="inlineStr">
        <is>
          <t>8cde1fd0-eca1-4510-86ab-3c743b65fdfc</t>
        </is>
      </c>
      <c r="D8829" t="n">
        <v>55.83302</v>
      </c>
      <c r="E8829" t="n">
        <v>37.51991</v>
      </c>
      <c r="F8829" t="inlineStr"/>
      <c r="G8829" t="inlineStr"/>
      <c r="H8829" t="inlineStr"/>
    </row>
    <row r="8830">
      <c r="A8830" t="inlineStr">
        <is>
          <t>f849cf05-d950-4cc8-baf7-461b3f520d33.jpg</t>
        </is>
      </c>
      <c r="B8830">
        <f>HYPERLINK("Объекты недвижимости, не соответствующие градостроительным нормам_00-022_Август/f849cf05-d950-4cc8-baf7-461b3f520d33.jpg","open")</f>
        <v/>
      </c>
      <c r="C8830" t="inlineStr">
        <is>
          <t>8beacb4f-617e-4b34-8030-60c4dff5f8d1</t>
        </is>
      </c>
      <c r="D8830" t="n">
        <v>55.75221</v>
      </c>
      <c r="E8830" t="n">
        <v>37.57455</v>
      </c>
      <c r="F8830" t="inlineStr"/>
      <c r="G8830" t="inlineStr"/>
      <c r="H8830" t="inlineStr"/>
    </row>
    <row r="8831">
      <c r="A8831" t="inlineStr">
        <is>
          <t>be55be60-5b8a-4dfc-9e3c-3f70ddfed2b7.jpg</t>
        </is>
      </c>
      <c r="B8831">
        <f>HYPERLINK("Объекты недвижимости, не соответствующие градостроительным нормам_00-022_Август/be55be60-5b8a-4dfc-9e3c-3f70ddfed2b7.jpg","open")</f>
        <v/>
      </c>
      <c r="C8831" t="inlineStr">
        <is>
          <t>8beacb4f-617e-4b34-8030-60c4dff5f8d1</t>
        </is>
      </c>
      <c r="D8831" t="n">
        <v>55.75221</v>
      </c>
      <c r="E8831" t="n">
        <v>37.57455</v>
      </c>
      <c r="F8831" t="inlineStr"/>
      <c r="G8831" t="inlineStr"/>
      <c r="H8831" t="inlineStr"/>
    </row>
    <row r="8832">
      <c r="A8832" t="inlineStr">
        <is>
          <t>e1f044c0-1fa8-4e26-a5c0-81e9ccd9bd85.jpg</t>
        </is>
      </c>
      <c r="B8832">
        <f>HYPERLINK("Объекты недвижимости, не соответствующие градостроительным нормам_00-022_Август/e1f044c0-1fa8-4e26-a5c0-81e9ccd9bd85.jpg","open")</f>
        <v/>
      </c>
      <c r="C8832" t="inlineStr">
        <is>
          <t>ed2bf0f1-3a66-4913-896e-4420a9796c0b</t>
        </is>
      </c>
      <c r="D8832" t="n">
        <v>55.66087</v>
      </c>
      <c r="E8832" t="n">
        <v>37.5264</v>
      </c>
      <c r="F8832" t="inlineStr"/>
      <c r="G8832" t="inlineStr"/>
      <c r="H8832" t="inlineStr"/>
    </row>
    <row r="8833">
      <c r="A8833" t="inlineStr">
        <is>
          <t>26a39ca0-0461-4396-bda9-3fcabc4b2221.jpg</t>
        </is>
      </c>
      <c r="B8833">
        <f>HYPERLINK("Объекты недвижимости, не соответствующие градостроительным нормам_00-022_Август/26a39ca0-0461-4396-bda9-3fcabc4b2221.jpg","open")</f>
        <v/>
      </c>
      <c r="C8833" t="inlineStr">
        <is>
          <t>8beacb4f-617e-4b34-8030-60c4dff5f8d1</t>
        </is>
      </c>
      <c r="D8833" t="n">
        <v>55.75221</v>
      </c>
      <c r="E8833" t="n">
        <v>37.57455</v>
      </c>
      <c r="F8833" t="inlineStr"/>
      <c r="G8833" t="inlineStr"/>
      <c r="H8833" t="inlineStr"/>
    </row>
    <row r="8834">
      <c r="A8834" t="inlineStr">
        <is>
          <t>705a3cca-f1e6-4e4f-a7e6-e0a2a16ca53e.jpg</t>
        </is>
      </c>
      <c r="B8834">
        <f>HYPERLINK("Объекты недвижимости, не соответствующие градостроительным нормам_00-022_Август/705a3cca-f1e6-4e4f-a7e6-e0a2a16ca53e.jpg","open")</f>
        <v/>
      </c>
      <c r="C8834" t="inlineStr">
        <is>
          <t>1a55986c-2c3f-40c0-b3d1-014dce77832e</t>
        </is>
      </c>
      <c r="D8834" t="n">
        <v>55.75839</v>
      </c>
      <c r="E8834" t="n">
        <v>37.68539</v>
      </c>
      <c r="F8834" t="inlineStr"/>
      <c r="G8834" t="inlineStr"/>
      <c r="H8834" t="inlineStr"/>
    </row>
    <row r="8835">
      <c r="A8835" t="inlineStr">
        <is>
          <t>3a9a04b4-c82d-48e6-83da-4dcf43caf986.jpg</t>
        </is>
      </c>
      <c r="B8835">
        <f>HYPERLINK("Объекты недвижимости, не соответствующие градостроительным нормам_00-022_Август/3a9a04b4-c82d-48e6-83da-4dcf43caf986.jpg","open")</f>
        <v/>
      </c>
      <c r="C8835" t="inlineStr">
        <is>
          <t>ed2bf0f1-3a66-4913-896e-4420a9796c0b</t>
        </is>
      </c>
      <c r="D8835" t="n">
        <v>55.75843</v>
      </c>
      <c r="E8835" t="n">
        <v>37.68587</v>
      </c>
      <c r="F8835" t="inlineStr"/>
      <c r="G8835" t="inlineStr"/>
      <c r="H8835" t="inlineStr"/>
    </row>
    <row r="8836">
      <c r="A8836" t="inlineStr">
        <is>
          <t>ff60d125-f062-4dd6-8dee-9f2814b14016.jpg</t>
        </is>
      </c>
      <c r="B8836">
        <f>HYPERLINK("Объекты недвижимости, не соответствующие градостроительным нормам_00-022_Август/ff60d125-f062-4dd6-8dee-9f2814b14016.jpg","open")</f>
        <v/>
      </c>
      <c r="C8836" t="inlineStr">
        <is>
          <t>8996eb30-6497-4318-8a0e-b95314b8172e</t>
        </is>
      </c>
      <c r="D8836" t="n">
        <v>55.99533</v>
      </c>
      <c r="E8836" t="n">
        <v>37.41507</v>
      </c>
      <c r="F8836" t="inlineStr"/>
      <c r="G8836" t="inlineStr"/>
      <c r="H8836" t="inlineStr"/>
    </row>
    <row r="8837">
      <c r="A8837" t="inlineStr">
        <is>
          <t>265d1b9a-5797-41bb-9806-e5323d523575.jpg</t>
        </is>
      </c>
      <c r="B8837">
        <f>HYPERLINK("Объекты недвижимости, не соответствующие градостроительным нормам_00-022_Август/265d1b9a-5797-41bb-9806-e5323d523575.jpg","open")</f>
        <v/>
      </c>
      <c r="C8837" t="inlineStr">
        <is>
          <t>f6f80c84-5569-48fd-b627-6f41ce4c61c4</t>
        </is>
      </c>
      <c r="D8837" t="n">
        <v>55.74461</v>
      </c>
      <c r="E8837" t="n">
        <v>37.69947</v>
      </c>
      <c r="F8837" t="inlineStr"/>
      <c r="G8837" t="inlineStr"/>
      <c r="H8837" t="inlineStr"/>
    </row>
    <row r="8838">
      <c r="A8838" t="inlineStr">
        <is>
          <t>6249c6ec-23e3-4496-bf82-343d3b3c7e87.jpg</t>
        </is>
      </c>
      <c r="B8838">
        <f>HYPERLINK("Объекты недвижимости, не соответствующие градостроительным нормам_00-022_Август/6249c6ec-23e3-4496-bf82-343d3b3c7e87.jpg","open")</f>
        <v/>
      </c>
      <c r="C8838" t="inlineStr">
        <is>
          <t>8cde1fd0-eca1-4510-86ab-3c743b65fdfc</t>
        </is>
      </c>
      <c r="D8838" t="n">
        <v>55.75814</v>
      </c>
      <c r="E8838" t="n">
        <v>37.68608</v>
      </c>
      <c r="F8838" t="inlineStr"/>
      <c r="G8838" t="inlineStr"/>
      <c r="H8838" t="inlineStr"/>
    </row>
    <row r="8839">
      <c r="A8839" t="inlineStr">
        <is>
          <t>efbdd23d-ea61-4dd9-850f-61a7f0295340.jpg</t>
        </is>
      </c>
      <c r="B8839">
        <f>HYPERLINK("Объекты недвижимости, не соответствующие градостроительным нормам_00-022_Август/efbdd23d-ea61-4dd9-850f-61a7f0295340.jpg","open")</f>
        <v/>
      </c>
      <c r="C8839" t="inlineStr">
        <is>
          <t>8996eb30-6497-4318-8a0e-b95314b8172e</t>
        </is>
      </c>
      <c r="D8839" t="n">
        <v>56.67987</v>
      </c>
      <c r="E8839" t="n">
        <v>39.09116</v>
      </c>
      <c r="F8839" t="inlineStr"/>
      <c r="G8839" t="inlineStr"/>
      <c r="H8839" t="inlineStr"/>
    </row>
    <row r="8840">
      <c r="A8840" t="inlineStr">
        <is>
          <t>6829c206-e9b0-4a0d-930f-14220af84bc9.jpg</t>
        </is>
      </c>
      <c r="B8840">
        <f>HYPERLINK("Объекты недвижимости, не соответствующие градостроительным нормам_00-022_Август/6829c206-e9b0-4a0d-930f-14220af84bc9.jpg","open")</f>
        <v/>
      </c>
      <c r="C8840" t="inlineStr">
        <is>
          <t>9c930d0e-e445-452d-a046-325646b21ab7</t>
        </is>
      </c>
      <c r="D8840" t="n">
        <v>55.7193</v>
      </c>
      <c r="E8840" t="n">
        <v>37.49523</v>
      </c>
      <c r="F8840" t="inlineStr"/>
      <c r="G8840" t="inlineStr"/>
      <c r="H8840" t="inlineStr"/>
    </row>
    <row r="8841">
      <c r="A8841" t="inlineStr">
        <is>
          <t>9666e578-1f3d-4b9f-816d-3669f8770649.jpg</t>
        </is>
      </c>
      <c r="B8841">
        <f>HYPERLINK("Объекты недвижимости, не соответствующие градостроительным нормам_00-022_Август/9666e578-1f3d-4b9f-816d-3669f8770649.jpg","open")</f>
        <v/>
      </c>
      <c r="C8841" t="inlineStr">
        <is>
          <t>f6f80c84-5569-48fd-b627-6f41ce4c61c4</t>
        </is>
      </c>
      <c r="D8841" t="n">
        <v>55.74802</v>
      </c>
      <c r="E8841" t="n">
        <v>37.70085</v>
      </c>
      <c r="F8841" t="inlineStr"/>
      <c r="G8841" t="inlineStr"/>
      <c r="H8841" t="inlineStr"/>
    </row>
    <row r="8842">
      <c r="A8842" t="inlineStr">
        <is>
          <t>4628215f-4cf6-4ec4-bb8b-0888b60cda47.jpg</t>
        </is>
      </c>
      <c r="B8842">
        <f>HYPERLINK("Объекты недвижимости, не соответствующие градостроительным нормам_00-022_Август/4628215f-4cf6-4ec4-bb8b-0888b60cda47.jpg","open")</f>
        <v/>
      </c>
      <c r="C8842" t="inlineStr">
        <is>
          <t>797901ad-53b1-41b8-99d1-d59d59c863d5</t>
        </is>
      </c>
      <c r="D8842" t="n">
        <v>55.81953</v>
      </c>
      <c r="E8842" t="n">
        <v>37.75131</v>
      </c>
      <c r="F8842" t="inlineStr"/>
      <c r="G8842" t="inlineStr"/>
      <c r="H8842" t="inlineStr"/>
    </row>
    <row r="8843">
      <c r="A8843" t="inlineStr">
        <is>
          <t>0792c8a1-c37e-40bb-81dd-e208aaf2a2ea.jpg</t>
        </is>
      </c>
      <c r="B8843">
        <f>HYPERLINK("Объекты недвижимости, не соответствующие градостроительным нормам_00-022_Август/0792c8a1-c37e-40bb-81dd-e208aaf2a2ea.jpg","open")</f>
        <v/>
      </c>
      <c r="C8843" t="inlineStr">
        <is>
          <t>fb40ed24-21ef-458a-a239-038ab19932cc</t>
        </is>
      </c>
      <c r="D8843" t="n">
        <v>55.81946</v>
      </c>
      <c r="E8843" t="n">
        <v>37.75142</v>
      </c>
      <c r="F8843" t="inlineStr"/>
      <c r="G8843" t="inlineStr"/>
      <c r="H8843" t="inlineStr"/>
    </row>
    <row r="8844">
      <c r="A8844" t="inlineStr">
        <is>
          <t>d1b26091-6a36-46f4-90fe-361d22c9fc43.jpg</t>
        </is>
      </c>
      <c r="B8844">
        <f>HYPERLINK("Объекты недвижимости, не соответствующие градостроительным нормам_00-022_Август/d1b26091-6a36-46f4-90fe-361d22c9fc43.jpg","open")</f>
        <v/>
      </c>
      <c r="C8844" t="inlineStr">
        <is>
          <t>5adecbcf-6742-48b8-951f-8e3abc9509e4</t>
        </is>
      </c>
      <c r="D8844" t="n">
        <v>55.71002</v>
      </c>
      <c r="E8844" t="n">
        <v>37.66482</v>
      </c>
      <c r="F8844" t="inlineStr"/>
      <c r="G8844" t="inlineStr"/>
      <c r="H8844" t="inlineStr"/>
    </row>
    <row r="8845">
      <c r="A8845" t="inlineStr">
        <is>
          <t>dd8364c0-436b-4528-9c78-d62b80823ef7.jpg</t>
        </is>
      </c>
      <c r="B8845">
        <f>HYPERLINK("Объекты недвижимости, не соответствующие градостроительным нормам_00-022_Август/dd8364c0-436b-4528-9c78-d62b80823ef7.jpg","open")</f>
        <v/>
      </c>
      <c r="C8845" t="inlineStr">
        <is>
          <t>18a5c468-d9e6-4814-8477-1caf4a2e1fe9</t>
        </is>
      </c>
      <c r="D8845" t="n">
        <v>55.72323</v>
      </c>
      <c r="E8845" t="n">
        <v>37.44854</v>
      </c>
      <c r="F8845" t="inlineStr"/>
      <c r="G8845" t="inlineStr"/>
      <c r="H8845" t="inlineStr"/>
    </row>
    <row r="8846">
      <c r="A8846" t="inlineStr">
        <is>
          <t>9f22654e-961e-448e-8d00-15827936051e.jpg</t>
        </is>
      </c>
      <c r="B8846">
        <f>HYPERLINK("Объекты недвижимости, не соответствующие градостроительным нормам_00-022_Август/9f22654e-961e-448e-8d00-15827936051e.jpg","open")</f>
        <v/>
      </c>
      <c r="C8846" t="inlineStr">
        <is>
          <t>57812597-37e6-414c-8b11-8c661dbfeb70</t>
        </is>
      </c>
      <c r="D8846" t="n">
        <v>55.713</v>
      </c>
      <c r="E8846" t="n">
        <v>37.57765</v>
      </c>
      <c r="F8846" t="inlineStr"/>
      <c r="G8846" t="inlineStr"/>
      <c r="H8846" t="inlineStr"/>
    </row>
    <row r="8847">
      <c r="A8847" t="inlineStr">
        <is>
          <t>e5589575-f993-4039-b453-f85cb79a532c.jpg</t>
        </is>
      </c>
      <c r="B8847">
        <f>HYPERLINK("Объекты недвижимости, не соответствующие градостроительным нормам_00-022_Август/e5589575-f993-4039-b453-f85cb79a532c.jpg","open")</f>
        <v/>
      </c>
      <c r="C8847" t="inlineStr">
        <is>
          <t>8b2675e2-7f40-47a9-a462-7c9feecd299c</t>
        </is>
      </c>
      <c r="D8847" t="n">
        <v>55.98189</v>
      </c>
      <c r="E8847" t="n">
        <v>37.42198</v>
      </c>
      <c r="F8847" t="inlineStr"/>
      <c r="G8847" t="inlineStr"/>
      <c r="H8847" t="inlineStr"/>
    </row>
    <row r="8848">
      <c r="A8848" t="inlineStr">
        <is>
          <t>8af36c1e-9e11-41f4-822f-f65855adf12d.jpg</t>
        </is>
      </c>
      <c r="B8848">
        <f>HYPERLINK("Объекты недвижимости, не соответствующие градостроительным нормам_00-022_Август/8af36c1e-9e11-41f4-822f-f65855adf12d.jpg","open")</f>
        <v/>
      </c>
      <c r="C8848" t="inlineStr">
        <is>
          <t>6e2567a0-1fb9-40d5-a0e7-0adb480d2965</t>
        </is>
      </c>
      <c r="D8848" t="n">
        <v>55.77959</v>
      </c>
      <c r="E8848" t="n">
        <v>37.67208</v>
      </c>
      <c r="F8848" t="inlineStr"/>
      <c r="G8848" t="inlineStr"/>
      <c r="H8848" t="inlineStr"/>
    </row>
    <row r="8849">
      <c r="A8849" t="inlineStr">
        <is>
          <t>6c28958a-ee73-4a23-b604-83d406a7e536.jpg</t>
        </is>
      </c>
      <c r="B8849">
        <f>HYPERLINK("Объекты недвижимости, не соответствующие градостроительным нормам_00-022_Август/6c28958a-ee73-4a23-b604-83d406a7e536.jpg","open")</f>
        <v/>
      </c>
      <c r="C8849" t="inlineStr">
        <is>
          <t>8b2675e2-7f40-47a9-a462-7c9feecd299c</t>
        </is>
      </c>
      <c r="D8849" t="n">
        <v>55.97816</v>
      </c>
      <c r="E8849" t="n">
        <v>37.4291</v>
      </c>
      <c r="F8849" t="inlineStr"/>
      <c r="G8849" t="inlineStr"/>
      <c r="H8849" t="inlineStr"/>
    </row>
    <row r="8850">
      <c r="A8850" t="inlineStr">
        <is>
          <t>0d513318-f1e6-4fe9-ac27-25157b29863f.jpg</t>
        </is>
      </c>
      <c r="B8850">
        <f>HYPERLINK("Объекты недвижимости, не соответствующие градостроительным нормам_00-022_Август/0d513318-f1e6-4fe9-ac27-25157b29863f.jpg","open")</f>
        <v/>
      </c>
      <c r="C8850" t="inlineStr">
        <is>
          <t>5e5b9944-4f9e-4223-bf96-0bc0c8a93dfa</t>
        </is>
      </c>
      <c r="D8850" t="n">
        <v>55.7078</v>
      </c>
      <c r="E8850" t="n">
        <v>37.65832</v>
      </c>
      <c r="F8850" t="inlineStr"/>
      <c r="G8850" t="inlineStr"/>
      <c r="H8850" t="inlineStr"/>
    </row>
    <row r="8851">
      <c r="A8851" t="inlineStr">
        <is>
          <t>c2d6500d-c65a-4c7c-a5e6-abae626a2c92.jpg</t>
        </is>
      </c>
      <c r="B8851">
        <f>HYPERLINK("Объекты недвижимости, не соответствующие градостроительным нормам_00-022_Август/c2d6500d-c65a-4c7c-a5e6-abae626a2c92.jpg","open")</f>
        <v/>
      </c>
      <c r="C8851" t="inlineStr">
        <is>
          <t>5e5b9944-4f9e-4223-bf96-0bc0c8a93dfa</t>
        </is>
      </c>
      <c r="D8851" t="n">
        <v>55.7078</v>
      </c>
      <c r="E8851" t="n">
        <v>37.65832</v>
      </c>
      <c r="F8851" t="inlineStr"/>
      <c r="G8851" t="inlineStr"/>
      <c r="H8851" t="inlineStr"/>
    </row>
    <row r="8852">
      <c r="A8852" t="inlineStr">
        <is>
          <t>c3a57ddb-7c0e-4a57-a655-6e5110aeec6a.jpg</t>
        </is>
      </c>
      <c r="B8852">
        <f>HYPERLINK("Объекты недвижимости, не соответствующие градостроительным нормам_00-022_Август/c3a57ddb-7c0e-4a57-a655-6e5110aeec6a.jpg","open")</f>
        <v/>
      </c>
      <c r="C8852" t="inlineStr">
        <is>
          <t>c008bda0-324b-4c90-9c2f-36cfc930e0b5</t>
        </is>
      </c>
      <c r="D8852" t="n">
        <v>56.01475</v>
      </c>
      <c r="E8852" t="n">
        <v>37.4926</v>
      </c>
      <c r="F8852" t="inlineStr"/>
      <c r="G8852" t="inlineStr"/>
      <c r="H8852" t="inlineStr"/>
    </row>
    <row r="8853">
      <c r="A8853" t="inlineStr">
        <is>
          <t>d0326562-02c6-4f6c-a5e6-e9e06c25e4c0.jpg</t>
        </is>
      </c>
      <c r="B8853">
        <f>HYPERLINK("Объекты недвижимости, не соответствующие градостроительным нормам_00-022_Август/d0326562-02c6-4f6c-a5e6-e9e06c25e4c0.jpg","open")</f>
        <v/>
      </c>
      <c r="C8853" t="inlineStr">
        <is>
          <t>fce890a6-27da-4062-a046-08262a160ee6</t>
        </is>
      </c>
      <c r="D8853" t="n">
        <v>55.97672</v>
      </c>
      <c r="E8853" t="n">
        <v>37.43</v>
      </c>
      <c r="F8853" t="inlineStr"/>
      <c r="G8853" t="inlineStr"/>
      <c r="H8853" t="inlineStr"/>
    </row>
    <row r="8854">
      <c r="A8854" t="inlineStr">
        <is>
          <t>38c3aa08-6c04-41ed-8f6e-6c49fffe2ada.jpg</t>
        </is>
      </c>
      <c r="B8854">
        <f>HYPERLINK("Объекты недвижимости, не соответствующие градостроительным нормам_00-022_Август/38c3aa08-6c04-41ed-8f6e-6c49fffe2ada.jpg","open")</f>
        <v/>
      </c>
      <c r="C8854" t="inlineStr">
        <is>
          <t>e26f5fc2-1353-4f29-85f3-87c56419161c</t>
        </is>
      </c>
      <c r="D8854" t="n">
        <v>55.8298</v>
      </c>
      <c r="E8854" t="n">
        <v>37.64906</v>
      </c>
      <c r="F8854" t="inlineStr"/>
      <c r="G8854" t="inlineStr"/>
      <c r="H8854" t="inlineStr"/>
    </row>
    <row r="8855">
      <c r="A8855" t="inlineStr">
        <is>
          <t>45a35227-cc1e-471d-af78-790782ea7563.jpg</t>
        </is>
      </c>
      <c r="B8855">
        <f>HYPERLINK("Объекты недвижимости, не соответствующие градостроительным нормам_00-022_Август/45a35227-cc1e-471d-af78-790782ea7563.jpg","open")</f>
        <v/>
      </c>
      <c r="C8855" t="inlineStr">
        <is>
          <t>e26f5fc2-1353-4f29-85f3-87c56419161c</t>
        </is>
      </c>
      <c r="D8855" t="n">
        <v>55.8298</v>
      </c>
      <c r="E8855" t="n">
        <v>37.64906</v>
      </c>
      <c r="F8855" t="inlineStr"/>
      <c r="G8855" t="inlineStr"/>
      <c r="H8855" t="inlineStr"/>
    </row>
    <row r="8856">
      <c r="A8856" t="inlineStr">
        <is>
          <t>1ab66a78-1f60-4fd8-b1bd-83cc9870956a.jpg</t>
        </is>
      </c>
      <c r="B8856">
        <f>HYPERLINK("Объекты недвижимости, не соответствующие градостроительным нормам_00-022_Август/1ab66a78-1f60-4fd8-b1bd-83cc9870956a.jpg","open")</f>
        <v/>
      </c>
      <c r="C8856" t="inlineStr">
        <is>
          <t>e26f5fc2-1353-4f29-85f3-87c56419161c</t>
        </is>
      </c>
      <c r="D8856" t="n">
        <v>55.8298</v>
      </c>
      <c r="E8856" t="n">
        <v>37.64906</v>
      </c>
      <c r="F8856" t="inlineStr"/>
      <c r="G8856" t="inlineStr"/>
      <c r="H8856" t="inlineStr"/>
    </row>
    <row r="8857">
      <c r="A8857" t="inlineStr">
        <is>
          <t>64a9ccf4-464a-438e-9900-eacb517878ee.jpg</t>
        </is>
      </c>
      <c r="B8857">
        <f>HYPERLINK("Объекты недвижимости, не соответствующие градостроительным нормам_00-022_Август/64a9ccf4-464a-438e-9900-eacb517878ee.jpg","open")</f>
        <v/>
      </c>
      <c r="C8857" t="inlineStr">
        <is>
          <t>e26f5fc2-1353-4f29-85f3-87c56419161c</t>
        </is>
      </c>
      <c r="D8857" t="n">
        <v>55.77865</v>
      </c>
      <c r="E8857" t="n">
        <v>37.6677</v>
      </c>
      <c r="F8857" t="inlineStr"/>
      <c r="G8857" t="inlineStr"/>
      <c r="H8857" t="inlineStr"/>
    </row>
    <row r="8858">
      <c r="A8858" t="inlineStr">
        <is>
          <t>4e2627f8-d194-4171-9a9f-62417f4667d0.jpg</t>
        </is>
      </c>
      <c r="B8858">
        <f>HYPERLINK("Объекты недвижимости, не соответствующие градостроительным нормам_00-022_Август/4e2627f8-d194-4171-9a9f-62417f4667d0.jpg","open")</f>
        <v/>
      </c>
      <c r="C8858" t="inlineStr">
        <is>
          <t>1a55986c-2c3f-40c0-b3d1-014dce77832e</t>
        </is>
      </c>
      <c r="D8858" t="n">
        <v>55.72116</v>
      </c>
      <c r="E8858" t="n">
        <v>37.66452</v>
      </c>
      <c r="F8858" t="inlineStr"/>
      <c r="G8858" t="inlineStr"/>
      <c r="H8858" t="inlineStr"/>
    </row>
    <row r="8859">
      <c r="A8859" t="inlineStr">
        <is>
          <t>39ac3374-4059-427b-a5ca-453d3a39def2.jpg</t>
        </is>
      </c>
      <c r="B8859">
        <f>HYPERLINK("Объекты недвижимости, не соответствующие градостроительным нормам_00-022_Август/39ac3374-4059-427b-a5ca-453d3a39def2.jpg","open")</f>
        <v/>
      </c>
      <c r="C8859" t="inlineStr">
        <is>
          <t>ed2bf0f1-3a66-4913-896e-4420a9796c0b</t>
        </is>
      </c>
      <c r="D8859" t="n">
        <v>55.72116</v>
      </c>
      <c r="E8859" t="n">
        <v>37.66452</v>
      </c>
      <c r="F8859" t="inlineStr"/>
      <c r="G8859" t="inlineStr"/>
      <c r="H8859" t="inlineStr"/>
    </row>
    <row r="8860">
      <c r="A8860" t="inlineStr">
        <is>
          <t>034ac6b2-a45e-4a90-9b0c-ae44608fe6c0.jpg</t>
        </is>
      </c>
      <c r="B8860">
        <f>HYPERLINK("Объекты недвижимости, не соответствующие градостроительным нормам_00-022_Август/034ac6b2-a45e-4a90-9b0c-ae44608fe6c0.jpg","open")</f>
        <v/>
      </c>
      <c r="C8860" t="inlineStr">
        <is>
          <t>50e4626c-a80e-42ab-b999-b5092c2c063f</t>
        </is>
      </c>
      <c r="D8860" t="n">
        <v>55.96393</v>
      </c>
      <c r="E8860" t="n">
        <v>37.41199</v>
      </c>
      <c r="F8860" t="inlineStr"/>
      <c r="G8860" t="inlineStr"/>
      <c r="H8860" t="inlineStr"/>
    </row>
    <row r="8861">
      <c r="A8861" t="inlineStr">
        <is>
          <t>d55b17ca-d19f-4abe-9f8e-63497624cca3.jpg</t>
        </is>
      </c>
      <c r="B8861">
        <f>HYPERLINK("Объекты недвижимости, не соответствующие градостроительным нормам_00-022_Август/d55b17ca-d19f-4abe-9f8e-63497624cca3.jpg","open")</f>
        <v/>
      </c>
      <c r="C8861" t="inlineStr">
        <is>
          <t>b0429a31-0c70-4b9f-8ea5-73929d82f89e</t>
        </is>
      </c>
      <c r="D8861" t="n">
        <v>55.75582</v>
      </c>
      <c r="E8861" t="n">
        <v>37.81515</v>
      </c>
      <c r="F8861" t="inlineStr"/>
      <c r="G8861" t="inlineStr"/>
      <c r="H8861" t="inlineStr"/>
    </row>
    <row r="8862">
      <c r="A8862" t="inlineStr">
        <is>
          <t>84423b09-0d13-49a6-8022-8a2ffd82cbc0.jpg</t>
        </is>
      </c>
      <c r="B8862">
        <f>HYPERLINK("Объекты недвижимости, не соответствующие градостроительным нормам_00-022_Август/84423b09-0d13-49a6-8022-8a2ffd82cbc0.jpg","open")</f>
        <v/>
      </c>
      <c r="C8862" t="inlineStr">
        <is>
          <t>12e795ad-2aa7-49de-b2da-2c6aa35a4559</t>
        </is>
      </c>
      <c r="D8862" t="n">
        <v>55.72161</v>
      </c>
      <c r="E8862" t="n">
        <v>37.70511</v>
      </c>
      <c r="F8862" t="inlineStr"/>
      <c r="G8862" t="inlineStr"/>
      <c r="H8862" t="inlineStr"/>
    </row>
    <row r="8863">
      <c r="A8863" t="inlineStr">
        <is>
          <t>39a63288-58cc-4fbd-a138-4dba33e2f13a.jpg</t>
        </is>
      </c>
      <c r="B8863">
        <f>HYPERLINK("Объекты недвижимости, не соответствующие градостроительным нормам_00-022_Август/39a63288-58cc-4fbd-a138-4dba33e2f13a.jpg","open")</f>
        <v/>
      </c>
      <c r="C8863" t="inlineStr">
        <is>
          <t>57812597-37e6-414c-8b11-8c661dbfeb70</t>
        </is>
      </c>
      <c r="D8863" t="n">
        <v>55.77391</v>
      </c>
      <c r="E8863" t="n">
        <v>37.76666</v>
      </c>
      <c r="F8863" t="inlineStr"/>
      <c r="G8863" t="inlineStr"/>
      <c r="H8863" t="inlineStr"/>
    </row>
    <row r="8864">
      <c r="A8864" t="inlineStr">
        <is>
          <t>66fd7552-f673-4a89-8a34-1d6f4bcfbb99.jpg</t>
        </is>
      </c>
      <c r="B8864">
        <f>HYPERLINK("Объекты недвижимости, не соответствующие градостроительным нормам_00-022_Август/66fd7552-f673-4a89-8a34-1d6f4bcfbb99.jpg","open")</f>
        <v/>
      </c>
      <c r="C8864" t="inlineStr">
        <is>
          <t>57812597-37e6-414c-8b11-8c661dbfeb70</t>
        </is>
      </c>
      <c r="D8864" t="n">
        <v>55.77391</v>
      </c>
      <c r="E8864" t="n">
        <v>37.76666</v>
      </c>
      <c r="F8864" t="inlineStr"/>
      <c r="G8864" t="inlineStr"/>
      <c r="H8864" t="inlineStr"/>
    </row>
    <row r="8865">
      <c r="A8865" t="inlineStr">
        <is>
          <t>1db4b2e2-77e7-4226-920f-f589ab6fe64c.jpg</t>
        </is>
      </c>
      <c r="B8865">
        <f>HYPERLINK("Объекты недвижимости, не соответствующие градостроительным нормам_00-022_Август/1db4b2e2-77e7-4226-920f-f589ab6fe64c.jpg","open")</f>
        <v/>
      </c>
      <c r="C8865" t="inlineStr">
        <is>
          <t>b0429a31-0c70-4b9f-8ea5-73929d82f89e</t>
        </is>
      </c>
      <c r="D8865" t="n">
        <v>55.69051</v>
      </c>
      <c r="E8865" t="n">
        <v>37.73568</v>
      </c>
      <c r="F8865" t="inlineStr"/>
      <c r="G8865" t="inlineStr"/>
      <c r="H8865" t="inlineStr"/>
    </row>
    <row r="8866">
      <c r="A8866" t="inlineStr">
        <is>
          <t>a5b62714-b5fc-4b48-acb4-9ef64b9e275e.jpg</t>
        </is>
      </c>
      <c r="B8866">
        <f>HYPERLINK("Объекты недвижимости, не соответствующие градостроительным нормам_00-022_Август/a5b62714-b5fc-4b48-acb4-9ef64b9e275e.jpg","open")</f>
        <v/>
      </c>
      <c r="C8866" t="inlineStr">
        <is>
          <t>a28f597e-d1cd-4d3b-b572-c86d033412e9</t>
        </is>
      </c>
      <c r="D8866" t="n">
        <v>55.74807</v>
      </c>
      <c r="E8866" t="n">
        <v>37.70101</v>
      </c>
      <c r="F8866" t="inlineStr"/>
      <c r="G8866" t="inlineStr"/>
      <c r="H8866" t="inlineStr"/>
    </row>
    <row r="8867">
      <c r="A8867" t="inlineStr">
        <is>
          <t>105ad5ac-41aa-4388-b746-329e4cf2504f.jpg</t>
        </is>
      </c>
      <c r="B8867">
        <f>HYPERLINK("Объекты недвижимости, не соответствующие градостроительным нормам_00-022_Август/105ad5ac-41aa-4388-b746-329e4cf2504f.jpg","open")</f>
        <v/>
      </c>
      <c r="C8867" t="inlineStr">
        <is>
          <t>036c664f-5408-4fd0-b479-342c00468eeb</t>
        </is>
      </c>
      <c r="D8867" t="n">
        <v>55.74807</v>
      </c>
      <c r="E8867" t="n">
        <v>37.70101</v>
      </c>
      <c r="F8867" t="inlineStr"/>
      <c r="G8867" t="inlineStr"/>
      <c r="H8867" t="inlineStr"/>
    </row>
    <row r="8868">
      <c r="A8868" t="inlineStr">
        <is>
          <t>fb169d2a-0b48-46d3-838e-4aca21c67335.jpg</t>
        </is>
      </c>
      <c r="B8868">
        <f>HYPERLINK("Объекты недвижимости, не соответствующие градостроительным нормам_00-022_Август/fb169d2a-0b48-46d3-838e-4aca21c67335.jpg","open")</f>
        <v/>
      </c>
      <c r="C8868" t="inlineStr">
        <is>
          <t>036c664f-5408-4fd0-b479-342c00468eeb</t>
        </is>
      </c>
      <c r="D8868" t="n">
        <v>55.74807</v>
      </c>
      <c r="E8868" t="n">
        <v>37.70101</v>
      </c>
      <c r="F8868" t="inlineStr"/>
      <c r="G8868" t="inlineStr"/>
      <c r="H8868" t="inlineStr"/>
    </row>
    <row r="8869">
      <c r="A8869" t="inlineStr">
        <is>
          <t>408effc4-6c9f-4bfd-af02-674e15d5edd2.jpg</t>
        </is>
      </c>
      <c r="B8869">
        <f>HYPERLINK("Объекты недвижимости, не соответствующие градостроительным нормам_00-022_Август/408effc4-6c9f-4bfd-af02-674e15d5edd2.jpg","open")</f>
        <v/>
      </c>
      <c r="C8869" t="inlineStr">
        <is>
          <t>f60286ac-55e7-4099-85bd-cc599a7a0c65</t>
        </is>
      </c>
      <c r="D8869" t="n">
        <v>55.73959</v>
      </c>
      <c r="E8869" t="n">
        <v>37.78025</v>
      </c>
      <c r="F8869" t="inlineStr"/>
      <c r="G8869" t="inlineStr"/>
      <c r="H8869" t="inlineStr"/>
    </row>
    <row r="8870">
      <c r="A8870" t="inlineStr">
        <is>
          <t>4930a289-1d26-4666-925a-6ad69c461e2b.jpg</t>
        </is>
      </c>
      <c r="B8870">
        <f>HYPERLINK("Объекты недвижимости, не соответствующие градостроительным нормам_00-022_Август/4930a289-1d26-4666-925a-6ad69c461e2b.jpg","open")</f>
        <v/>
      </c>
      <c r="C8870" t="inlineStr">
        <is>
          <t>036c664f-5408-4fd0-b479-342c00468eeb</t>
        </is>
      </c>
      <c r="D8870" t="n">
        <v>55.74807</v>
      </c>
      <c r="E8870" t="n">
        <v>37.70101</v>
      </c>
      <c r="F8870" t="inlineStr"/>
      <c r="G8870" t="inlineStr"/>
      <c r="H8870" t="inlineStr"/>
    </row>
    <row r="8871">
      <c r="A8871" t="inlineStr">
        <is>
          <t>96aad3d2-5dc5-4799-ab5a-67632acad334.jpg</t>
        </is>
      </c>
      <c r="B8871">
        <f>HYPERLINK("Объекты недвижимости, не соответствующие градостроительным нормам_00-022_Август/96aad3d2-5dc5-4799-ab5a-67632acad334.jpg","open")</f>
        <v/>
      </c>
      <c r="C8871" t="inlineStr">
        <is>
          <t>036c664f-5408-4fd0-b479-342c00468eeb</t>
        </is>
      </c>
      <c r="D8871" t="n">
        <v>55.74807</v>
      </c>
      <c r="E8871" t="n">
        <v>37.70101</v>
      </c>
      <c r="F8871" t="inlineStr"/>
      <c r="G8871" t="inlineStr"/>
      <c r="H8871" t="inlineStr"/>
    </row>
    <row r="8872">
      <c r="A8872" t="inlineStr">
        <is>
          <t>694e2dd4-e2c2-4361-8d4c-ac0037835826.jpg</t>
        </is>
      </c>
      <c r="B8872">
        <f>HYPERLINK("Объекты недвижимости, не соответствующие градостроительным нормам_00-022_Август/694e2dd4-e2c2-4361-8d4c-ac0037835826.jpg","open")</f>
        <v/>
      </c>
      <c r="C8872" t="inlineStr">
        <is>
          <t>a28f597e-d1cd-4d3b-b572-c86d033412e9</t>
        </is>
      </c>
      <c r="D8872" t="n">
        <v>55.74807</v>
      </c>
      <c r="E8872" t="n">
        <v>37.70101</v>
      </c>
      <c r="F8872" t="inlineStr"/>
      <c r="G8872" t="inlineStr"/>
      <c r="H8872" t="inlineStr"/>
    </row>
    <row r="8873">
      <c r="A8873" t="inlineStr">
        <is>
          <t>9bceaad4-7dbf-4d45-87ba-de4ebdf9779c.jpg</t>
        </is>
      </c>
      <c r="B8873">
        <f>HYPERLINK("Объекты недвижимости, не соответствующие градостроительным нормам_00-022_Август/9bceaad4-7dbf-4d45-87ba-de4ebdf9779c.jpg","open")</f>
        <v/>
      </c>
      <c r="C8873" t="inlineStr">
        <is>
          <t>61936922-4d4b-458e-80ea-6d4c450aa1d5</t>
        </is>
      </c>
      <c r="D8873" t="n">
        <v>55.74958</v>
      </c>
      <c r="E8873" t="n">
        <v>37.21412</v>
      </c>
      <c r="F8873" t="inlineStr"/>
      <c r="G8873" t="inlineStr"/>
      <c r="H8873" t="inlineStr"/>
    </row>
    <row r="8874">
      <c r="A8874" t="inlineStr">
        <is>
          <t>2ff0c36b-268b-4006-bda6-c50accd99197.jpg</t>
        </is>
      </c>
      <c r="B8874">
        <f>HYPERLINK("Объекты недвижимости, не соответствующие градостроительным нормам_00-022_Август/2ff0c36b-268b-4006-bda6-c50accd99197.jpg","open")</f>
        <v/>
      </c>
      <c r="C8874" t="inlineStr">
        <is>
          <t>61936922-4d4b-458e-80ea-6d4c450aa1d5</t>
        </is>
      </c>
      <c r="D8874" t="n">
        <v>55.74958</v>
      </c>
      <c r="E8874" t="n">
        <v>37.21412</v>
      </c>
      <c r="F8874" t="inlineStr"/>
      <c r="G8874" t="inlineStr"/>
      <c r="H8874" t="inlineStr"/>
    </row>
    <row r="8875">
      <c r="A8875" t="inlineStr">
        <is>
          <t>92d1e9d2-2128-48a8-af07-ad78695237f6.jpg</t>
        </is>
      </c>
      <c r="B8875">
        <f>HYPERLINK("Объекты недвижимости, не соответствующие градостроительным нормам_00-022_Август/92d1e9d2-2128-48a8-af07-ad78695237f6.jpg","open")</f>
        <v/>
      </c>
      <c r="C8875" t="inlineStr">
        <is>
          <t>9fb3d110-951f-48da-9d90-cfd7e1b5800d</t>
        </is>
      </c>
      <c r="D8875" t="n">
        <v>55.74958</v>
      </c>
      <c r="E8875" t="n">
        <v>37.21412</v>
      </c>
      <c r="F8875" t="inlineStr"/>
      <c r="G8875" t="inlineStr"/>
      <c r="H8875" t="inlineStr"/>
    </row>
    <row r="8876">
      <c r="A8876" t="inlineStr">
        <is>
          <t>a2afd521-59ef-42d9-88f1-dd7692110816.jpg</t>
        </is>
      </c>
      <c r="B8876">
        <f>HYPERLINK("Объекты недвижимости, не соответствующие градостроительным нормам_00-022_Август/a2afd521-59ef-42d9-88f1-dd7692110816.jpg","open")</f>
        <v/>
      </c>
      <c r="C8876" t="inlineStr">
        <is>
          <t>61936922-4d4b-458e-80ea-6d4c450aa1d5</t>
        </is>
      </c>
      <c r="D8876" t="n">
        <v>55.74958</v>
      </c>
      <c r="E8876" t="n">
        <v>37.21412</v>
      </c>
      <c r="F8876" t="inlineStr"/>
      <c r="G8876" t="inlineStr"/>
      <c r="H8876" t="inlineStr"/>
    </row>
    <row r="8877">
      <c r="A8877" t="inlineStr">
        <is>
          <t>ebb0c72c-6c96-4e35-ba19-51b4044fcc2a.jpg</t>
        </is>
      </c>
      <c r="B8877">
        <f>HYPERLINK("Объекты недвижимости, не соответствующие градостроительным нормам_00-022_Август/ebb0c72c-6c96-4e35-ba19-51b4044fcc2a.jpg","open")</f>
        <v/>
      </c>
      <c r="C8877" t="inlineStr">
        <is>
          <t>e85aff3b-73e8-4856-827e-477ccc0aea77</t>
        </is>
      </c>
      <c r="D8877" t="n">
        <v>55.8758</v>
      </c>
      <c r="E8877" t="n">
        <v>37.66735</v>
      </c>
      <c r="F8877" t="inlineStr"/>
      <c r="G8877" t="inlineStr"/>
      <c r="H8877" t="inlineStr"/>
    </row>
    <row r="8878">
      <c r="A8878" t="inlineStr">
        <is>
          <t>d384169e-ac8f-4ac2-9c94-22e11baec959.jpg</t>
        </is>
      </c>
      <c r="B8878">
        <f>HYPERLINK("Объекты недвижимости, не соответствующие градостроительным нормам_00-022_Август/d384169e-ac8f-4ac2-9c94-22e11baec959.jpg","open")</f>
        <v/>
      </c>
      <c r="C8878" t="inlineStr">
        <is>
          <t>61936922-4d4b-458e-80ea-6d4c450aa1d5</t>
        </is>
      </c>
      <c r="D8878" t="n">
        <v>55.74958</v>
      </c>
      <c r="E8878" t="n">
        <v>37.21412</v>
      </c>
      <c r="F8878" t="inlineStr"/>
      <c r="G8878" t="inlineStr"/>
      <c r="H8878" t="inlineStr"/>
    </row>
    <row r="8879">
      <c r="A8879" t="inlineStr">
        <is>
          <t>2da44a84-0f14-4ef2-a44d-ac011502cce6.jpg</t>
        </is>
      </c>
      <c r="B8879">
        <f>HYPERLINK("Объекты недвижимости, не соответствующие градостроительным нормам_00-022_Август/2da44a84-0f14-4ef2-a44d-ac011502cce6.jpg","open")</f>
        <v/>
      </c>
      <c r="C8879" t="inlineStr">
        <is>
          <t>9fb3d110-951f-48da-9d90-cfd7e1b5800d</t>
        </is>
      </c>
      <c r="D8879" t="n">
        <v>55.74958</v>
      </c>
      <c r="E8879" t="n">
        <v>37.21412</v>
      </c>
      <c r="F8879" t="inlineStr"/>
      <c r="G8879" t="inlineStr"/>
      <c r="H8879" t="inlineStr"/>
    </row>
    <row r="8880">
      <c r="A8880" t="inlineStr">
        <is>
          <t>e498f4c7-43e3-4f99-880b-1951e5b604c8.jpg</t>
        </is>
      </c>
      <c r="B8880">
        <f>HYPERLINK("Объекты недвижимости, не соответствующие градостроительным нормам_00-022_Август/e498f4c7-43e3-4f99-880b-1951e5b604c8.jpg","open")</f>
        <v/>
      </c>
      <c r="C8880" t="inlineStr">
        <is>
          <t>61936922-4d4b-458e-80ea-6d4c450aa1d5</t>
        </is>
      </c>
      <c r="D8880" t="n">
        <v>55.74958</v>
      </c>
      <c r="E8880" t="n">
        <v>37.21412</v>
      </c>
      <c r="F8880" t="inlineStr"/>
      <c r="G8880" t="inlineStr"/>
      <c r="H8880" t="inlineStr"/>
    </row>
    <row r="8881">
      <c r="A8881" t="inlineStr">
        <is>
          <t>a323b376-82de-472d-aeee-fe0e6560228a.jpg</t>
        </is>
      </c>
      <c r="B8881">
        <f>HYPERLINK("Объекты недвижимости, не соответствующие градостроительным нормам_00-022_Август/a323b376-82de-472d-aeee-fe0e6560228a.jpg","open")</f>
        <v/>
      </c>
      <c r="C8881" t="inlineStr">
        <is>
          <t>b0b7ea82-53be-40d0-b992-e2fd18611d5c</t>
        </is>
      </c>
      <c r="D8881" t="n">
        <v>55.7371</v>
      </c>
      <c r="E8881" t="n">
        <v>37.70026</v>
      </c>
      <c r="F8881" t="inlineStr"/>
      <c r="G8881" t="inlineStr"/>
      <c r="H8881" t="inlineStr"/>
    </row>
    <row r="8882">
      <c r="A8882" t="inlineStr">
        <is>
          <t>a7ca6efb-99ba-4492-86f2-27748ab081cd.jpg</t>
        </is>
      </c>
      <c r="B8882">
        <f>HYPERLINK("Объекты недвижимости, не соответствующие градостроительным нормам_00-022_Август/a7ca6efb-99ba-4492-86f2-27748ab081cd.jpg","open")</f>
        <v/>
      </c>
      <c r="C8882" t="inlineStr">
        <is>
          <t>b0b7ea82-53be-40d0-b992-e2fd18611d5c</t>
        </is>
      </c>
      <c r="D8882" t="n">
        <v>55.73476</v>
      </c>
      <c r="E8882" t="n">
        <v>37.69944</v>
      </c>
      <c r="F8882" t="inlineStr"/>
      <c r="G8882" t="inlineStr"/>
      <c r="H8882" t="inlineStr"/>
    </row>
    <row r="8883">
      <c r="A8883" t="inlineStr">
        <is>
          <t>3d021764-8fa1-41e9-8f9d-7dd56998558e.jpg</t>
        </is>
      </c>
      <c r="B8883">
        <f>HYPERLINK("Объекты недвижимости, не соответствующие градостроительным нормам_00-022_Август/3d021764-8fa1-41e9-8f9d-7dd56998558e.jpg","open")</f>
        <v/>
      </c>
      <c r="C8883" t="inlineStr">
        <is>
          <t>93848fc8-17e7-4748-9ebc-c7e379e11d2f</t>
        </is>
      </c>
      <c r="D8883" t="n">
        <v>55.72811</v>
      </c>
      <c r="E8883" t="n">
        <v>37.36658</v>
      </c>
      <c r="F8883" t="inlineStr"/>
      <c r="G8883" t="inlineStr"/>
      <c r="H8883" t="inlineStr"/>
    </row>
    <row r="8884">
      <c r="A8884" t="inlineStr">
        <is>
          <t>37b30fa1-f0de-4e3a-95cd-e4c7c315cf3b.jpg</t>
        </is>
      </c>
      <c r="B8884">
        <f>HYPERLINK("Объекты недвижимости, не соответствующие градостроительным нормам_00-022_Август/37b30fa1-f0de-4e3a-95cd-e4c7c315cf3b.jpg","open")</f>
        <v/>
      </c>
      <c r="C8884" t="inlineStr">
        <is>
          <t>8cde1fd0-eca1-4510-86ab-3c743b65fdfc</t>
        </is>
      </c>
      <c r="D8884" t="n">
        <v>55.64721</v>
      </c>
      <c r="E8884" t="n">
        <v>37.66755</v>
      </c>
      <c r="F8884" t="inlineStr"/>
      <c r="G8884" t="inlineStr"/>
      <c r="H8884" t="inlineStr"/>
    </row>
    <row r="8885">
      <c r="A8885" t="inlineStr">
        <is>
          <t>8714e1bf-9fbb-49d7-bc05-78708ea97d0f.jpg</t>
        </is>
      </c>
      <c r="B8885">
        <f>HYPERLINK("Объекты недвижимости, не соответствующие градостроительным нормам_00-022_Август/8714e1bf-9fbb-49d7-bc05-78708ea97d0f.jpg","open")</f>
        <v/>
      </c>
      <c r="C8885" t="inlineStr">
        <is>
          <t>f6f80c84-5569-48fd-b627-6f41ce4c61c4</t>
        </is>
      </c>
      <c r="D8885" t="n">
        <v>55.76335</v>
      </c>
      <c r="E8885" t="n">
        <v>37.67901</v>
      </c>
      <c r="F8885" t="inlineStr"/>
      <c r="G8885" t="inlineStr"/>
      <c r="H8885" t="inlineStr"/>
    </row>
    <row r="8886">
      <c r="A8886" t="inlineStr">
        <is>
          <t>5c7d7ac5-9198-4b87-826d-b82f99323b88.jpg</t>
        </is>
      </c>
      <c r="B8886">
        <f>HYPERLINK("Объекты недвижимости, не соответствующие градостроительным нормам_00-022_Август/5c7d7ac5-9198-4b87-826d-b82f99323b88.jpg","open")</f>
        <v/>
      </c>
      <c r="C8886" t="inlineStr">
        <is>
          <t>18a5c468-d9e6-4814-8477-1caf4a2e1fe9</t>
        </is>
      </c>
      <c r="D8886" t="n">
        <v>55.72323</v>
      </c>
      <c r="E8886" t="n">
        <v>37.44854</v>
      </c>
      <c r="F8886" t="inlineStr"/>
      <c r="G8886" t="inlineStr"/>
      <c r="H8886" t="inlineStr"/>
    </row>
    <row r="8887">
      <c r="A8887" t="inlineStr">
        <is>
          <t>eb2c10f8-ef2e-4289-a482-75c382aab0a5.jpg</t>
        </is>
      </c>
      <c r="B8887">
        <f>HYPERLINK("Объекты недвижимости, не соответствующие градостроительным нормам_00-022_Август/eb2c10f8-ef2e-4289-a482-75c382aab0a5.jpg","open")</f>
        <v/>
      </c>
      <c r="C8887" t="inlineStr">
        <is>
          <t>d2c4eccd-3e4b-406c-a903-0f5e43d0be35</t>
        </is>
      </c>
      <c r="D8887" t="n">
        <v>55.72323</v>
      </c>
      <c r="E8887" t="n">
        <v>37.44854</v>
      </c>
      <c r="F8887" t="inlineStr"/>
      <c r="G8887" t="inlineStr"/>
      <c r="H8887" t="inlineStr"/>
    </row>
    <row r="8888">
      <c r="A8888" t="inlineStr">
        <is>
          <t>588efe41-5de4-4021-8c98-c107d0d379b6.jpg</t>
        </is>
      </c>
      <c r="B8888">
        <f>HYPERLINK("Объекты недвижимости, не соответствующие градостроительным нормам_00-022_Август/588efe41-5de4-4021-8c98-c107d0d379b6.jpg","open")</f>
        <v/>
      </c>
      <c r="C8888" t="inlineStr">
        <is>
          <t>18a5c468-d9e6-4814-8477-1caf4a2e1fe9</t>
        </is>
      </c>
      <c r="D8888" t="n">
        <v>55.72323</v>
      </c>
      <c r="E8888" t="n">
        <v>37.44854</v>
      </c>
      <c r="F8888" t="inlineStr"/>
      <c r="G8888" t="inlineStr"/>
      <c r="H8888" t="inlineStr"/>
    </row>
    <row r="8889">
      <c r="A8889" t="inlineStr">
        <is>
          <t>045189c2-31c7-44d2-a319-5e6d25f84a9c.jpg</t>
        </is>
      </c>
      <c r="B8889">
        <f>HYPERLINK("Объекты недвижимости, не соответствующие градостроительным нормам_00-022_Август/045189c2-31c7-44d2-a319-5e6d25f84a9c.jpg","open")</f>
        <v/>
      </c>
      <c r="C8889" t="inlineStr">
        <is>
          <t>93848fc8-17e7-4748-9ebc-c7e379e11d2f</t>
        </is>
      </c>
      <c r="D8889" t="n">
        <v>55.72811</v>
      </c>
      <c r="E8889" t="n">
        <v>37.36658</v>
      </c>
      <c r="F8889" t="inlineStr"/>
      <c r="G8889" t="inlineStr"/>
      <c r="H8889" t="inlineStr"/>
    </row>
    <row r="8890">
      <c r="A8890" t="inlineStr">
        <is>
          <t>e4b6c6c4-96a1-438d-a3d9-74e8e8b8e8da.jpg</t>
        </is>
      </c>
      <c r="B8890">
        <f>HYPERLINK("Объекты недвижимости, не соответствующие градостроительным нормам_00-022_Август/e4b6c6c4-96a1-438d-a3d9-74e8e8b8e8da.jpg","open")</f>
        <v/>
      </c>
      <c r="C8890" t="inlineStr">
        <is>
          <t>caa4772d-6278-4484-a046-ee25514bf521</t>
        </is>
      </c>
      <c r="D8890" t="n">
        <v>55.76365</v>
      </c>
      <c r="E8890" t="n">
        <v>37.67738</v>
      </c>
      <c r="F8890" t="inlineStr"/>
      <c r="G8890" t="inlineStr"/>
      <c r="H8890" t="inlineStr"/>
    </row>
    <row r="8891">
      <c r="A8891" t="inlineStr">
        <is>
          <t>2728e695-6f77-478f-b640-7fe20be4a4c7.jpg</t>
        </is>
      </c>
      <c r="B8891">
        <f>HYPERLINK("Объекты недвижимости, не соответствующие градостроительным нормам_00-022_Август/2728e695-6f77-478f-b640-7fe20be4a4c7.jpg","open")</f>
        <v/>
      </c>
      <c r="C8891" t="inlineStr">
        <is>
          <t>caa4772d-6278-4484-a046-ee25514bf521</t>
        </is>
      </c>
      <c r="D8891" t="n">
        <v>55.76365</v>
      </c>
      <c r="E8891" t="n">
        <v>37.67738</v>
      </c>
      <c r="F8891" t="inlineStr"/>
      <c r="G8891" t="inlineStr"/>
      <c r="H8891" t="inlineStr"/>
    </row>
    <row r="8892">
      <c r="A8892" t="inlineStr">
        <is>
          <t>70822a80-0ca0-4eaf-af53-39893f766374.jpg</t>
        </is>
      </c>
      <c r="B8892">
        <f>HYPERLINK("Объекты недвижимости, не соответствующие градостроительным нормам_00-022_Август/70822a80-0ca0-4eaf-af53-39893f766374.jpg","open")</f>
        <v/>
      </c>
      <c r="C8892" t="inlineStr">
        <is>
          <t>f60286ac-55e7-4099-85bd-cc599a7a0c65</t>
        </is>
      </c>
      <c r="D8892" t="n">
        <v>55.74422</v>
      </c>
      <c r="E8892" t="n">
        <v>37.77779</v>
      </c>
      <c r="F8892" t="inlineStr"/>
      <c r="G8892" t="inlineStr"/>
      <c r="H8892" t="inlineStr"/>
    </row>
    <row r="8893">
      <c r="A8893" t="inlineStr">
        <is>
          <t>0af5077c-75b9-41de-9244-e5dccd7ffcdd.jpg</t>
        </is>
      </c>
      <c r="B8893">
        <f>HYPERLINK("Объекты недвижимости, не соответствующие градостроительным нормам_00-022_Август/0af5077c-75b9-41de-9244-e5dccd7ffcdd.jpg","open")</f>
        <v/>
      </c>
      <c r="C8893" t="inlineStr">
        <is>
          <t>caa4772d-6278-4484-a046-ee25514bf521</t>
        </is>
      </c>
      <c r="D8893" t="n">
        <v>55.76365</v>
      </c>
      <c r="E8893" t="n">
        <v>37.67738</v>
      </c>
      <c r="F8893" t="inlineStr"/>
      <c r="G8893" t="inlineStr"/>
      <c r="H8893" t="inlineStr"/>
    </row>
    <row r="8894">
      <c r="A8894" t="inlineStr">
        <is>
          <t>a83f977f-416b-4240-8158-0bead686ffb6.jpg</t>
        </is>
      </c>
      <c r="B8894">
        <f>HYPERLINK("Объекты недвижимости, не соответствующие градостроительным нормам_00-022_Август/a83f977f-416b-4240-8158-0bead686ffb6.jpg","open")</f>
        <v/>
      </c>
      <c r="C8894" t="inlineStr">
        <is>
          <t>052a5a2b-f222-4b50-b2cc-21612f1f234a</t>
        </is>
      </c>
      <c r="D8894" t="n">
        <v>55.96481</v>
      </c>
      <c r="E8894" t="n">
        <v>37.42089</v>
      </c>
      <c r="F8894" t="inlineStr"/>
      <c r="G8894" t="inlineStr"/>
      <c r="H8894" t="inlineStr"/>
    </row>
    <row r="8895">
      <c r="A8895" t="inlineStr">
        <is>
          <t>631dd649-ee66-45b7-9c8a-9bca5e4a197e.jpg</t>
        </is>
      </c>
      <c r="B8895">
        <f>HYPERLINK("Объекты недвижимости, не соответствующие градостроительным нормам_00-022_Август/631dd649-ee66-45b7-9c8a-9bca5e4a197e.jpg","open")</f>
        <v/>
      </c>
      <c r="C8895" t="inlineStr">
        <is>
          <t>f60286ac-55e7-4099-85bd-cc599a7a0c65</t>
        </is>
      </c>
      <c r="D8895" t="n">
        <v>55.74405</v>
      </c>
      <c r="E8895" t="n">
        <v>37.77782</v>
      </c>
      <c r="F8895" t="inlineStr"/>
      <c r="G8895" t="inlineStr"/>
      <c r="H8895" t="inlineStr"/>
    </row>
    <row r="8896">
      <c r="A8896" t="inlineStr">
        <is>
          <t>b71d4212-52b7-4a28-87b8-f47a270f5f92.jpg</t>
        </is>
      </c>
      <c r="B8896">
        <f>HYPERLINK("Объекты недвижимости, не соответствующие градостроительным нормам_00-022_Август/b71d4212-52b7-4a28-87b8-f47a270f5f92.jpg","open")</f>
        <v/>
      </c>
      <c r="C8896" t="inlineStr">
        <is>
          <t>57aae8a4-582b-4309-8045-c8127a9f86ae</t>
        </is>
      </c>
      <c r="D8896" t="n">
        <v>55.79077</v>
      </c>
      <c r="E8896" t="n">
        <v>37.80857</v>
      </c>
      <c r="F8896" t="inlineStr"/>
      <c r="G8896" t="inlineStr"/>
      <c r="H8896" t="inlineStr"/>
    </row>
    <row r="8897">
      <c r="A8897" t="inlineStr">
        <is>
          <t>c5bcd132-81a8-4df1-bc2c-4791326a2229.jpg</t>
        </is>
      </c>
      <c r="B8897">
        <f>HYPERLINK("Объекты недвижимости, не соответствующие градостроительным нормам_00-022_Август/c5bcd132-81a8-4df1-bc2c-4791326a2229.jpg","open")</f>
        <v/>
      </c>
      <c r="C8897" t="inlineStr">
        <is>
          <t>b0b7ea82-53be-40d0-b992-e2fd18611d5c</t>
        </is>
      </c>
      <c r="D8897" t="n">
        <v>55.71851</v>
      </c>
      <c r="E8897" t="n">
        <v>37.74813</v>
      </c>
      <c r="F8897" t="inlineStr"/>
      <c r="G8897" t="inlineStr"/>
      <c r="H8897" t="inlineStr"/>
    </row>
    <row r="8898">
      <c r="A8898" t="inlineStr">
        <is>
          <t>00b4c270-c6b2-4962-ad4c-1b441d592b07.jpg</t>
        </is>
      </c>
      <c r="B8898">
        <f>HYPERLINK("Объекты недвижимости, не соответствующие градостроительным нормам_00-022_Август/00b4c270-c6b2-4962-ad4c-1b441d592b07.jpg","open")</f>
        <v/>
      </c>
      <c r="C8898" t="inlineStr">
        <is>
          <t>f20fbc2b-b369-4734-bb66-92af02fbb0d1</t>
        </is>
      </c>
      <c r="D8898" t="n">
        <v>55.71888</v>
      </c>
      <c r="E8898" t="n">
        <v>37.74734</v>
      </c>
      <c r="F8898" t="inlineStr"/>
      <c r="G8898" t="inlineStr"/>
      <c r="H8898" t="inlineStr"/>
    </row>
    <row r="8899">
      <c r="A8899" t="inlineStr">
        <is>
          <t>2c9a79bb-6278-4e99-a6cd-253552803c75.jpg</t>
        </is>
      </c>
      <c r="B8899">
        <f>HYPERLINK("Объекты недвижимости, не соответствующие градостроительным нормам_00-022_Август/2c9a79bb-6278-4e99-a6cd-253552803c75.jpg","open")</f>
        <v/>
      </c>
      <c r="C8899" t="inlineStr">
        <is>
          <t>b0b7ea82-53be-40d0-b992-e2fd18611d5c</t>
        </is>
      </c>
      <c r="D8899" t="n">
        <v>55.71885</v>
      </c>
      <c r="E8899" t="n">
        <v>37.74731</v>
      </c>
      <c r="F8899" t="inlineStr"/>
      <c r="G8899" t="inlineStr"/>
      <c r="H8899" t="inlineStr"/>
    </row>
    <row r="8900">
      <c r="A8900" t="inlineStr">
        <is>
          <t>edaa7244-64c4-4abb-ba0b-108410478c46.jpg</t>
        </is>
      </c>
      <c r="B8900">
        <f>HYPERLINK("Объекты недвижимости, не соответствующие градостроительным нормам_00-022_Август/edaa7244-64c4-4abb-ba0b-108410478c46.jpg","open")</f>
        <v/>
      </c>
      <c r="C8900" t="inlineStr">
        <is>
          <t>50e4626c-a80e-42ab-b999-b5092c2c063f</t>
        </is>
      </c>
      <c r="D8900" t="n">
        <v>55.96393</v>
      </c>
      <c r="E8900" t="n">
        <v>37.41199</v>
      </c>
      <c r="F8900" t="inlineStr"/>
      <c r="G8900" t="inlineStr"/>
      <c r="H8900" t="inlineStr"/>
    </row>
    <row r="8901">
      <c r="A8901" t="inlineStr">
        <is>
          <t>cfc4889d-d5ba-4cab-948b-fd06d3de461a.jpg</t>
        </is>
      </c>
      <c r="B8901">
        <f>HYPERLINK("Объекты недвижимости, не соответствующие градостроительным нормам_00-022_Август/cfc4889d-d5ba-4cab-948b-fd06d3de461a.jpg","open")</f>
        <v/>
      </c>
      <c r="C8901" t="inlineStr">
        <is>
          <t>f60286ac-55e7-4099-85bd-cc599a7a0c65</t>
        </is>
      </c>
      <c r="D8901" t="n">
        <v>55.74474</v>
      </c>
      <c r="E8901" t="n">
        <v>37.78179</v>
      </c>
      <c r="F8901" t="inlineStr"/>
      <c r="G8901" t="inlineStr"/>
      <c r="H8901" t="inlineStr"/>
    </row>
    <row r="8902">
      <c r="A8902" t="inlineStr">
        <is>
          <t>328f0b11-69b5-4b78-81ca-2fe4a1d7651c.jpg</t>
        </is>
      </c>
      <c r="B8902">
        <f>HYPERLINK("Объекты недвижимости, не соответствующие градостроительным нормам_00-022_Август/328f0b11-69b5-4b78-81ca-2fe4a1d7651c.jpg","open")</f>
        <v/>
      </c>
      <c r="C8902" t="inlineStr">
        <is>
          <t>ffd931da-542f-43e9-979f-5552b17fe3dc</t>
        </is>
      </c>
      <c r="D8902" t="n">
        <v>55.74474</v>
      </c>
      <c r="E8902" t="n">
        <v>37.78181</v>
      </c>
      <c r="F8902" t="inlineStr"/>
      <c r="G8902" t="inlineStr"/>
      <c r="H8902" t="inlineStr"/>
    </row>
    <row r="8903">
      <c r="A8903" t="inlineStr">
        <is>
          <t>ab547879-fe87-47a4-900f-b0ece56f293d.jpg</t>
        </is>
      </c>
      <c r="B8903">
        <f>HYPERLINK("Объекты недвижимости, не соответствующие градостроительным нормам_00-022_Август/ab547879-fe87-47a4-900f-b0ece56f293d.jpg","open")</f>
        <v/>
      </c>
      <c r="C8903" t="inlineStr">
        <is>
          <t>685d9054-b74f-49ab-857b-109fd2cec80d</t>
        </is>
      </c>
      <c r="D8903" t="n">
        <v>56.34346</v>
      </c>
      <c r="E8903" t="n">
        <v>38.67343</v>
      </c>
      <c r="F8903" t="inlineStr"/>
      <c r="G8903" t="inlineStr"/>
      <c r="H8903" t="inlineStr"/>
    </row>
    <row r="8904">
      <c r="A8904" t="inlineStr">
        <is>
          <t>5c08ffb5-1fb4-48f3-8c2f-4ca7e2f36d54.jpg</t>
        </is>
      </c>
      <c r="B8904">
        <f>HYPERLINK("Объекты недвижимости, не соответствующие градостроительным нормам_00-022_Август/5c08ffb5-1fb4-48f3-8c2f-4ca7e2f36d54.jpg","open")</f>
        <v/>
      </c>
      <c r="C8904" t="inlineStr">
        <is>
          <t>12e795ad-2aa7-49de-b2da-2c6aa35a4559</t>
        </is>
      </c>
      <c r="D8904" t="n">
        <v>55.59272</v>
      </c>
      <c r="E8904" t="n">
        <v>37.54544</v>
      </c>
      <c r="F8904" t="inlineStr"/>
      <c r="G8904" t="inlineStr"/>
      <c r="H8904" t="inlineStr"/>
    </row>
    <row r="8905">
      <c r="A8905" t="inlineStr">
        <is>
          <t>a2f57a84-95c1-47b4-b7df-05ef4d9663a3.jpg</t>
        </is>
      </c>
      <c r="B8905">
        <f>HYPERLINK("Объекты недвижимости, не соответствующие градостроительным нормам_00-022_Август/a2f57a84-95c1-47b4-b7df-05ef4d9663a3.jpg","open")</f>
        <v/>
      </c>
      <c r="C8905" t="inlineStr">
        <is>
          <t>61936922-4d4b-458e-80ea-6d4c450aa1d5</t>
        </is>
      </c>
      <c r="D8905" t="n">
        <v>55.73685</v>
      </c>
      <c r="E8905" t="n">
        <v>37.48937</v>
      </c>
      <c r="F8905" t="inlineStr"/>
      <c r="G8905" t="inlineStr"/>
      <c r="H8905" t="inlineStr"/>
    </row>
    <row r="8906">
      <c r="A8906" t="inlineStr">
        <is>
          <t>b0893630-e7cb-49e7-947c-433318685659.jpg</t>
        </is>
      </c>
      <c r="B8906">
        <f>HYPERLINK("Объекты недвижимости, не соответствующие градостроительным нормам_00-022_Август/b0893630-e7cb-49e7-947c-433318685659.jpg","open")</f>
        <v/>
      </c>
      <c r="C8906" t="inlineStr">
        <is>
          <t>31a713a9-b910-424b-b847-e0eaa2f70c70</t>
        </is>
      </c>
      <c r="D8906" t="n">
        <v>55.77652</v>
      </c>
      <c r="E8906" t="n">
        <v>37.67036</v>
      </c>
      <c r="F8906" t="inlineStr"/>
      <c r="G8906" t="inlineStr"/>
      <c r="H8906" t="inlineStr"/>
    </row>
    <row r="8907">
      <c r="A8907" t="inlineStr">
        <is>
          <t>78bfc7a3-dca7-4888-8440-c4111f16bfc8.jpg</t>
        </is>
      </c>
      <c r="B8907">
        <f>HYPERLINK("Объекты недвижимости, не соответствующие градостроительным нормам_00-022_Август/78bfc7a3-dca7-4888-8440-c4111f16bfc8.jpg","open")</f>
        <v/>
      </c>
      <c r="C8907" t="inlineStr">
        <is>
          <t>b0b7ea82-53be-40d0-b992-e2fd18611d5c</t>
        </is>
      </c>
      <c r="D8907" t="n">
        <v>55.71643</v>
      </c>
      <c r="E8907" t="n">
        <v>37.75105</v>
      </c>
      <c r="F8907" t="inlineStr"/>
      <c r="G8907" t="inlineStr"/>
      <c r="H8907" t="inlineStr"/>
    </row>
    <row r="8908">
      <c r="A8908" t="inlineStr">
        <is>
          <t>f1d10cf2-ccf6-4684-8299-c4ed48d2ba3e.jpg</t>
        </is>
      </c>
      <c r="B8908">
        <f>HYPERLINK("Объекты недвижимости, не соответствующие градостроительным нормам_00-022_Август/f1d10cf2-ccf6-4684-8299-c4ed48d2ba3e.jpg","open")</f>
        <v/>
      </c>
      <c r="C8908" t="inlineStr">
        <is>
          <t>61936922-4d4b-458e-80ea-6d4c450aa1d5</t>
        </is>
      </c>
      <c r="D8908" t="n">
        <v>55.73719</v>
      </c>
      <c r="E8908" t="n">
        <v>37.49177</v>
      </c>
      <c r="F8908" t="inlineStr"/>
      <c r="G8908" t="inlineStr"/>
      <c r="H8908" t="inlineStr"/>
    </row>
    <row r="8909">
      <c r="A8909" t="inlineStr">
        <is>
          <t>dc069802-ffe4-491f-a873-0f113a8220c8.jpg</t>
        </is>
      </c>
      <c r="B8909">
        <f>HYPERLINK("Объекты недвижимости, не соответствующие градостроительным нормам_00-022_Август/dc069802-ffe4-491f-a873-0f113a8220c8.jpg","open")</f>
        <v/>
      </c>
      <c r="C8909" t="inlineStr">
        <is>
          <t>5adecbcf-6742-48b8-951f-8e3abc9509e4</t>
        </is>
      </c>
      <c r="D8909" t="n">
        <v>55.66438</v>
      </c>
      <c r="E8909" t="n">
        <v>37.60579</v>
      </c>
      <c r="F8909" t="inlineStr"/>
      <c r="G8909" t="inlineStr"/>
      <c r="H8909" t="inlineStr"/>
    </row>
    <row r="8910">
      <c r="A8910" t="inlineStr">
        <is>
          <t>7f9e90fa-a7fb-44bf-892f-e1a28ae2bb0c.jpg</t>
        </is>
      </c>
      <c r="B8910">
        <f>HYPERLINK("Объекты недвижимости, не соответствующие градостроительным нормам_00-022_Август/7f9e90fa-a7fb-44bf-892f-e1a28ae2bb0c.jpg","open")</f>
        <v/>
      </c>
      <c r="C8910" t="inlineStr">
        <is>
          <t>9ca2abb7-5978-4e19-b2b4-4d185fa6739e</t>
        </is>
      </c>
      <c r="D8910" t="n">
        <v>55.96316</v>
      </c>
      <c r="E8910" t="n">
        <v>37.41376</v>
      </c>
      <c r="F8910" t="inlineStr"/>
      <c r="G8910" t="inlineStr"/>
      <c r="H8910" t="inlineStr"/>
    </row>
    <row r="8911">
      <c r="A8911" t="inlineStr">
        <is>
          <t>2927affe-c114-4673-98fc-c10eba762826.jpg</t>
        </is>
      </c>
      <c r="B8911">
        <f>HYPERLINK("Объекты недвижимости, не соответствующие градостроительным нормам_00-022_Август/2927affe-c114-4673-98fc-c10eba762826.jpg","open")</f>
        <v/>
      </c>
      <c r="C8911" t="inlineStr">
        <is>
          <t>936502dd-24a4-4256-9fdf-0d8fb72af3ed</t>
        </is>
      </c>
      <c r="D8911" t="n">
        <v>55.82409</v>
      </c>
      <c r="E8911" t="n">
        <v>37.7961</v>
      </c>
      <c r="F8911" t="inlineStr"/>
      <c r="G8911" t="inlineStr"/>
      <c r="H8911" t="inlineStr"/>
    </row>
    <row r="8912">
      <c r="A8912" t="inlineStr">
        <is>
          <t>52368821-8c66-4b69-8ee2-b7fdaaee10c8.jpg</t>
        </is>
      </c>
      <c r="B8912">
        <f>HYPERLINK("Объекты недвижимости, не соответствующие градостроительным нормам_00-022_Август/52368821-8c66-4b69-8ee2-b7fdaaee10c8.jpg","open")</f>
        <v/>
      </c>
      <c r="C8912" t="inlineStr">
        <is>
          <t>50e4626c-a80e-42ab-b999-b5092c2c063f</t>
        </is>
      </c>
      <c r="D8912" t="n">
        <v>55.79897</v>
      </c>
      <c r="E8912" t="n">
        <v>37.72974</v>
      </c>
      <c r="F8912" t="inlineStr"/>
      <c r="G8912" t="inlineStr"/>
      <c r="H8912" t="inlineStr"/>
    </row>
    <row r="8913">
      <c r="A8913" t="inlineStr">
        <is>
          <t>76b034be-79dc-4d00-a19f-1125cbb57932.jpg</t>
        </is>
      </c>
      <c r="B8913">
        <f>HYPERLINK("Объекты недвижимости, не соответствующие градостроительным нормам_00-022_Август/76b034be-79dc-4d00-a19f-1125cbb57932.jpg","open")</f>
        <v/>
      </c>
      <c r="C8913" t="inlineStr">
        <is>
          <t>ad64e6b9-1ed5-44d7-a101-4945a1f9dec6</t>
        </is>
      </c>
      <c r="D8913" t="n">
        <v>55.59192</v>
      </c>
      <c r="E8913" t="n">
        <v>37.53922</v>
      </c>
      <c r="F8913" t="inlineStr"/>
      <c r="G8913" t="inlineStr"/>
      <c r="H8913" t="inlineStr"/>
    </row>
    <row r="8914">
      <c r="A8914" t="inlineStr">
        <is>
          <t>ccae6125-385e-46c6-bc80-589250e881de.jpg</t>
        </is>
      </c>
      <c r="B8914">
        <f>HYPERLINK("Объекты недвижимости, не соответствующие градостроительным нормам_00-022_Август/ccae6125-385e-46c6-bc80-589250e881de.jpg","open")</f>
        <v/>
      </c>
      <c r="C8914" t="inlineStr">
        <is>
          <t>b0b7ea82-53be-40d0-b992-e2fd18611d5c</t>
        </is>
      </c>
      <c r="D8914" t="n">
        <v>55.71473</v>
      </c>
      <c r="E8914" t="n">
        <v>37.74847</v>
      </c>
      <c r="F8914" t="inlineStr"/>
      <c r="G8914" t="inlineStr"/>
      <c r="H8914" t="inlineStr"/>
    </row>
    <row r="8915">
      <c r="A8915" t="inlineStr">
        <is>
          <t>a7572e6f-5a2f-4cd3-977f-e8b05640e258.jpg</t>
        </is>
      </c>
      <c r="B8915">
        <f>HYPERLINK("Объекты недвижимости, не соответствующие градостроительным нормам_00-022_Август/a7572e6f-5a2f-4cd3-977f-e8b05640e258.jpg","open")</f>
        <v/>
      </c>
      <c r="C8915" t="inlineStr">
        <is>
          <t>cbf95b01-f708-45a3-9ec0-3603469b538e</t>
        </is>
      </c>
      <c r="D8915" t="n">
        <v>55.75267</v>
      </c>
      <c r="E8915" t="n">
        <v>37.57539</v>
      </c>
      <c r="F8915" t="inlineStr"/>
      <c r="G8915" t="inlineStr"/>
      <c r="H8915" t="inlineStr"/>
    </row>
    <row r="8916">
      <c r="A8916" t="inlineStr">
        <is>
          <t>d461c81f-6a29-467d-8bd4-736495372c63.jpg</t>
        </is>
      </c>
      <c r="B8916">
        <f>HYPERLINK("Объекты недвижимости, не соответствующие градостроительным нормам_00-022_Август/d461c81f-6a29-467d-8bd4-736495372c63.jpg","open")</f>
        <v/>
      </c>
      <c r="C8916" t="inlineStr">
        <is>
          <t>cbf95b01-f708-45a3-9ec0-3603469b538e</t>
        </is>
      </c>
      <c r="D8916" t="n">
        <v>55.75267</v>
      </c>
      <c r="E8916" t="n">
        <v>37.57539</v>
      </c>
      <c r="F8916" t="inlineStr"/>
      <c r="G8916" t="inlineStr"/>
      <c r="H8916" t="inlineStr"/>
    </row>
    <row r="8917">
      <c r="A8917" t="inlineStr">
        <is>
          <t>0a621854-7e47-4b4e-90f3-842d234b1a25.jpg</t>
        </is>
      </c>
      <c r="B8917">
        <f>HYPERLINK("Объекты недвижимости, не соответствующие градостроительным нормам_00-022_Август/0a621854-7e47-4b4e-90f3-842d234b1a25.jpg","open")</f>
        <v/>
      </c>
      <c r="C8917" t="inlineStr">
        <is>
          <t>0dd30d74-4dbc-46a8-b638-91e1431bb398</t>
        </is>
      </c>
      <c r="D8917" t="n">
        <v>55.82583</v>
      </c>
      <c r="E8917" t="n">
        <v>37.59316</v>
      </c>
      <c r="F8917" t="inlineStr"/>
      <c r="G8917" t="inlineStr"/>
      <c r="H8917" t="inlineStr"/>
    </row>
    <row r="8918">
      <c r="A8918" t="inlineStr">
        <is>
          <t>0127beba-8964-460f-9270-2ad0da99a13f.jpg</t>
        </is>
      </c>
      <c r="B8918">
        <f>HYPERLINK("Объекты недвижимости, не соответствующие градостроительным нормам_00-022_Август/0127beba-8964-460f-9270-2ad0da99a13f.jpg","open")</f>
        <v/>
      </c>
      <c r="C8918" t="inlineStr">
        <is>
          <t>57aae8a4-582b-4309-8045-c8127a9f86ae</t>
        </is>
      </c>
      <c r="D8918" t="n">
        <v>55.79292</v>
      </c>
      <c r="E8918" t="n">
        <v>37.82219</v>
      </c>
      <c r="F8918" t="inlineStr"/>
      <c r="G8918" t="inlineStr"/>
      <c r="H8918" t="inlineStr"/>
    </row>
    <row r="8919">
      <c r="A8919" t="inlineStr">
        <is>
          <t>3aa607d7-dd57-4e2d-802b-5523c1aa3deb.jpg</t>
        </is>
      </c>
      <c r="B8919">
        <f>HYPERLINK("Объекты недвижимости, не соответствующие градостроительным нормам_00-022_Август/3aa607d7-dd57-4e2d-802b-5523c1aa3deb.jpg","open")</f>
        <v/>
      </c>
      <c r="C8919" t="inlineStr">
        <is>
          <t>acedacc2-0d8b-4fc1-9622-25621a89d071</t>
        </is>
      </c>
      <c r="D8919" t="n">
        <v>55.79255</v>
      </c>
      <c r="E8919" t="n">
        <v>37.82179</v>
      </c>
      <c r="F8919" t="inlineStr"/>
      <c r="G8919" t="inlineStr"/>
      <c r="H8919" t="inlineStr"/>
    </row>
    <row r="8920">
      <c r="A8920" t="inlineStr">
        <is>
          <t>f1c3af98-520b-43d4-ba20-3059b68afcbd.jpg</t>
        </is>
      </c>
      <c r="B8920">
        <f>HYPERLINK("Объекты недвижимости, не соответствующие градостроительным нормам_00-022_Август/f1c3af98-520b-43d4-ba20-3059b68afcbd.jpg","open")</f>
        <v/>
      </c>
      <c r="C8920" t="inlineStr">
        <is>
          <t>e26f5fc2-1353-4f29-85f3-87c56419161c</t>
        </is>
      </c>
      <c r="D8920" t="n">
        <v>55.78222</v>
      </c>
      <c r="E8920" t="n">
        <v>37.67086</v>
      </c>
      <c r="F8920" t="inlineStr"/>
      <c r="G8920" t="inlineStr"/>
      <c r="H8920" t="inlineStr"/>
    </row>
    <row r="8921">
      <c r="A8921" t="inlineStr">
        <is>
          <t>41db5561-98cd-432b-806d-be90c87285d5.jpg</t>
        </is>
      </c>
      <c r="B8921">
        <f>HYPERLINK("Объекты недвижимости, не соответствующие градостроительным нормам_00-022_Август/41db5561-98cd-432b-806d-be90c87285d5.jpg","open")</f>
        <v/>
      </c>
      <c r="C8921" t="inlineStr">
        <is>
          <t>48b533d5-d106-4175-ac9b-d5ce8d90cccf</t>
        </is>
      </c>
      <c r="D8921" t="n">
        <v>55.72184</v>
      </c>
      <c r="E8921" t="n">
        <v>37.78012</v>
      </c>
      <c r="F8921" t="inlineStr"/>
      <c r="G8921" t="inlineStr"/>
      <c r="H8921" t="inlineStr"/>
    </row>
    <row r="8922">
      <c r="A8922" t="inlineStr">
        <is>
          <t>7ed5c424-297a-4c19-87bb-a6c89be18e12.jpg</t>
        </is>
      </c>
      <c r="B8922">
        <f>HYPERLINK("Объекты недвижимости, не соответствующие градостроительным нормам_00-022_Август/7ed5c424-297a-4c19-87bb-a6c89be18e12.jpg","open")</f>
        <v/>
      </c>
      <c r="C8922" t="inlineStr">
        <is>
          <t>b6b3590f-f506-4399-8205-e7ac710132e7</t>
        </is>
      </c>
      <c r="D8922" t="n">
        <v>55.97969</v>
      </c>
      <c r="E8922" t="n">
        <v>37.42668</v>
      </c>
      <c r="F8922" t="inlineStr"/>
      <c r="G8922" t="inlineStr"/>
      <c r="H8922" t="inlineStr"/>
    </row>
    <row r="8923">
      <c r="A8923" t="inlineStr">
        <is>
          <t>321d0701-3126-441a-84ad-7c72f3fe2101.jpg</t>
        </is>
      </c>
      <c r="B8923">
        <f>HYPERLINK("Объекты недвижимости, не соответствующие градостроительным нормам_00-022_Август/321d0701-3126-441a-84ad-7c72f3fe2101.jpg","open")</f>
        <v/>
      </c>
      <c r="C8923" t="inlineStr">
        <is>
          <t>750bf7e4-0f0f-4f1a-96af-607dc8c1f1c9</t>
        </is>
      </c>
      <c r="D8923" t="n">
        <v>55.65726</v>
      </c>
      <c r="E8923" t="n">
        <v>37.8363</v>
      </c>
      <c r="F8923" t="inlineStr"/>
      <c r="G8923" t="inlineStr"/>
      <c r="H8923" t="inlineStr"/>
    </row>
    <row r="8924">
      <c r="A8924" t="inlineStr">
        <is>
          <t>5ee16d2c-4daf-4846-badd-b192c2900750.jpg</t>
        </is>
      </c>
      <c r="B8924">
        <f>HYPERLINK("Объекты недвижимости, не соответствующие градостроительным нормам_00-022_Август/5ee16d2c-4daf-4846-badd-b192c2900750.jpg","open")</f>
        <v/>
      </c>
      <c r="C8924" t="inlineStr">
        <is>
          <t>936502dd-24a4-4256-9fdf-0d8fb72af3ed</t>
        </is>
      </c>
      <c r="D8924" t="n">
        <v>55.82409</v>
      </c>
      <c r="E8924" t="n">
        <v>37.7961</v>
      </c>
      <c r="F8924" t="inlineStr"/>
      <c r="G8924" t="inlineStr"/>
      <c r="H8924" t="inlineStr"/>
    </row>
    <row r="8925">
      <c r="A8925" t="inlineStr">
        <is>
          <t>5b743f3c-56af-4278-b8d9-dd75c1e7ff92.jpg</t>
        </is>
      </c>
      <c r="B8925">
        <f>HYPERLINK("Объекты недвижимости, не соответствующие градостроительным нормам_00-022_Август/5b743f3c-56af-4278-b8d9-dd75c1e7ff92.jpg","open")</f>
        <v/>
      </c>
      <c r="C8925" t="inlineStr">
        <is>
          <t>936502dd-24a4-4256-9fdf-0d8fb72af3ed</t>
        </is>
      </c>
      <c r="D8925" t="n">
        <v>55.82409</v>
      </c>
      <c r="E8925" t="n">
        <v>37.7961</v>
      </c>
      <c r="F8925" t="inlineStr"/>
      <c r="G8925" t="inlineStr"/>
      <c r="H8925" t="inlineStr"/>
    </row>
    <row r="8926">
      <c r="A8926" t="inlineStr">
        <is>
          <t>6f5b60b4-7a58-42c5-97ac-022c051fe8ab.jpg</t>
        </is>
      </c>
      <c r="B8926">
        <f>HYPERLINK("Объекты недвижимости, не соответствующие градостроительным нормам_00-022_Август/6f5b60b4-7a58-42c5-97ac-022c051fe8ab.jpg","open")</f>
        <v/>
      </c>
      <c r="C8926" t="inlineStr">
        <is>
          <t>e26f5fc2-1353-4f29-85f3-87c56419161c</t>
        </is>
      </c>
      <c r="D8926" t="n">
        <v>55.77894</v>
      </c>
      <c r="E8926" t="n">
        <v>37.62209</v>
      </c>
      <c r="F8926" t="inlineStr"/>
      <c r="G8926" t="inlineStr"/>
      <c r="H8926" t="inlineStr"/>
    </row>
    <row r="8927">
      <c r="A8927" t="inlineStr">
        <is>
          <t>e175f575-d489-4f2f-a4cf-4cb24b3d00fe.jpg</t>
        </is>
      </c>
      <c r="B8927">
        <f>HYPERLINK("Объекты недвижимости, не соответствующие градостроительным нормам_00-022_Август/e175f575-d489-4f2f-a4cf-4cb24b3d00fe.jpg","open")</f>
        <v/>
      </c>
      <c r="C8927" t="inlineStr">
        <is>
          <t>685d9054-b74f-49ab-857b-109fd2cec80d</t>
        </is>
      </c>
      <c r="D8927" t="n">
        <v>55.68915</v>
      </c>
      <c r="E8927" t="n">
        <v>37.54805</v>
      </c>
      <c r="F8927" t="inlineStr"/>
      <c r="G8927" t="inlineStr"/>
      <c r="H8927" t="inlineStr"/>
    </row>
    <row r="8928">
      <c r="A8928" t="inlineStr">
        <is>
          <t>f6739297-b3e9-4f99-88a1-e2c291b75050.jpg</t>
        </is>
      </c>
      <c r="B8928">
        <f>HYPERLINK("Объекты недвижимости, не соответствующие градостроительным нормам_00-022_Август/f6739297-b3e9-4f99-88a1-e2c291b75050.jpg","open")</f>
        <v/>
      </c>
      <c r="C8928" t="inlineStr">
        <is>
          <t>a1a9db89-3f74-42ef-8fad-ad69705102cd</t>
        </is>
      </c>
      <c r="D8928" t="n">
        <v>55.75267</v>
      </c>
      <c r="E8928" t="n">
        <v>37.57539</v>
      </c>
      <c r="F8928" t="inlineStr"/>
      <c r="G8928" t="inlineStr"/>
      <c r="H8928" t="inlineStr"/>
    </row>
    <row r="8929">
      <c r="A8929" t="inlineStr">
        <is>
          <t>8de069aa-6fe4-4482-8b09-e33dffed5b43.jpg</t>
        </is>
      </c>
      <c r="B8929">
        <f>HYPERLINK("Объекты недвижимости, не соответствующие градостроительным нормам_00-022_Август/8de069aa-6fe4-4482-8b09-e33dffed5b43.jpg","open")</f>
        <v/>
      </c>
      <c r="C8929" t="inlineStr">
        <is>
          <t>5e5b9944-4f9e-4223-bf96-0bc0c8a93dfa</t>
        </is>
      </c>
      <c r="D8929" t="n">
        <v>55.61918</v>
      </c>
      <c r="E8929" t="n">
        <v>37.54386</v>
      </c>
      <c r="F8929" t="inlineStr"/>
      <c r="G8929" t="inlineStr"/>
      <c r="H8929" t="inlineStr"/>
    </row>
    <row r="8930">
      <c r="A8930" t="inlineStr">
        <is>
          <t>a37ec38d-b5b0-49d9-af44-bbac66998766.jpg</t>
        </is>
      </c>
      <c r="B8930">
        <f>HYPERLINK("Объекты недвижимости, не соответствующие градостроительным нормам_00-022_Август/a37ec38d-b5b0-49d9-af44-bbac66998766.jpg","open")</f>
        <v/>
      </c>
      <c r="C8930" t="inlineStr">
        <is>
          <t>5e5b9944-4f9e-4223-bf96-0bc0c8a93dfa</t>
        </is>
      </c>
      <c r="D8930" t="n">
        <v>55.61923</v>
      </c>
      <c r="E8930" t="n">
        <v>37.54376</v>
      </c>
      <c r="F8930" t="inlineStr"/>
      <c r="G8930" t="inlineStr"/>
      <c r="H8930" t="inlineStr"/>
    </row>
    <row r="8931">
      <c r="A8931" t="inlineStr">
        <is>
          <t>3ea6629b-c955-42b1-b9c1-7e4b48d7e5ab.jpg</t>
        </is>
      </c>
      <c r="B8931">
        <f>HYPERLINK("Объекты недвижимости, не соответствующие градостроительным нормам_00-022_Август/3ea6629b-c955-42b1-b9c1-7e4b48d7e5ab.jpg","open")</f>
        <v/>
      </c>
      <c r="C8931" t="inlineStr">
        <is>
          <t>b0b7ea82-53be-40d0-b992-e2fd18611d5c</t>
        </is>
      </c>
      <c r="D8931" t="n">
        <v>55.71672</v>
      </c>
      <c r="E8931" t="n">
        <v>37.75435</v>
      </c>
      <c r="F8931" t="inlineStr"/>
      <c r="G8931" t="inlineStr"/>
      <c r="H8931" t="inlineStr"/>
    </row>
    <row r="8932">
      <c r="A8932" t="inlineStr">
        <is>
          <t>ff047b88-f986-4fe5-a8b8-2d145dc177d9.jpg</t>
        </is>
      </c>
      <c r="B8932">
        <f>HYPERLINK("Объекты недвижимости, не соответствующие градостроительным нормам_00-022_Август/ff047b88-f986-4fe5-a8b8-2d145dc177d9.jpg","open")</f>
        <v/>
      </c>
      <c r="C8932" t="inlineStr">
        <is>
          <t>5e5b9944-4f9e-4223-bf96-0bc0c8a93dfa</t>
        </is>
      </c>
      <c r="D8932" t="n">
        <v>55.61943</v>
      </c>
      <c r="E8932" t="n">
        <v>37.54367</v>
      </c>
      <c r="F8932" t="inlineStr"/>
      <c r="G8932" t="inlineStr"/>
      <c r="H8932" t="inlineStr"/>
    </row>
    <row r="8933">
      <c r="A8933" t="inlineStr">
        <is>
          <t>1abd8347-caa9-4fb7-97c3-fe8b10a5b6c8.jpg</t>
        </is>
      </c>
      <c r="B8933">
        <f>HYPERLINK("Объекты недвижимости, не соответствующие градостроительным нормам_00-022_Август/1abd8347-caa9-4fb7-97c3-fe8b10a5b6c8.jpg","open")</f>
        <v/>
      </c>
      <c r="C8933" t="inlineStr">
        <is>
          <t>caa4772d-6278-4484-a046-ee25514bf521</t>
        </is>
      </c>
      <c r="D8933" t="n">
        <v>55.73674</v>
      </c>
      <c r="E8933" t="n">
        <v>37.42614</v>
      </c>
      <c r="F8933" t="inlineStr"/>
      <c r="G8933" t="inlineStr"/>
      <c r="H8933" t="inlineStr"/>
    </row>
    <row r="8934">
      <c r="A8934" t="inlineStr">
        <is>
          <t>6ba679a7-ed96-412d-9f2f-7bb88893f65f.jpg</t>
        </is>
      </c>
      <c r="B8934">
        <f>HYPERLINK("Объекты недвижимости, не соответствующие градостроительным нормам_00-022_Август/6ba679a7-ed96-412d-9f2f-7bb88893f65f.jpg","open")</f>
        <v/>
      </c>
      <c r="C8934" t="inlineStr">
        <is>
          <t>caa4772d-6278-4484-a046-ee25514bf521</t>
        </is>
      </c>
      <c r="D8934" t="n">
        <v>55.73674</v>
      </c>
      <c r="E8934" t="n">
        <v>37.42614</v>
      </c>
      <c r="F8934" t="inlineStr"/>
      <c r="G8934" t="inlineStr"/>
      <c r="H8934" t="inlineStr"/>
    </row>
    <row r="8935">
      <c r="A8935" t="inlineStr">
        <is>
          <t>53e2ff69-f65f-49c8-862b-3e139ca8a50b.jpg</t>
        </is>
      </c>
      <c r="B8935">
        <f>HYPERLINK("Объекты недвижимости, не соответствующие градостроительным нормам_00-022_Август/53e2ff69-f65f-49c8-862b-3e139ca8a50b.jpg","open")</f>
        <v/>
      </c>
      <c r="C8935" t="inlineStr">
        <is>
          <t>93848fc8-17e7-4748-9ebc-c7e379e11d2f</t>
        </is>
      </c>
      <c r="D8935" t="n">
        <v>55.81802</v>
      </c>
      <c r="E8935" t="n">
        <v>37.60377</v>
      </c>
      <c r="F8935" t="inlineStr"/>
      <c r="G8935" t="inlineStr"/>
      <c r="H8935" t="inlineStr"/>
    </row>
    <row r="8936">
      <c r="A8936" t="inlineStr">
        <is>
          <t>10ced97c-1970-4693-919d-d3980e5ada25.jpg</t>
        </is>
      </c>
      <c r="B8936">
        <f>HYPERLINK("Объекты недвижимости, не соответствующие градостроительным нормам_00-022_Август/10ced97c-1970-4693-919d-d3980e5ada25.jpg","open")</f>
        <v/>
      </c>
      <c r="C8936" t="inlineStr">
        <is>
          <t>cbf95b01-f708-45a3-9ec0-3603469b538e</t>
        </is>
      </c>
      <c r="D8936" t="n">
        <v>55.76119</v>
      </c>
      <c r="E8936" t="n">
        <v>37.67953</v>
      </c>
      <c r="F8936" t="inlineStr"/>
      <c r="G8936" t="inlineStr"/>
      <c r="H8936" t="inlineStr"/>
    </row>
    <row r="8937">
      <c r="A8937" t="inlineStr">
        <is>
          <t>b7bfe810-3f39-4271-a528-26283ac91c36.jpg</t>
        </is>
      </c>
      <c r="B8937">
        <f>HYPERLINK("Объекты недвижимости, не соответствующие градостроительным нормам_00-022_Август/b7bfe810-3f39-4271-a528-26283ac91c36.jpg","open")</f>
        <v/>
      </c>
      <c r="C8937" t="inlineStr">
        <is>
          <t>caa4772d-6278-4484-a046-ee25514bf521</t>
        </is>
      </c>
      <c r="D8937" t="n">
        <v>55.73453</v>
      </c>
      <c r="E8937" t="n">
        <v>37.43074</v>
      </c>
      <c r="F8937" t="inlineStr"/>
      <c r="G8937" t="inlineStr"/>
      <c r="H8937" t="inlineStr"/>
    </row>
    <row r="8938">
      <c r="A8938" t="inlineStr">
        <is>
          <t>32924281-5584-45c9-aa6b-2f80bf461ad4.jpg</t>
        </is>
      </c>
      <c r="B8938">
        <f>HYPERLINK("Объекты недвижимости, не соответствующие градостроительным нормам_00-022_Август/32924281-5584-45c9-aa6b-2f80bf461ad4.jpg","open")</f>
        <v/>
      </c>
      <c r="C8938" t="inlineStr">
        <is>
          <t>8b2675e2-7f40-47a9-a462-7c9feecd299c</t>
        </is>
      </c>
      <c r="D8938" t="n">
        <v>55.58157</v>
      </c>
      <c r="E8938" t="n">
        <v>37.59602</v>
      </c>
      <c r="F8938" t="inlineStr"/>
      <c r="G8938" t="inlineStr"/>
      <c r="H8938" t="inlineStr"/>
    </row>
    <row r="8939">
      <c r="A8939" t="inlineStr">
        <is>
          <t>f14eacbb-39a8-4d04-a772-7530b3b5fd41.jpg</t>
        </is>
      </c>
      <c r="B8939">
        <f>HYPERLINK("Объекты недвижимости, не соответствующие градостроительным нормам_00-022_Август/f14eacbb-39a8-4d04-a772-7530b3b5fd41.jpg","open")</f>
        <v/>
      </c>
      <c r="C8939" t="inlineStr">
        <is>
          <t>036c664f-5408-4fd0-b479-342c00468eeb</t>
        </is>
      </c>
      <c r="D8939" t="n">
        <v>55.78483</v>
      </c>
      <c r="E8939" t="n">
        <v>37.35617</v>
      </c>
      <c r="F8939" t="inlineStr"/>
      <c r="G8939" t="inlineStr"/>
      <c r="H8939" t="inlineStr"/>
    </row>
    <row r="8940">
      <c r="A8940" t="inlineStr">
        <is>
          <t>5adc9ae2-276d-4466-abd2-b2b36d4fffe8.jpg</t>
        </is>
      </c>
      <c r="B8940">
        <f>HYPERLINK("Объекты недвижимости, не соответствующие градостроительным нормам_00-022_Август/5adc9ae2-276d-4466-abd2-b2b36d4fffe8.jpg","open")</f>
        <v/>
      </c>
      <c r="C8940" t="inlineStr">
        <is>
          <t>ed2bf0f1-3a66-4913-896e-4420a9796c0b</t>
        </is>
      </c>
      <c r="D8940" t="n">
        <v>55.57309</v>
      </c>
      <c r="E8940" t="n">
        <v>37.572</v>
      </c>
      <c r="F8940" t="inlineStr"/>
      <c r="G8940" t="inlineStr"/>
      <c r="H8940" t="inlineStr"/>
    </row>
    <row r="8941">
      <c r="A8941" t="inlineStr">
        <is>
          <t>ccbab633-826c-4ecf-b2d8-508f8fcaa85c.jpg</t>
        </is>
      </c>
      <c r="B8941">
        <f>HYPERLINK("Объекты недвижимости, не соответствующие градостроительным нормам_00-022_Август/ccbab633-826c-4ecf-b2d8-508f8fcaa85c.jpg","open")</f>
        <v/>
      </c>
      <c r="C8941" t="inlineStr">
        <is>
          <t>8b2675e2-7f40-47a9-a462-7c9feecd299c</t>
        </is>
      </c>
      <c r="D8941" t="n">
        <v>55.57928</v>
      </c>
      <c r="E8941" t="n">
        <v>37.58519</v>
      </c>
      <c r="F8941" t="inlineStr"/>
      <c r="G8941" t="inlineStr"/>
      <c r="H8941" t="inlineStr"/>
    </row>
    <row r="8942">
      <c r="A8942" t="inlineStr">
        <is>
          <t>6d748a17-0d4e-4788-a82c-278773afd4a0.jpg</t>
        </is>
      </c>
      <c r="B8942">
        <f>HYPERLINK("Объекты недвижимости, не соответствующие градостроительным нормам_00-022_Август/6d748a17-0d4e-4788-a82c-278773afd4a0.jpg","open")</f>
        <v/>
      </c>
      <c r="C8942" t="inlineStr">
        <is>
          <t>12e795ad-2aa7-49de-b2da-2c6aa35a4559</t>
        </is>
      </c>
      <c r="D8942" t="n">
        <v>55.59694</v>
      </c>
      <c r="E8942" t="n">
        <v>37.54011</v>
      </c>
      <c r="F8942" t="inlineStr"/>
      <c r="G8942" t="inlineStr"/>
      <c r="H8942" t="inlineStr"/>
    </row>
    <row r="8943">
      <c r="A8943" t="inlineStr">
        <is>
          <t>e79dd074-6b8b-4dd1-b175-fac6ba352da0.jpg</t>
        </is>
      </c>
      <c r="B8943">
        <f>HYPERLINK("Объекты недвижимости, не соответствующие градостроительным нормам_00-022_Август/e79dd074-6b8b-4dd1-b175-fac6ba352da0.jpg","open")</f>
        <v/>
      </c>
      <c r="C8943" t="inlineStr">
        <is>
          <t>e85aff3b-73e8-4856-827e-477ccc0aea77</t>
        </is>
      </c>
      <c r="D8943" t="n">
        <v>55.86607</v>
      </c>
      <c r="E8943" t="n">
        <v>37.65107</v>
      </c>
      <c r="F8943" t="inlineStr"/>
      <c r="G8943" t="inlineStr"/>
      <c r="H8943" t="inlineStr"/>
    </row>
    <row r="8944">
      <c r="A8944" t="inlineStr">
        <is>
          <t>9a169fd7-46a3-451e-acea-0fd397cdba2a.jpg</t>
        </is>
      </c>
      <c r="B8944">
        <f>HYPERLINK("Объекты недвижимости, не соответствующие градостроительным нормам_00-022_Август/9a169fd7-46a3-451e-acea-0fd397cdba2a.jpg","open")</f>
        <v/>
      </c>
      <c r="C8944" t="inlineStr">
        <is>
          <t>57aae8a4-582b-4309-8045-c8127a9f86ae</t>
        </is>
      </c>
      <c r="D8944" t="n">
        <v>55.79354</v>
      </c>
      <c r="E8944" t="n">
        <v>37.80753</v>
      </c>
      <c r="F8944" t="inlineStr"/>
      <c r="G8944" t="inlineStr"/>
      <c r="H8944" t="inlineStr"/>
    </row>
    <row r="8945">
      <c r="A8945" t="inlineStr">
        <is>
          <t>2dce4c8e-3845-449c-a8c8-a9dd2858b7b4.jpg</t>
        </is>
      </c>
      <c r="B8945">
        <f>HYPERLINK("Объекты недвижимости, не соответствующие градостроительным нормам_00-022_Август/2dce4c8e-3845-449c-a8c8-a9dd2858b7b4.jpg","open")</f>
        <v/>
      </c>
      <c r="C8945" t="inlineStr">
        <is>
          <t>acedacc2-0d8b-4fc1-9622-25621a89d071</t>
        </is>
      </c>
      <c r="D8945" t="n">
        <v>55.79354</v>
      </c>
      <c r="E8945" t="n">
        <v>37.80753</v>
      </c>
      <c r="F8945" t="inlineStr"/>
      <c r="G8945" t="inlineStr"/>
      <c r="H8945" t="inlineStr"/>
    </row>
    <row r="8946">
      <c r="A8946" t="inlineStr">
        <is>
          <t>c0fc3823-0b6d-4a5f-bc1b-6d40cb752f24.jpg</t>
        </is>
      </c>
      <c r="B8946">
        <f>HYPERLINK("Объекты недвижимости, не соответствующие градостроительным нормам_00-022_Август/c0fc3823-0b6d-4a5f-bc1b-6d40cb752f24.jpg","open")</f>
        <v/>
      </c>
      <c r="C8946" t="inlineStr">
        <is>
          <t>61936922-4d4b-458e-80ea-6d4c450aa1d5</t>
        </is>
      </c>
      <c r="D8946" t="n">
        <v>55.74561</v>
      </c>
      <c r="E8946" t="n">
        <v>37.51232</v>
      </c>
      <c r="F8946" t="inlineStr"/>
      <c r="G8946" t="inlineStr"/>
      <c r="H8946" t="inlineStr"/>
    </row>
    <row r="8947">
      <c r="A8947" t="inlineStr">
        <is>
          <t>106094bd-cd68-421e-8563-c241755b5969.jpg</t>
        </is>
      </c>
      <c r="B8947">
        <f>HYPERLINK("Объекты недвижимости, не соответствующие градостроительным нормам_00-022_Август/106094bd-cd68-421e-8563-c241755b5969.jpg","open")</f>
        <v/>
      </c>
      <c r="C8947" t="inlineStr">
        <is>
          <t>61936922-4d4b-458e-80ea-6d4c450aa1d5</t>
        </is>
      </c>
      <c r="D8947" t="n">
        <v>55.74484</v>
      </c>
      <c r="E8947" t="n">
        <v>37.51273</v>
      </c>
      <c r="F8947" t="inlineStr"/>
      <c r="G8947" t="inlineStr"/>
      <c r="H8947" t="inlineStr"/>
    </row>
    <row r="8948">
      <c r="A8948" t="inlineStr">
        <is>
          <t>9eb6788a-d75e-4519-9fe0-f0744d0bc839.jpg</t>
        </is>
      </c>
      <c r="B8948">
        <f>HYPERLINK("Объекты недвижимости, не соответствующие градостроительным нормам_00-022_Август/9eb6788a-d75e-4519-9fe0-f0744d0bc839.jpg","open")</f>
        <v/>
      </c>
      <c r="C8948" t="inlineStr">
        <is>
          <t>e85aff3b-73e8-4856-827e-477ccc0aea77</t>
        </is>
      </c>
      <c r="D8948" t="n">
        <v>55.85237</v>
      </c>
      <c r="E8948" t="n">
        <v>37.6469</v>
      </c>
      <c r="F8948" t="inlineStr"/>
      <c r="G8948" t="inlineStr"/>
      <c r="H8948" t="inlineStr"/>
    </row>
    <row r="8949">
      <c r="A8949" t="inlineStr">
        <is>
          <t>0d8fcdff-7124-43d4-b628-484cc7c45548.jpg</t>
        </is>
      </c>
      <c r="B8949">
        <f>HYPERLINK("Объекты недвижимости, не соответствующие градостроительным нормам_00-022_Август/0d8fcdff-7124-43d4-b628-484cc7c45548.jpg","open")</f>
        <v/>
      </c>
      <c r="C8949" t="inlineStr">
        <is>
          <t>caa4772d-6278-4484-a046-ee25514bf521</t>
        </is>
      </c>
      <c r="D8949" t="n">
        <v>55.74008</v>
      </c>
      <c r="E8949" t="n">
        <v>37.41514</v>
      </c>
      <c r="F8949" t="inlineStr"/>
      <c r="G8949" t="inlineStr"/>
      <c r="H8949" t="inlineStr"/>
    </row>
    <row r="8950">
      <c r="A8950" t="inlineStr">
        <is>
          <t>d9269fb4-82ba-4c87-a419-d1c05fae1067.jpg</t>
        </is>
      </c>
      <c r="B8950">
        <f>HYPERLINK("Объекты недвижимости, не соответствующие градостроительным нормам_00-022_Август/d9269fb4-82ba-4c87-a419-d1c05fae1067.jpg","open")</f>
        <v/>
      </c>
      <c r="C8950" t="inlineStr">
        <is>
          <t>1231bbc5-e64c-4dc7-9acc-77710f47607a</t>
        </is>
      </c>
      <c r="D8950" t="n">
        <v>55.68341</v>
      </c>
      <c r="E8950" t="n">
        <v>37.54427</v>
      </c>
      <c r="F8950" t="inlineStr"/>
      <c r="G8950" t="inlineStr"/>
      <c r="H8950" t="inlineStr"/>
    </row>
    <row r="8951">
      <c r="A8951" t="inlineStr">
        <is>
          <t>47ed2b5e-329b-4fb1-a028-b500f5232a1a.jpg</t>
        </is>
      </c>
      <c r="B8951">
        <f>HYPERLINK("Объекты недвижимости, не соответствующие градостроительным нормам_00-022_Август/47ed2b5e-329b-4fb1-a028-b500f5232a1a.jpg","open")</f>
        <v/>
      </c>
      <c r="C8951" t="inlineStr">
        <is>
          <t>e85aff3b-73e8-4856-827e-477ccc0aea77</t>
        </is>
      </c>
      <c r="D8951" t="n">
        <v>55.84897</v>
      </c>
      <c r="E8951" t="n">
        <v>37.64194</v>
      </c>
      <c r="F8951" t="inlineStr"/>
      <c r="G8951" t="inlineStr"/>
      <c r="H8951" t="inlineStr"/>
    </row>
    <row r="8952">
      <c r="A8952" t="inlineStr">
        <is>
          <t>54a70631-0768-4d24-95d9-00a3a099b814.jpg</t>
        </is>
      </c>
      <c r="B8952">
        <f>HYPERLINK("Объекты недвижимости, не соответствующие градостроительным нормам_00-022_Август/54a70631-0768-4d24-95d9-00a3a099b814.jpg","open")</f>
        <v/>
      </c>
      <c r="C8952" t="inlineStr">
        <is>
          <t>caa4772d-6278-4484-a046-ee25514bf521</t>
        </is>
      </c>
      <c r="D8952" t="n">
        <v>55.73903</v>
      </c>
      <c r="E8952" t="n">
        <v>37.41336</v>
      </c>
      <c r="F8952" t="inlineStr"/>
      <c r="G8952" t="inlineStr"/>
      <c r="H8952" t="inlineStr"/>
    </row>
    <row r="8953">
      <c r="A8953" t="inlineStr">
        <is>
          <t>f4a66a55-fa95-4d99-97f0-e0b151455800.jpg</t>
        </is>
      </c>
      <c r="B8953">
        <f>HYPERLINK("Объекты недвижимости, не соответствующие градостроительным нормам_00-022_Август/f4a66a55-fa95-4d99-97f0-e0b151455800.jpg","open")</f>
        <v/>
      </c>
      <c r="C8953" t="inlineStr">
        <is>
          <t>ad64e6b9-1ed5-44d7-a101-4945a1f9dec6</t>
        </is>
      </c>
      <c r="D8953" t="n">
        <v>55.60289</v>
      </c>
      <c r="E8953" t="n">
        <v>37.5444</v>
      </c>
      <c r="F8953" t="inlineStr"/>
      <c r="G8953" t="inlineStr"/>
      <c r="H8953" t="inlineStr"/>
    </row>
    <row r="8954">
      <c r="A8954" t="inlineStr">
        <is>
          <t>4b54be63-0bfc-4bd1-b2ae-94339c4340b8.jpg</t>
        </is>
      </c>
      <c r="B8954">
        <f>HYPERLINK("Объекты недвижимости, не соответствующие градостроительным нормам_00-022_Август/4b54be63-0bfc-4bd1-b2ae-94339c4340b8.jpg","open")</f>
        <v/>
      </c>
      <c r="C8954" t="inlineStr">
        <is>
          <t>12e795ad-2aa7-49de-b2da-2c6aa35a4559</t>
        </is>
      </c>
      <c r="D8954" t="n">
        <v>55.60285</v>
      </c>
      <c r="E8954" t="n">
        <v>37.54448</v>
      </c>
      <c r="F8954" t="inlineStr"/>
      <c r="G8954" t="inlineStr"/>
      <c r="H8954" t="inlineStr"/>
    </row>
    <row r="8955">
      <c r="A8955" t="inlineStr">
        <is>
          <t>e9e52877-2ec5-4704-bc6c-2ca46be5764f.jpg</t>
        </is>
      </c>
      <c r="B8955">
        <f>HYPERLINK("Объекты недвижимости, не соответствующие градостроительным нормам_00-022_Август/e9e52877-2ec5-4704-bc6c-2ca46be5764f.jpg","open")</f>
        <v/>
      </c>
      <c r="C8955" t="inlineStr">
        <is>
          <t>cbf95b01-f708-45a3-9ec0-3603469b538e</t>
        </is>
      </c>
      <c r="D8955" t="n">
        <v>55.76874</v>
      </c>
      <c r="E8955" t="n">
        <v>37.67773</v>
      </c>
      <c r="F8955" t="inlineStr"/>
      <c r="G8955" t="inlineStr"/>
      <c r="H8955" t="inlineStr"/>
    </row>
    <row r="8956">
      <c r="A8956" t="inlineStr">
        <is>
          <t>799a6220-f258-4b3c-a6a0-169c10c6c148.jpg</t>
        </is>
      </c>
      <c r="B8956">
        <f>HYPERLINK("Объекты недвижимости, не соответствующие градостроительным нормам_00-022_Август/799a6220-f258-4b3c-a6a0-169c10c6c148.jpg","open")</f>
        <v/>
      </c>
      <c r="C8956" t="inlineStr">
        <is>
          <t>caa4772d-6278-4484-a046-ee25514bf521</t>
        </is>
      </c>
      <c r="D8956" t="n">
        <v>55.73403</v>
      </c>
      <c r="E8956" t="n">
        <v>37.39772</v>
      </c>
      <c r="F8956" t="inlineStr"/>
      <c r="G8956" t="inlineStr"/>
      <c r="H8956" t="inlineStr"/>
    </row>
    <row r="8957">
      <c r="A8957" t="inlineStr">
        <is>
          <t>3c829767-043f-419a-a4e4-d85abde531bb.jpg</t>
        </is>
      </c>
      <c r="B8957">
        <f>HYPERLINK("Объекты недвижимости, не соответствующие градостроительным нормам_00-022_Август/3c829767-043f-419a-a4e4-d85abde531bb.jpg","open")</f>
        <v/>
      </c>
      <c r="C8957" t="inlineStr">
        <is>
          <t>caa4772d-6278-4484-a046-ee25514bf521</t>
        </is>
      </c>
      <c r="D8957" t="n">
        <v>55.73406</v>
      </c>
      <c r="E8957" t="n">
        <v>37.39272</v>
      </c>
      <c r="F8957" t="inlineStr"/>
      <c r="G8957" t="inlineStr"/>
      <c r="H8957" t="inlineStr"/>
    </row>
    <row r="8958">
      <c r="A8958" t="inlineStr">
        <is>
          <t>3fc76de0-e61f-4c37-8f87-63359506be52.jpg</t>
        </is>
      </c>
      <c r="B8958">
        <f>HYPERLINK("Объекты недвижимости, не соответствующие градостроительным нормам_00-022_Август/3fc76de0-e61f-4c37-8f87-63359506be52.jpg","open")</f>
        <v/>
      </c>
      <c r="C8958" t="inlineStr">
        <is>
          <t>f20fbc2b-b369-4734-bb66-92af02fbb0d1</t>
        </is>
      </c>
      <c r="D8958" t="n">
        <v>55.71555</v>
      </c>
      <c r="E8958" t="n">
        <v>37.77843</v>
      </c>
      <c r="F8958" t="inlineStr"/>
      <c r="G8958" t="inlineStr"/>
      <c r="H8958" t="inlineStr"/>
    </row>
    <row r="8959">
      <c r="A8959" t="inlineStr">
        <is>
          <t>4544f2af-6680-447b-8b4b-844d42c35ea9.jpg</t>
        </is>
      </c>
      <c r="B8959">
        <f>HYPERLINK("Объекты недвижимости, не соответствующие градостроительным нормам_00-022_Август/4544f2af-6680-447b-8b4b-844d42c35ea9.jpg","open")</f>
        <v/>
      </c>
      <c r="C8959" t="inlineStr">
        <is>
          <t>030e8755-17c1-44eb-9530-707d0d3121cb</t>
        </is>
      </c>
      <c r="D8959" t="n">
        <v>55.70367</v>
      </c>
      <c r="E8959" t="n">
        <v>37.59505</v>
      </c>
      <c r="F8959" t="inlineStr"/>
      <c r="G8959" t="inlineStr"/>
      <c r="H8959" t="inlineStr"/>
    </row>
    <row r="8960">
      <c r="A8960" t="inlineStr">
        <is>
          <t>0c5d12ce-8cef-40ed-a855-887bb21ac168.jpg</t>
        </is>
      </c>
      <c r="B8960">
        <f>HYPERLINK("Объекты недвижимости, не соответствующие градостроительным нормам_00-022_Август/0c5d12ce-8cef-40ed-a855-887bb21ac168.jpg","open")</f>
        <v/>
      </c>
      <c r="C8960" t="inlineStr">
        <is>
          <t>caa4772d-6278-4484-a046-ee25514bf521</t>
        </is>
      </c>
      <c r="D8960" t="n">
        <v>55.73391</v>
      </c>
      <c r="E8960" t="n">
        <v>37.39609</v>
      </c>
      <c r="F8960" t="inlineStr"/>
      <c r="G8960" t="inlineStr"/>
      <c r="H8960" t="inlineStr"/>
    </row>
    <row r="8961">
      <c r="A8961" t="inlineStr">
        <is>
          <t>49791b3d-e0db-479e-8e07-89af264c6983.jpg</t>
        </is>
      </c>
      <c r="B8961">
        <f>HYPERLINK("Объекты недвижимости, не соответствующие градостроительным нормам_00-022_Август/49791b3d-e0db-479e-8e07-89af264c6983.jpg","open")</f>
        <v/>
      </c>
      <c r="C8961" t="inlineStr">
        <is>
          <t>8cde1fd0-eca1-4510-86ab-3c743b65fdfc</t>
        </is>
      </c>
      <c r="D8961" t="n">
        <v>55.67144</v>
      </c>
      <c r="E8961" t="n">
        <v>37.62958</v>
      </c>
      <c r="F8961" t="inlineStr"/>
      <c r="G8961" t="inlineStr"/>
      <c r="H8961" t="inlineStr"/>
    </row>
    <row r="8962">
      <c r="A8962" t="inlineStr">
        <is>
          <t>d8e8d436-97bd-41d0-a1bb-914b5af1d4ea.jpg</t>
        </is>
      </c>
      <c r="B8962">
        <f>HYPERLINK("Объекты недвижимости, не соответствующие градостроительным нормам_00-022_Август/d8e8d436-97bd-41d0-a1bb-914b5af1d4ea.jpg","open")</f>
        <v/>
      </c>
      <c r="C8962" t="inlineStr">
        <is>
          <t>caa4772d-6278-4484-a046-ee25514bf521</t>
        </is>
      </c>
      <c r="D8962" t="n">
        <v>55.73382</v>
      </c>
      <c r="E8962" t="n">
        <v>37.40053</v>
      </c>
      <c r="F8962" t="inlineStr"/>
      <c r="G8962" t="inlineStr"/>
      <c r="H8962" t="inlineStr"/>
    </row>
    <row r="8963">
      <c r="A8963" t="inlineStr">
        <is>
          <t>f097ba40-19f7-4edd-9899-6ef987c1202c.jpg</t>
        </is>
      </c>
      <c r="B8963">
        <f>HYPERLINK("Объекты недвижимости, не соответствующие градостроительным нормам_00-022_Август/f097ba40-19f7-4edd-9899-6ef987c1202c.jpg","open")</f>
        <v/>
      </c>
      <c r="C8963" t="inlineStr">
        <is>
          <t>a1a9db89-3f74-42ef-8fad-ad69705102cd</t>
        </is>
      </c>
      <c r="D8963" t="n">
        <v>55.76564</v>
      </c>
      <c r="E8963" t="n">
        <v>37.68046</v>
      </c>
      <c r="F8963" t="inlineStr"/>
      <c r="G8963" t="inlineStr"/>
      <c r="H8963" t="inlineStr"/>
    </row>
    <row r="8964">
      <c r="A8964" t="inlineStr">
        <is>
          <t>ec038faa-f9e3-47dd-98d1-9b04d33b1a9b.jpg</t>
        </is>
      </c>
      <c r="B8964">
        <f>HYPERLINK("Объекты недвижимости, не соответствующие градостроительным нормам_00-022_Август/ec038faa-f9e3-47dd-98d1-9b04d33b1a9b.jpg","open")</f>
        <v/>
      </c>
      <c r="C8964" t="inlineStr">
        <is>
          <t>cbf95b01-f708-45a3-9ec0-3603469b538e</t>
        </is>
      </c>
      <c r="D8964" t="n">
        <v>55.76562</v>
      </c>
      <c r="E8964" t="n">
        <v>37.68048</v>
      </c>
      <c r="F8964" t="inlineStr"/>
      <c r="G8964" t="inlineStr"/>
      <c r="H8964" t="inlineStr"/>
    </row>
    <row r="8965">
      <c r="A8965" t="inlineStr">
        <is>
          <t>a61189cc-16f1-4e41-90c4-954ad1a9224e.jpg</t>
        </is>
      </c>
      <c r="B8965">
        <f>HYPERLINK("Объекты недвижимости, не соответствующие градостроительным нормам_00-022_Август/a61189cc-16f1-4e41-90c4-954ad1a9224e.jpg","open")</f>
        <v/>
      </c>
      <c r="C8965" t="inlineStr">
        <is>
          <t>ad64e6b9-1ed5-44d7-a101-4945a1f9dec6</t>
        </is>
      </c>
      <c r="D8965" t="n">
        <v>55.60212</v>
      </c>
      <c r="E8965" t="n">
        <v>37.55481</v>
      </c>
      <c r="F8965" t="inlineStr"/>
      <c r="G8965" t="inlineStr"/>
      <c r="H8965" t="inlineStr"/>
    </row>
    <row r="8966">
      <c r="A8966" t="inlineStr">
        <is>
          <t>eb6f6f4d-35db-4421-a855-e2533af63286.jpg</t>
        </is>
      </c>
      <c r="B8966">
        <f>HYPERLINK("Объекты недвижимости, не соответствующие градостроительным нормам_00-022_Август/eb6f6f4d-35db-4421-a855-e2533af63286.jpg","open")</f>
        <v/>
      </c>
      <c r="C8966" t="inlineStr">
        <is>
          <t>ad64e6b9-1ed5-44d7-a101-4945a1f9dec6</t>
        </is>
      </c>
      <c r="D8966" t="n">
        <v>55.60205</v>
      </c>
      <c r="E8966" t="n">
        <v>37.55484</v>
      </c>
      <c r="F8966" t="inlineStr"/>
      <c r="G8966" t="inlineStr"/>
      <c r="H8966" t="inlineStr"/>
    </row>
    <row r="8967">
      <c r="A8967" t="inlineStr">
        <is>
          <t>4e74f10b-980e-4830-a8df-460d838ec16f.jpg</t>
        </is>
      </c>
      <c r="B8967">
        <f>HYPERLINK("Объекты недвижимости, не соответствующие градостроительным нормам_00-022_Август/4e74f10b-980e-4830-a8df-460d838ec16f.jpg","open")</f>
        <v/>
      </c>
      <c r="C8967" t="inlineStr">
        <is>
          <t>57812597-37e6-414c-8b11-8c661dbfeb70</t>
        </is>
      </c>
      <c r="D8967" t="n">
        <v>55.73496</v>
      </c>
      <c r="E8967" t="n">
        <v>37.66926</v>
      </c>
      <c r="F8967" t="inlineStr"/>
      <c r="G8967" t="inlineStr"/>
      <c r="H8967" t="inlineStr"/>
    </row>
    <row r="8968">
      <c r="A8968" t="inlineStr">
        <is>
          <t>898f7de1-b14b-41b5-b41e-7ff6b3468dc0.jpg</t>
        </is>
      </c>
      <c r="B8968">
        <f>HYPERLINK("Объекты недвижимости, не соответствующие градостроительным нормам_00-022_Август/898f7de1-b14b-41b5-b41e-7ff6b3468dc0.jpg","open")</f>
        <v/>
      </c>
      <c r="C8968" t="inlineStr">
        <is>
          <t>1a55986c-2c3f-40c0-b3d1-014dce77832e</t>
        </is>
      </c>
      <c r="D8968" t="n">
        <v>55.55372</v>
      </c>
      <c r="E8968" t="n">
        <v>37.55997</v>
      </c>
      <c r="F8968" t="inlineStr"/>
      <c r="G8968" t="inlineStr"/>
      <c r="H8968" t="inlineStr"/>
    </row>
    <row r="8969">
      <c r="A8969" t="inlineStr">
        <is>
          <t>54cdcd1d-7ba6-431b-beeb-4069d84d0556.jpg</t>
        </is>
      </c>
      <c r="B8969">
        <f>HYPERLINK("Объекты недвижимости, не соответствующие градостроительным нормам_00-022_Август/54cdcd1d-7ba6-431b-beeb-4069d84d0556.jpg","open")</f>
        <v/>
      </c>
      <c r="C8969" t="inlineStr">
        <is>
          <t>b0b7ea82-53be-40d0-b992-e2fd18611d5c</t>
        </is>
      </c>
      <c r="D8969" t="n">
        <v>55.71489</v>
      </c>
      <c r="E8969" t="n">
        <v>37.78701</v>
      </c>
      <c r="F8969" t="inlineStr"/>
      <c r="G8969" t="inlineStr"/>
      <c r="H8969" t="inlineStr"/>
    </row>
    <row r="8970">
      <c r="A8970" t="inlineStr">
        <is>
          <t>fcb3807a-c85a-4c96-be0e-ea5ca505a07c.jpg</t>
        </is>
      </c>
      <c r="B8970">
        <f>HYPERLINK("Объекты недвижимости, не соответствующие градостроительным нормам_00-022_Август/fcb3807a-c85a-4c96-be0e-ea5ca505a07c.jpg","open")</f>
        <v/>
      </c>
      <c r="C8970" t="inlineStr">
        <is>
          <t>50e4626c-a80e-42ab-b999-b5092c2c063f</t>
        </is>
      </c>
      <c r="D8970" t="n">
        <v>55.77909</v>
      </c>
      <c r="E8970" t="n">
        <v>37.72065</v>
      </c>
      <c r="F8970" t="inlineStr"/>
      <c r="G8970" t="inlineStr"/>
      <c r="H8970" t="inlineStr"/>
    </row>
    <row r="8971">
      <c r="A8971" t="inlineStr">
        <is>
          <t>0c9eb919-60f1-4ead-bdcd-7c0fa6eb2f16.jpg</t>
        </is>
      </c>
      <c r="B8971">
        <f>HYPERLINK("Объекты недвижимости, не соответствующие градостроительным нормам_00-022_Август/0c9eb919-60f1-4ead-bdcd-7c0fa6eb2f16.jpg","open")</f>
        <v/>
      </c>
      <c r="C8971" t="inlineStr">
        <is>
          <t>50e4626c-a80e-42ab-b999-b5092c2c063f</t>
        </is>
      </c>
      <c r="D8971" t="n">
        <v>55.77896</v>
      </c>
      <c r="E8971" t="n">
        <v>37.72071</v>
      </c>
      <c r="F8971" t="inlineStr"/>
      <c r="G8971" t="inlineStr"/>
      <c r="H8971" t="inlineStr"/>
    </row>
    <row r="8972">
      <c r="A8972" t="inlineStr">
        <is>
          <t>06733717-7491-4144-a6a7-f30c4f4569e2.jpg</t>
        </is>
      </c>
      <c r="B8972">
        <f>HYPERLINK("Объекты недвижимости, не соответствующие градостроительным нормам_00-022_Август/06733717-7491-4144-a6a7-f30c4f4569e2.jpg","open")</f>
        <v/>
      </c>
      <c r="C8972" t="inlineStr">
        <is>
          <t>57aae8a4-582b-4309-8045-c8127a9f86ae</t>
        </is>
      </c>
      <c r="D8972" t="n">
        <v>55.79593</v>
      </c>
      <c r="E8972" t="n">
        <v>37.80621</v>
      </c>
      <c r="F8972" t="inlineStr"/>
      <c r="G8972" t="inlineStr"/>
      <c r="H8972" t="inlineStr"/>
    </row>
    <row r="8973">
      <c r="A8973" t="inlineStr">
        <is>
          <t>1f465ae8-c67f-4b33-a965-232252cb49a9.jpg</t>
        </is>
      </c>
      <c r="B8973">
        <f>HYPERLINK("Объекты недвижимости, не соответствующие градостроительным нормам_00-022_Август/1f465ae8-c67f-4b33-a965-232252cb49a9.jpg","open")</f>
        <v/>
      </c>
      <c r="C8973" t="inlineStr">
        <is>
          <t>9fb3d110-951f-48da-9d90-cfd7e1b5800d</t>
        </is>
      </c>
      <c r="D8973" t="n">
        <v>55.73286</v>
      </c>
      <c r="E8973" t="n">
        <v>37.53586</v>
      </c>
      <c r="F8973" t="inlineStr"/>
      <c r="G8973" t="inlineStr"/>
      <c r="H8973" t="inlineStr"/>
    </row>
    <row r="8974">
      <c r="A8974" t="inlineStr">
        <is>
          <t>bf567f6e-462d-4c00-b71d-8ec36ebf4d65.jpg</t>
        </is>
      </c>
      <c r="B8974">
        <f>HYPERLINK("Объекты недвижимости, не соответствующие градостроительным нормам_00-022_Август/bf567f6e-462d-4c00-b71d-8ec36ebf4d65.jpg","open")</f>
        <v/>
      </c>
      <c r="C8974" t="inlineStr">
        <is>
          <t>db8b536c-32f2-4d9a-ae08-679d227e61f1</t>
        </is>
      </c>
      <c r="D8974" t="n">
        <v>55.68269</v>
      </c>
      <c r="E8974" t="n">
        <v>37.57016</v>
      </c>
      <c r="F8974" t="inlineStr"/>
      <c r="G8974" t="inlineStr"/>
      <c r="H8974" t="inlineStr"/>
    </row>
    <row r="8975">
      <c r="A8975" t="inlineStr">
        <is>
          <t>f0b1ea30-a405-4e36-840b-dcc2073627e0.jpg</t>
        </is>
      </c>
      <c r="B8975">
        <f>HYPERLINK("Объекты недвижимости, не соответствующие градостроительным нормам_00-022_Август/f0b1ea30-a405-4e36-840b-dcc2073627e0.jpg","open")</f>
        <v/>
      </c>
      <c r="C8975" t="inlineStr">
        <is>
          <t>f20fbc2b-b369-4734-bb66-92af02fbb0d1</t>
        </is>
      </c>
      <c r="D8975" t="n">
        <v>55.71216</v>
      </c>
      <c r="E8975" t="n">
        <v>37.77942</v>
      </c>
      <c r="F8975" t="inlineStr"/>
      <c r="G8975" t="inlineStr"/>
      <c r="H8975" t="inlineStr"/>
    </row>
    <row r="8976">
      <c r="A8976" t="inlineStr">
        <is>
          <t>2e42a202-7821-4ddd-a0d7-30fca66155d9.jpg</t>
        </is>
      </c>
      <c r="B8976">
        <f>HYPERLINK("Объекты недвижимости, не соответствующие градостроительным нормам_00-022_Август/2e42a202-7821-4ddd-a0d7-30fca66155d9.jpg","open")</f>
        <v/>
      </c>
      <c r="C8976" t="inlineStr">
        <is>
          <t>b0b7ea82-53be-40d0-b992-e2fd18611d5c</t>
        </is>
      </c>
      <c r="D8976" t="n">
        <v>55.71216</v>
      </c>
      <c r="E8976" t="n">
        <v>37.77942</v>
      </c>
      <c r="F8976" t="inlineStr"/>
      <c r="G8976" t="inlineStr"/>
      <c r="H8976" t="inlineStr"/>
    </row>
    <row r="8977">
      <c r="A8977" t="inlineStr">
        <is>
          <t>78f06ac4-e7d9-47a7-8032-f399a8656e23.jpg</t>
        </is>
      </c>
      <c r="B8977">
        <f>HYPERLINK("Объекты недвижимости, не соответствующие градостроительным нормам_00-022_Август/78f06ac4-e7d9-47a7-8032-f399a8656e23.jpg","open")</f>
        <v/>
      </c>
      <c r="C8977" t="inlineStr">
        <is>
          <t>f20fbc2b-b369-4734-bb66-92af02fbb0d1</t>
        </is>
      </c>
      <c r="D8977" t="n">
        <v>55.7118</v>
      </c>
      <c r="E8977" t="n">
        <v>37.77938</v>
      </c>
      <c r="F8977" t="inlineStr"/>
      <c r="G8977" t="inlineStr"/>
      <c r="H8977" t="inlineStr"/>
    </row>
    <row r="8978">
      <c r="A8978" t="inlineStr">
        <is>
          <t>450cbc86-3e17-4cad-86ad-d30f63049df3.jpg</t>
        </is>
      </c>
      <c r="B8978">
        <f>HYPERLINK("Объекты недвижимости, не соответствующие градостроительным нормам_00-022_Август/450cbc86-3e17-4cad-86ad-d30f63049df3.jpg","open")</f>
        <v/>
      </c>
      <c r="C8978" t="inlineStr">
        <is>
          <t>b0b7ea82-53be-40d0-b992-e2fd18611d5c</t>
        </is>
      </c>
      <c r="D8978" t="n">
        <v>55.7118</v>
      </c>
      <c r="E8978" t="n">
        <v>37.7794</v>
      </c>
      <c r="F8978" t="inlineStr"/>
      <c r="G8978" t="inlineStr"/>
      <c r="H8978" t="inlineStr"/>
    </row>
    <row r="8979">
      <c r="A8979" t="inlineStr">
        <is>
          <t>b69957a0-1f3c-47d2-9cf9-fb9be46ba826.jpg</t>
        </is>
      </c>
      <c r="B8979">
        <f>HYPERLINK("Объекты недвижимости, не соответствующие градостроительным нормам_00-022_Август/b69957a0-1f3c-47d2-9cf9-fb9be46ba826.jpg","open")</f>
        <v/>
      </c>
      <c r="C8979" t="inlineStr">
        <is>
          <t>f20fbc2b-b369-4734-bb66-92af02fbb0d1</t>
        </is>
      </c>
      <c r="D8979" t="n">
        <v>55.71181</v>
      </c>
      <c r="E8979" t="n">
        <v>37.77942</v>
      </c>
      <c r="F8979" t="inlineStr"/>
      <c r="G8979" t="inlineStr"/>
      <c r="H8979" t="inlineStr"/>
    </row>
    <row r="8980">
      <c r="A8980" t="inlineStr">
        <is>
          <t>1ae9b789-f10f-4bf9-a752-53d896fdaed3.jpg</t>
        </is>
      </c>
      <c r="B8980">
        <f>HYPERLINK("Объекты недвижимости, не соответствующие градостроительным нормам_00-022_Август/1ae9b789-f10f-4bf9-a752-53d896fdaed3.jpg","open")</f>
        <v/>
      </c>
      <c r="C8980" t="inlineStr">
        <is>
          <t>48b533d5-d106-4175-ac9b-d5ce8d90cccf</t>
        </is>
      </c>
      <c r="D8980" t="n">
        <v>55.72505</v>
      </c>
      <c r="E8980" t="n">
        <v>37.73772</v>
      </c>
      <c r="F8980" t="inlineStr"/>
      <c r="G8980" t="inlineStr"/>
      <c r="H8980" t="inlineStr"/>
    </row>
    <row r="8981">
      <c r="A8981" t="inlineStr">
        <is>
          <t>02e1df31-2100-46c5-9baa-102ecfff7cbd.jpg</t>
        </is>
      </c>
      <c r="B8981">
        <f>HYPERLINK("Объекты недвижимости, не соответствующие градостроительным нормам_00-022_Август/02e1df31-2100-46c5-9baa-102ecfff7cbd.jpg","open")</f>
        <v/>
      </c>
      <c r="C8981" t="inlineStr">
        <is>
          <t>8996eb30-6497-4318-8a0e-b95314b8172e</t>
        </is>
      </c>
      <c r="D8981" t="n">
        <v>55.72496</v>
      </c>
      <c r="E8981" t="n">
        <v>37.73766</v>
      </c>
      <c r="F8981" t="inlineStr"/>
      <c r="G8981" t="inlineStr"/>
      <c r="H8981" t="inlineStr"/>
    </row>
    <row r="8982">
      <c r="A8982" t="inlineStr">
        <is>
          <t>2fe08335-b530-4d34-b2ac-f0684143760a.jpg</t>
        </is>
      </c>
      <c r="B8982">
        <f>HYPERLINK("Объекты недвижимости, не соответствующие градостроительным нормам_00-022_Август/2fe08335-b530-4d34-b2ac-f0684143760a.jpg","open")</f>
        <v/>
      </c>
      <c r="C8982" t="inlineStr">
        <is>
          <t>b0b7ea82-53be-40d0-b992-e2fd18611d5c</t>
        </is>
      </c>
      <c r="D8982" t="n">
        <v>55.71156</v>
      </c>
      <c r="E8982" t="n">
        <v>37.78296</v>
      </c>
      <c r="F8982" t="inlineStr"/>
      <c r="G8982" t="inlineStr"/>
      <c r="H8982" t="inlineStr"/>
    </row>
    <row r="8983">
      <c r="A8983" t="inlineStr">
        <is>
          <t>bc2ebdd4-a1d4-42df-bef0-110943595ee7.jpg</t>
        </is>
      </c>
      <c r="B8983">
        <f>HYPERLINK("Объекты недвижимости, не соответствующие градостроительным нормам_00-022_Август/bc2ebdd4-a1d4-42df-bef0-110943595ee7.jpg","open")</f>
        <v/>
      </c>
      <c r="C8983" t="inlineStr">
        <is>
          <t>caa4772d-6278-4484-a046-ee25514bf521</t>
        </is>
      </c>
      <c r="D8983" t="n">
        <v>55.73081</v>
      </c>
      <c r="E8983" t="n">
        <v>37.4243</v>
      </c>
      <c r="F8983" t="inlineStr"/>
      <c r="G8983" t="inlineStr"/>
      <c r="H8983" t="inlineStr"/>
    </row>
    <row r="8984">
      <c r="A8984" t="inlineStr">
        <is>
          <t>9be370b3-d40d-4ea3-a832-42726aeb4821.jpg</t>
        </is>
      </c>
      <c r="B8984">
        <f>HYPERLINK("Объекты недвижимости, не соответствующие градостроительным нормам_00-022_Август/9be370b3-d40d-4ea3-a832-42726aeb4821.jpg","open")</f>
        <v/>
      </c>
      <c r="C8984" t="inlineStr">
        <is>
          <t>caa4772d-6278-4484-a046-ee25514bf521</t>
        </is>
      </c>
      <c r="D8984" t="n">
        <v>55.73196</v>
      </c>
      <c r="E8984" t="n">
        <v>37.41806</v>
      </c>
      <c r="F8984" t="inlineStr"/>
      <c r="G8984" t="inlineStr"/>
      <c r="H8984" t="inlineStr"/>
    </row>
    <row r="8985">
      <c r="A8985" t="inlineStr">
        <is>
          <t>f493a153-bdd7-4b08-a736-c86e0a7a8c5e.jpg</t>
        </is>
      </c>
      <c r="B8985">
        <f>HYPERLINK("Объекты недвижимости, не соответствующие градостроительным нормам_00-022_Август/f493a153-bdd7-4b08-a736-c86e0a7a8c5e.jpg","open")</f>
        <v/>
      </c>
      <c r="C8985" t="inlineStr">
        <is>
          <t>e85aff3b-73e8-4856-827e-477ccc0aea77</t>
        </is>
      </c>
      <c r="D8985" t="n">
        <v>55.9845</v>
      </c>
      <c r="E8985" t="n">
        <v>37.21422</v>
      </c>
      <c r="F8985" t="inlineStr"/>
      <c r="G8985" t="inlineStr"/>
      <c r="H8985" t="inlineStr"/>
    </row>
    <row r="8986">
      <c r="A8986" t="inlineStr">
        <is>
          <t>f102d69e-e226-4129-9207-cda986b63b1a.jpg</t>
        </is>
      </c>
      <c r="B8986">
        <f>HYPERLINK("Объекты недвижимости, не соответствующие градостроительным нормам_00-022_Август/f102d69e-e226-4129-9207-cda986b63b1a.jpg","open")</f>
        <v/>
      </c>
      <c r="C8986" t="inlineStr">
        <is>
          <t>e85aff3b-73e8-4856-827e-477ccc0aea77</t>
        </is>
      </c>
      <c r="D8986" t="n">
        <v>55.9845</v>
      </c>
      <c r="E8986" t="n">
        <v>37.21422</v>
      </c>
      <c r="F8986" t="inlineStr"/>
      <c r="G8986" t="inlineStr"/>
      <c r="H8986" t="inlineStr"/>
    </row>
    <row r="8987">
      <c r="A8987" t="inlineStr">
        <is>
          <t>2dd04592-7154-4798-a3a3-3142201a346c.jpg</t>
        </is>
      </c>
      <c r="B8987">
        <f>HYPERLINK("Объекты недвижимости, не соответствующие градостроительным нормам_00-022_Август/2dd04592-7154-4798-a3a3-3142201a346c.jpg","open")</f>
        <v/>
      </c>
      <c r="C8987" t="inlineStr">
        <is>
          <t>d2c4eccd-3e4b-406c-a903-0f5e43d0be35</t>
        </is>
      </c>
      <c r="D8987" t="n">
        <v>55.97757</v>
      </c>
      <c r="E8987" t="n">
        <v>37.40047</v>
      </c>
      <c r="F8987" t="inlineStr"/>
      <c r="G8987" t="inlineStr"/>
      <c r="H8987" t="inlineStr"/>
    </row>
    <row r="8988">
      <c r="A8988" t="inlineStr">
        <is>
          <t>92faefa6-58b4-434e-bad2-892809cd754a.jpg</t>
        </is>
      </c>
      <c r="B8988">
        <f>HYPERLINK("Объекты недвижимости, не соответствующие градостроительным нормам_00-022_Август/92faefa6-58b4-434e-bad2-892809cd754a.jpg","open")</f>
        <v/>
      </c>
      <c r="C8988" t="inlineStr">
        <is>
          <t>685d9054-b74f-49ab-857b-109fd2cec80d</t>
        </is>
      </c>
      <c r="D8988" t="n">
        <v>55.69385</v>
      </c>
      <c r="E8988" t="n">
        <v>37.54182</v>
      </c>
      <c r="F8988" t="inlineStr"/>
      <c r="G8988" t="inlineStr"/>
      <c r="H8988" t="inlineStr"/>
    </row>
    <row r="8989">
      <c r="A8989" t="inlineStr">
        <is>
          <t>257e1d4f-f6b7-48bd-a6a4-138dac9a6b7d.jpg</t>
        </is>
      </c>
      <c r="B8989">
        <f>HYPERLINK("Объекты недвижимости, не соответствующие градостроительным нормам_00-022_Август/257e1d4f-f6b7-48bd-a6a4-138dac9a6b7d.jpg","open")</f>
        <v/>
      </c>
      <c r="C8989" t="inlineStr">
        <is>
          <t>fb9a37cc-57a6-447c-98bb-0b299f09c809</t>
        </is>
      </c>
      <c r="D8989" t="n">
        <v>55.9824</v>
      </c>
      <c r="E8989" t="n">
        <v>37.41264</v>
      </c>
      <c r="F8989" t="inlineStr"/>
      <c r="G8989" t="inlineStr"/>
      <c r="H8989" t="inlineStr"/>
    </row>
    <row r="8990">
      <c r="A8990" t="inlineStr">
        <is>
          <t>c0862190-20ff-4094-88c0-97ae123a1a34.jpg</t>
        </is>
      </c>
      <c r="B8990">
        <f>HYPERLINK("Объекты недвижимости, не соответствующие градостроительным нормам_00-022_Август/c0862190-20ff-4094-88c0-97ae123a1a34.jpg","open")</f>
        <v/>
      </c>
      <c r="C8990" t="inlineStr">
        <is>
          <t>0dd30d74-4dbc-46a8-b638-91e1431bb398</t>
        </is>
      </c>
      <c r="D8990" t="n">
        <v>55.84858</v>
      </c>
      <c r="E8990" t="n">
        <v>37.57073</v>
      </c>
      <c r="F8990" t="inlineStr"/>
      <c r="G8990" t="inlineStr"/>
      <c r="H8990" t="inlineStr"/>
    </row>
    <row r="8991">
      <c r="A8991" t="inlineStr">
        <is>
          <t>f71081ed-5204-42dc-bf7b-73709180d9c6.jpg</t>
        </is>
      </c>
      <c r="B8991">
        <f>HYPERLINK("Объекты недвижимости, не соответствующие градостроительным нормам_00-022_Август/f71081ed-5204-42dc-bf7b-73709180d9c6.jpg","open")</f>
        <v/>
      </c>
      <c r="C8991" t="inlineStr">
        <is>
          <t>93848fc8-17e7-4748-9ebc-c7e379e11d2f</t>
        </is>
      </c>
      <c r="D8991" t="n">
        <v>55.84858</v>
      </c>
      <c r="E8991" t="n">
        <v>37.57078</v>
      </c>
      <c r="F8991" t="inlineStr"/>
      <c r="G8991" t="inlineStr"/>
      <c r="H8991" t="inlineStr"/>
    </row>
    <row r="8992">
      <c r="A8992" t="inlineStr">
        <is>
          <t>287b6b28-c350-4a3d-a0fa-35935742ced6.jpg</t>
        </is>
      </c>
      <c r="B8992">
        <f>HYPERLINK("Объекты недвижимости, не соответствующие градостроительным нормам_00-022_Август/287b6b28-c350-4a3d-a0fa-35935742ced6.jpg","open")</f>
        <v/>
      </c>
      <c r="C8992" t="inlineStr">
        <is>
          <t>030e8755-17c1-44eb-9530-707d0d3121cb</t>
        </is>
      </c>
      <c r="D8992" t="n">
        <v>55.69521</v>
      </c>
      <c r="E8992" t="n">
        <v>37.60256</v>
      </c>
      <c r="F8992" t="inlineStr"/>
      <c r="G8992" t="inlineStr"/>
      <c r="H8992" t="inlineStr"/>
    </row>
    <row r="8993">
      <c r="A8993" t="inlineStr">
        <is>
          <t>084dbe0e-cd05-43b5-94e8-2d62b87c03b9.jpg</t>
        </is>
      </c>
      <c r="B8993">
        <f>HYPERLINK("Объекты недвижимости, не соответствующие градостроительным нормам_00-022_Август/084dbe0e-cd05-43b5-94e8-2d62b87c03b9.jpg","open")</f>
        <v/>
      </c>
      <c r="C8993" t="inlineStr">
        <is>
          <t>685d9054-b74f-49ab-857b-109fd2cec80d</t>
        </is>
      </c>
      <c r="D8993" t="n">
        <v>55.69334</v>
      </c>
      <c r="E8993" t="n">
        <v>37.5448</v>
      </c>
      <c r="F8993" t="inlineStr"/>
      <c r="G8993" t="inlineStr"/>
      <c r="H8993" t="inlineStr"/>
    </row>
    <row r="8994">
      <c r="A8994" t="inlineStr">
        <is>
          <t>c9c4c678-3ff3-4375-87f6-02c519547ed2.jpg</t>
        </is>
      </c>
      <c r="B8994">
        <f>HYPERLINK("Объекты недвижимости, не соответствующие градостроительным нормам_00-022_Август/c9c4c678-3ff3-4375-87f6-02c519547ed2.jpg","open")</f>
        <v/>
      </c>
      <c r="C8994" t="inlineStr">
        <is>
          <t>bfe6d308-d042-4641-8584-2e33d24b2451</t>
        </is>
      </c>
      <c r="D8994" t="n">
        <v>55.49418</v>
      </c>
      <c r="E8994" t="n">
        <v>37.55577</v>
      </c>
      <c r="F8994" t="inlineStr"/>
      <c r="G8994" t="inlineStr"/>
      <c r="H8994" t="inlineStr"/>
    </row>
    <row r="8995">
      <c r="A8995" t="inlineStr">
        <is>
          <t>6e25ad33-129c-4460-881e-01b41361ec83.jpg</t>
        </is>
      </c>
      <c r="B8995">
        <f>HYPERLINK("Объекты недвижимости, не соответствующие градостроительным нормам_00-022_Август/6e25ad33-129c-4460-881e-01b41361ec83.jpg","open")</f>
        <v/>
      </c>
      <c r="C8995" t="inlineStr">
        <is>
          <t>bfe6d308-d042-4641-8584-2e33d24b2451</t>
        </is>
      </c>
      <c r="D8995" t="n">
        <v>55.4925</v>
      </c>
      <c r="E8995" t="n">
        <v>37.55309</v>
      </c>
      <c r="F8995" t="inlineStr"/>
      <c r="G8995" t="inlineStr"/>
      <c r="H8995" t="inlineStr"/>
    </row>
    <row r="8996">
      <c r="A8996" t="inlineStr">
        <is>
          <t>88fd6b85-0d93-493c-8ba7-1eeeacf9bcc9.jpg</t>
        </is>
      </c>
      <c r="B8996">
        <f>HYPERLINK("Объекты недвижимости, не соответствующие градостроительным нормам_00-022_Август/88fd6b85-0d93-493c-8ba7-1eeeacf9bcc9.jpg","open")</f>
        <v/>
      </c>
      <c r="C8996" t="inlineStr">
        <is>
          <t>cbf95b01-f708-45a3-9ec0-3603469b538e</t>
        </is>
      </c>
      <c r="D8996" t="n">
        <v>55.78014</v>
      </c>
      <c r="E8996" t="n">
        <v>37.69508</v>
      </c>
      <c r="F8996" t="inlineStr"/>
      <c r="G8996" t="inlineStr"/>
      <c r="H8996" t="inlineStr"/>
    </row>
    <row r="8997">
      <c r="A8997" t="inlineStr">
        <is>
          <t>09013ead-974c-41ac-8ff2-b41935350267.jpg</t>
        </is>
      </c>
      <c r="B8997">
        <f>HYPERLINK("Объекты недвижимости, не соответствующие градостроительным нормам_00-022_Август/09013ead-974c-41ac-8ff2-b41935350267.jpg","open")</f>
        <v/>
      </c>
      <c r="C8997" t="inlineStr">
        <is>
          <t>cbf95b01-f708-45a3-9ec0-3603469b538e</t>
        </is>
      </c>
      <c r="D8997" t="n">
        <v>55.78198</v>
      </c>
      <c r="E8997" t="n">
        <v>37.69675</v>
      </c>
      <c r="F8997" t="inlineStr"/>
      <c r="G8997" t="inlineStr"/>
      <c r="H8997" t="inlineStr"/>
    </row>
    <row r="8998">
      <c r="A8998" t="inlineStr">
        <is>
          <t>a258bb80-a145-4b46-bd1f-a2bbddcfc262.jpg</t>
        </is>
      </c>
      <c r="B8998">
        <f>HYPERLINK("Объекты недвижимости, не соответствующие градостроительным нормам_00-022_Август/a258bb80-a145-4b46-bd1f-a2bbddcfc262.jpg","open")</f>
        <v/>
      </c>
      <c r="C8998" t="inlineStr">
        <is>
          <t>789f6c51-64ee-4078-b7bd-443af8b8b68a</t>
        </is>
      </c>
      <c r="D8998" t="n">
        <v>55.8206</v>
      </c>
      <c r="E8998" t="n">
        <v>37.62709</v>
      </c>
      <c r="F8998" t="inlineStr"/>
      <c r="G8998" t="inlineStr"/>
      <c r="H8998" t="inlineStr"/>
    </row>
    <row r="8999">
      <c r="A8999" t="inlineStr">
        <is>
          <t>00aba602-581b-4696-ac1c-012a839da9c0.jpg</t>
        </is>
      </c>
      <c r="B8999">
        <f>HYPERLINK("Объекты недвижимости, не соответствующие градостроительным нормам_00-022_Август/00aba602-581b-4696-ac1c-012a839da9c0.jpg","open")</f>
        <v/>
      </c>
      <c r="C8999" t="inlineStr">
        <is>
          <t>2acfb2da-e3f6-464c-bd17-4b713522c142</t>
        </is>
      </c>
      <c r="D8999" t="n">
        <v>55.8206</v>
      </c>
      <c r="E8999" t="n">
        <v>37.6271</v>
      </c>
      <c r="F8999" t="inlineStr"/>
      <c r="G8999" t="inlineStr"/>
      <c r="H8999" t="inlineStr"/>
    </row>
    <row r="9000">
      <c r="A9000" t="inlineStr">
        <is>
          <t>16512f3f-ceb6-41c6-a95d-6d8b12e0a819.jpg</t>
        </is>
      </c>
      <c r="B9000">
        <f>HYPERLINK("Объекты недвижимости, не соответствующие градостроительным нормам_00-022_Август/16512f3f-ceb6-41c6-a95d-6d8b12e0a819.jpg","open")</f>
        <v/>
      </c>
      <c r="C9000" t="inlineStr">
        <is>
          <t>685d9054-b74f-49ab-857b-109fd2cec80d</t>
        </is>
      </c>
      <c r="D9000" t="n">
        <v>55.69928</v>
      </c>
      <c r="E9000" t="n">
        <v>37.56175</v>
      </c>
      <c r="F9000" t="inlineStr"/>
      <c r="G9000" t="inlineStr"/>
      <c r="H9000" t="inlineStr"/>
    </row>
    <row r="9001">
      <c r="A9001" t="inlineStr">
        <is>
          <t>a803e22e-afa9-42e8-8316-3d4c03e28f23.jpg</t>
        </is>
      </c>
      <c r="B9001">
        <f>HYPERLINK("Объекты недвижимости, не соответствующие градостроительным нормам_00-022_Август/a803e22e-afa9-42e8-8316-3d4c03e28f23.jpg","open")</f>
        <v/>
      </c>
      <c r="C9001" t="inlineStr">
        <is>
          <t>a1a9db89-3f74-42ef-8fad-ad69705102cd</t>
        </is>
      </c>
      <c r="D9001" t="n">
        <v>55.7827</v>
      </c>
      <c r="E9001" t="n">
        <v>37.69644</v>
      </c>
      <c r="F9001" t="inlineStr"/>
      <c r="G9001" t="inlineStr"/>
      <c r="H9001" t="inlineStr"/>
    </row>
    <row r="9002">
      <c r="A9002" t="inlineStr">
        <is>
          <t>2dc607d4-32ab-4221-9a53-ab63c79df158.jpg</t>
        </is>
      </c>
      <c r="B9002">
        <f>HYPERLINK("Объекты недвижимости, не соответствующие градостроительным нормам_00-022_Август/2dc607d4-32ab-4221-9a53-ab63c79df158.jpg","open")</f>
        <v/>
      </c>
      <c r="C9002" t="inlineStr">
        <is>
          <t>036c664f-5408-4fd0-b479-342c00468eeb</t>
        </is>
      </c>
      <c r="D9002" t="n">
        <v>55.72633</v>
      </c>
      <c r="E9002" t="n">
        <v>37.42939</v>
      </c>
      <c r="F9002" t="inlineStr"/>
      <c r="G9002" t="inlineStr"/>
      <c r="H9002" t="inlineStr"/>
    </row>
    <row r="9003">
      <c r="A9003" t="inlineStr">
        <is>
          <t>11687b73-d340-4c60-9c4e-3784bbf86de0.jpg</t>
        </is>
      </c>
      <c r="B9003">
        <f>HYPERLINK("Объекты недвижимости, не соответствующие градостроительным нормам_00-022_Август/11687b73-d340-4c60-9c4e-3784bbf86de0.jpg","open")</f>
        <v/>
      </c>
      <c r="C9003" t="inlineStr">
        <is>
          <t>e90a3ac0-5b70-4ede-abeb-382371713306</t>
        </is>
      </c>
      <c r="D9003" t="n">
        <v>55.71571</v>
      </c>
      <c r="E9003" t="n">
        <v>37.67857</v>
      </c>
      <c r="F9003" t="inlineStr"/>
      <c r="G9003" t="inlineStr"/>
      <c r="H9003" t="inlineStr"/>
    </row>
    <row r="9004">
      <c r="A9004" t="inlineStr">
        <is>
          <t>59da05b7-d448-4d52-9149-d6c2fb758baf.jpg</t>
        </is>
      </c>
      <c r="B9004">
        <f>HYPERLINK("Объекты недвижимости, не соответствующие градостроительным нормам_00-022_Август/59da05b7-d448-4d52-9149-d6c2fb758baf.jpg","open")</f>
        <v/>
      </c>
      <c r="C9004" t="inlineStr">
        <is>
          <t>0ae6fd20-177f-4af7-9257-efb3c784b357</t>
        </is>
      </c>
      <c r="D9004" t="n">
        <v>55.98817</v>
      </c>
      <c r="E9004" t="n">
        <v>37.15089</v>
      </c>
      <c r="F9004" t="inlineStr"/>
      <c r="G9004" t="inlineStr"/>
      <c r="H9004" t="inlineStr"/>
    </row>
    <row r="9005">
      <c r="A9005" t="inlineStr">
        <is>
          <t>e1decde4-12bc-43ea-9af4-a41f4ecb5740.jpg</t>
        </is>
      </c>
      <c r="B9005">
        <f>HYPERLINK("Объекты недвижимости, не соответствующие градостроительным нормам_00-022_Август/e1decde4-12bc-43ea-9af4-a41f4ecb5740.jpg","open")</f>
        <v/>
      </c>
      <c r="C9005" t="inlineStr">
        <is>
          <t>f7a3e6af-e9f9-46b2-a77f-b34d6002415e</t>
        </is>
      </c>
      <c r="D9005" t="n">
        <v>55.52225</v>
      </c>
      <c r="E9005" t="n">
        <v>37.50305</v>
      </c>
      <c r="F9005" t="inlineStr"/>
      <c r="G9005" t="inlineStr"/>
      <c r="H9005" t="inlineStr"/>
    </row>
    <row r="9006">
      <c r="A9006" t="inlineStr">
        <is>
          <t>248e4263-5a13-471f-866c-8d5932bf8118.jpg</t>
        </is>
      </c>
      <c r="B9006">
        <f>HYPERLINK("Объекты недвижимости, не соответствующие градостроительным нормам_00-022_Август/248e4263-5a13-471f-866c-8d5932bf8118.jpg","open")</f>
        <v/>
      </c>
      <c r="C9006" t="inlineStr">
        <is>
          <t>db8b536c-32f2-4d9a-ae08-679d227e61f1</t>
        </is>
      </c>
      <c r="D9006" t="n">
        <v>55.71571</v>
      </c>
      <c r="E9006" t="n">
        <v>37.67857</v>
      </c>
      <c r="F9006" t="inlineStr"/>
      <c r="G9006" t="inlineStr"/>
      <c r="H9006" t="inlineStr"/>
    </row>
    <row r="9007">
      <c r="A9007" t="inlineStr">
        <is>
          <t>02004410-8a01-494b-96e8-0c7344f7e678.jpg</t>
        </is>
      </c>
      <c r="B9007">
        <f>HYPERLINK("Объекты недвижимости, не соответствующие градостроительным нормам_00-022_Август/02004410-8a01-494b-96e8-0c7344f7e678.jpg","open")</f>
        <v/>
      </c>
      <c r="C9007" t="inlineStr">
        <is>
          <t>0ae6fd20-177f-4af7-9257-efb3c784b357</t>
        </is>
      </c>
      <c r="D9007" t="n">
        <v>55.98817</v>
      </c>
      <c r="E9007" t="n">
        <v>37.15089</v>
      </c>
      <c r="F9007" t="inlineStr"/>
      <c r="G9007" t="inlineStr"/>
      <c r="H9007" t="inlineStr"/>
    </row>
    <row r="9008">
      <c r="A9008" t="inlineStr">
        <is>
          <t>156e1ba4-1a6b-48f4-986d-58f78465d333.jpg</t>
        </is>
      </c>
      <c r="B9008">
        <f>HYPERLINK("Объекты недвижимости, не соответствующие градостроительным нормам_00-022_Август/156e1ba4-1a6b-48f4-986d-58f78465d333.jpg","open")</f>
        <v/>
      </c>
      <c r="C9008" t="inlineStr">
        <is>
          <t>b23a39fd-838c-435a-bacd-b4d6bb842c62</t>
        </is>
      </c>
      <c r="D9008" t="n">
        <v>55.77029</v>
      </c>
      <c r="E9008" t="n">
        <v>37.53754</v>
      </c>
      <c r="F9008" t="inlineStr"/>
      <c r="G9008" t="inlineStr"/>
      <c r="H9008" t="inlineStr"/>
    </row>
    <row r="9009">
      <c r="A9009" t="inlineStr">
        <is>
          <t>2b570b5d-d0fb-47f9-950f-7003d143bdf8.jpg</t>
        </is>
      </c>
      <c r="B9009">
        <f>HYPERLINK("Объекты недвижимости, не соответствующие градостроительным нормам_00-022_Август/2b570b5d-d0fb-47f9-950f-7003d143bdf8.jpg","open")</f>
        <v/>
      </c>
      <c r="C9009" t="inlineStr">
        <is>
          <t>789f6c51-64ee-4078-b7bd-443af8b8b68a</t>
        </is>
      </c>
      <c r="D9009" t="n">
        <v>55.84479</v>
      </c>
      <c r="E9009" t="n">
        <v>37.6699</v>
      </c>
      <c r="F9009" t="inlineStr"/>
      <c r="G9009" t="inlineStr"/>
      <c r="H9009" t="inlineStr"/>
    </row>
    <row r="9010">
      <c r="A9010" t="inlineStr">
        <is>
          <t>aa11c806-a8d6-4953-9363-8a8e73aeda9f.jpg</t>
        </is>
      </c>
      <c r="B9010">
        <f>HYPERLINK("Объекты недвижимости, не соответствующие градостроительным нормам_00-022_Август/aa11c806-a8d6-4953-9363-8a8e73aeda9f.jpg","open")</f>
        <v/>
      </c>
      <c r="C9010" t="inlineStr">
        <is>
          <t>2acfb2da-e3f6-464c-bd17-4b713522c142</t>
        </is>
      </c>
      <c r="D9010" t="n">
        <v>55.84484</v>
      </c>
      <c r="E9010" t="n">
        <v>37.66997</v>
      </c>
      <c r="F9010" t="inlineStr"/>
      <c r="G9010" t="inlineStr"/>
      <c r="H9010" t="inlineStr"/>
    </row>
    <row r="9011">
      <c r="A9011" t="inlineStr">
        <is>
          <t>d234cfc2-c07d-428e-9189-c7255544bbb4.jpg</t>
        </is>
      </c>
      <c r="B9011">
        <f>HYPERLINK("Объекты недвижимости, не соответствующие градостроительным нормам_00-022_Август/d234cfc2-c07d-428e-9189-c7255544bbb4.jpg","open")</f>
        <v/>
      </c>
      <c r="C9011" t="inlineStr">
        <is>
          <t>fb9a37cc-57a6-447c-98bb-0b299f09c809</t>
        </is>
      </c>
      <c r="D9011" t="n">
        <v>55.77288</v>
      </c>
      <c r="E9011" t="n">
        <v>37.54277</v>
      </c>
      <c r="F9011" t="inlineStr"/>
      <c r="G9011" t="inlineStr"/>
      <c r="H9011" t="inlineStr"/>
    </row>
    <row r="9012">
      <c r="A9012" t="inlineStr">
        <is>
          <t>8124571a-ba6f-4c32-8847-fab0b2c8af66.jpg</t>
        </is>
      </c>
      <c r="B9012">
        <f>HYPERLINK("Объекты недвижимости, не соответствующие градостроительным нормам_00-022_Август/8124571a-ba6f-4c32-8847-fab0b2c8af66.jpg","open")</f>
        <v/>
      </c>
      <c r="C9012" t="inlineStr">
        <is>
          <t>b23a39fd-838c-435a-bacd-b4d6bb842c62</t>
        </is>
      </c>
      <c r="D9012" t="n">
        <v>55.77287</v>
      </c>
      <c r="E9012" t="n">
        <v>37.54276</v>
      </c>
      <c r="F9012" t="inlineStr"/>
      <c r="G9012" t="inlineStr"/>
      <c r="H9012" t="inlineStr"/>
    </row>
    <row r="9013">
      <c r="A9013" t="inlineStr">
        <is>
          <t>6bc1222a-c04a-4a42-9741-129759daeafd.jpg</t>
        </is>
      </c>
      <c r="B9013">
        <f>HYPERLINK("Объекты недвижимости, не соответствующие градостроительным нормам_00-022_Август/6bc1222a-c04a-4a42-9741-129759daeafd.jpg","open")</f>
        <v/>
      </c>
      <c r="C9013" t="inlineStr">
        <is>
          <t>fb9a37cc-57a6-447c-98bb-0b299f09c809</t>
        </is>
      </c>
      <c r="D9013" t="n">
        <v>55.77289</v>
      </c>
      <c r="E9013" t="n">
        <v>37.54277</v>
      </c>
      <c r="F9013" t="inlineStr"/>
      <c r="G9013" t="inlineStr"/>
      <c r="H9013" t="inlineStr"/>
    </row>
    <row r="9014">
      <c r="A9014" t="inlineStr">
        <is>
          <t>892da855-3ed1-414a-9397-914ea3b78754.jpg</t>
        </is>
      </c>
      <c r="B9014">
        <f>HYPERLINK("Объекты недвижимости, не соответствующие градостроительным нормам_00-022_Август/892da855-3ed1-414a-9397-914ea3b78754.jpg","open")</f>
        <v/>
      </c>
      <c r="C9014" t="inlineStr">
        <is>
          <t>b23a39fd-838c-435a-bacd-b4d6bb842c62</t>
        </is>
      </c>
      <c r="D9014" t="n">
        <v>55.7729</v>
      </c>
      <c r="E9014" t="n">
        <v>37.54282</v>
      </c>
      <c r="F9014" t="inlineStr"/>
      <c r="G9014" t="inlineStr"/>
      <c r="H9014" t="inlineStr"/>
    </row>
    <row r="9015">
      <c r="A9015" t="inlineStr">
        <is>
          <t>45726112-3135-49e6-ab60-568a5b563a30.jpg</t>
        </is>
      </c>
      <c r="B9015">
        <f>HYPERLINK("Объекты недвижимости, не соответствующие градостроительным нормам_00-022_Август/45726112-3135-49e6-ab60-568a5b563a30.jpg","open")</f>
        <v/>
      </c>
      <c r="C9015" t="inlineStr">
        <is>
          <t>fb9a37cc-57a6-447c-98bb-0b299f09c809</t>
        </is>
      </c>
      <c r="D9015" t="n">
        <v>55.7729</v>
      </c>
      <c r="E9015" t="n">
        <v>37.54284</v>
      </c>
      <c r="F9015" t="inlineStr"/>
      <c r="G9015" t="inlineStr"/>
      <c r="H9015" t="inlineStr"/>
    </row>
    <row r="9016">
      <c r="A9016" t="inlineStr">
        <is>
          <t>894a3fdf-b119-4633-95f1-34eab53b2179.jpg</t>
        </is>
      </c>
      <c r="B9016">
        <f>HYPERLINK("Объекты недвижимости, не соответствующие градостроительным нормам_00-022_Август/894a3fdf-b119-4633-95f1-34eab53b2179.jpg","open")</f>
        <v/>
      </c>
      <c r="C9016" t="inlineStr">
        <is>
          <t>b23a39fd-838c-435a-bacd-b4d6bb842c62</t>
        </is>
      </c>
      <c r="D9016" t="n">
        <v>55.77291</v>
      </c>
      <c r="E9016" t="n">
        <v>37.54285</v>
      </c>
      <c r="F9016" t="inlineStr"/>
      <c r="G9016" t="inlineStr"/>
      <c r="H9016" t="inlineStr"/>
    </row>
    <row r="9017">
      <c r="A9017" t="inlineStr">
        <is>
          <t>8b991946-f137-4cea-b5a8-008a16bad377.jpg</t>
        </is>
      </c>
      <c r="B9017">
        <f>HYPERLINK("Объекты недвижимости, не соответствующие градостроительным нормам_00-022_Август/8b991946-f137-4cea-b5a8-008a16bad377.jpg","open")</f>
        <v/>
      </c>
      <c r="C9017" t="inlineStr">
        <is>
          <t>caa4772d-6278-4484-a046-ee25514bf521</t>
        </is>
      </c>
      <c r="D9017" t="n">
        <v>55.73401</v>
      </c>
      <c r="E9017" t="n">
        <v>37.39597</v>
      </c>
      <c r="F9017" t="inlineStr"/>
      <c r="G9017" t="inlineStr"/>
      <c r="H9017" t="inlineStr"/>
    </row>
    <row r="9018">
      <c r="A9018" t="inlineStr">
        <is>
          <t>64d84841-84ef-4417-a4de-38e0c1957b33.jpg</t>
        </is>
      </c>
      <c r="B9018">
        <f>HYPERLINK("Объекты недвижимости, не соответствующие градостроительным нормам_00-022_Август/64d84841-84ef-4417-a4de-38e0c1957b33.jpg","open")</f>
        <v/>
      </c>
      <c r="C9018" t="inlineStr">
        <is>
          <t>db8b536c-32f2-4d9a-ae08-679d227e61f1</t>
        </is>
      </c>
      <c r="D9018" t="n">
        <v>55.71571</v>
      </c>
      <c r="E9018" t="n">
        <v>37.67857</v>
      </c>
      <c r="F9018" t="inlineStr"/>
      <c r="G9018" t="inlineStr"/>
      <c r="H9018" t="inlineStr"/>
    </row>
    <row r="9019">
      <c r="A9019" t="inlineStr">
        <is>
          <t>19f1e412-8505-4225-8164-e6cb1a5ed703.jpg</t>
        </is>
      </c>
      <c r="B9019">
        <f>HYPERLINK("Объекты недвижимости, не соответствующие градостроительным нормам_00-022_Август/19f1e412-8505-4225-8164-e6cb1a5ed703.jpg","open")</f>
        <v/>
      </c>
      <c r="C9019" t="inlineStr">
        <is>
          <t>1a55986c-2c3f-40c0-b3d1-014dce77832e</t>
        </is>
      </c>
      <c r="D9019" t="n">
        <v>55.62299</v>
      </c>
      <c r="E9019" t="n">
        <v>37.5336</v>
      </c>
      <c r="F9019" t="inlineStr"/>
      <c r="G9019" t="inlineStr"/>
      <c r="H9019" t="inlineStr"/>
    </row>
    <row r="9020">
      <c r="A9020" t="inlineStr">
        <is>
          <t>6a47a120-50bd-40a3-a6ff-71495d5d2656.jpg</t>
        </is>
      </c>
      <c r="B9020">
        <f>HYPERLINK("Объекты недвижимости, не соответствующие градостроительным нормам_00-022_Август/6a47a120-50bd-40a3-a6ff-71495d5d2656.jpg","open")</f>
        <v/>
      </c>
      <c r="C9020" t="inlineStr">
        <is>
          <t>ed2bf0f1-3a66-4913-896e-4420a9796c0b</t>
        </is>
      </c>
      <c r="D9020" t="n">
        <v>55.62298</v>
      </c>
      <c r="E9020" t="n">
        <v>37.53364</v>
      </c>
      <c r="F9020" t="inlineStr"/>
      <c r="G9020" t="inlineStr"/>
      <c r="H9020" t="inlineStr"/>
    </row>
    <row r="9021">
      <c r="A9021" t="inlineStr">
        <is>
          <t>29ad14ed-9456-4c02-88f4-400dd542e486.jpg</t>
        </is>
      </c>
      <c r="B9021">
        <f>HYPERLINK("Объекты недвижимости, не соответствующие градостроительным нормам_00-022_Август/29ad14ed-9456-4c02-88f4-400dd542e486.jpg","open")</f>
        <v/>
      </c>
      <c r="C9021" t="inlineStr">
        <is>
          <t>61936922-4d4b-458e-80ea-6d4c450aa1d5</t>
        </is>
      </c>
      <c r="D9021" t="n">
        <v>55.72725</v>
      </c>
      <c r="E9021" t="n">
        <v>37.52262</v>
      </c>
      <c r="F9021" t="inlineStr"/>
      <c r="G9021" t="inlineStr"/>
      <c r="H9021" t="inlineStr"/>
    </row>
    <row r="9022">
      <c r="A9022" t="inlineStr">
        <is>
          <t>25301214-b291-4913-8ea7-cb7bb0ded52a.jpg</t>
        </is>
      </c>
      <c r="B9022">
        <f>HYPERLINK("Объекты недвижимости, не соответствующие градостроительным нормам_00-022_Август/25301214-b291-4913-8ea7-cb7bb0ded52a.jpg","open")</f>
        <v/>
      </c>
      <c r="C9022" t="inlineStr">
        <is>
          <t>61936922-4d4b-458e-80ea-6d4c450aa1d5</t>
        </is>
      </c>
      <c r="D9022" t="n">
        <v>55.72736</v>
      </c>
      <c r="E9022" t="n">
        <v>37.52376</v>
      </c>
      <c r="F9022" t="inlineStr"/>
      <c r="G9022" t="inlineStr"/>
      <c r="H9022" t="inlineStr"/>
    </row>
    <row r="9023">
      <c r="A9023" t="inlineStr">
        <is>
          <t>d24da07d-d608-4e2a-a46c-5d8d19e85d80.jpg</t>
        </is>
      </c>
      <c r="B9023">
        <f>HYPERLINK("Объекты недвижимости, не соответствующие градостроительным нормам_00-022_Август/d24da07d-d608-4e2a-a46c-5d8d19e85d80.jpg","open")</f>
        <v/>
      </c>
      <c r="C9023" t="inlineStr">
        <is>
          <t>db8b536c-32f2-4d9a-ae08-679d227e61f1</t>
        </is>
      </c>
      <c r="D9023" t="n">
        <v>55.71571</v>
      </c>
      <c r="E9023" t="n">
        <v>37.67857</v>
      </c>
      <c r="F9023" t="inlineStr"/>
      <c r="G9023" t="inlineStr"/>
      <c r="H9023" t="inlineStr"/>
    </row>
    <row r="9024">
      <c r="A9024" t="inlineStr">
        <is>
          <t>c1b5c010-88c7-4ab1-96c8-338686e3ff56.jpg</t>
        </is>
      </c>
      <c r="B9024">
        <f>HYPERLINK("Объекты недвижимости, не соответствующие градостроительным нормам_00-022_Август/c1b5c010-88c7-4ab1-96c8-338686e3ff56.jpg","open")</f>
        <v/>
      </c>
      <c r="C9024" t="inlineStr">
        <is>
          <t>a28f597e-d1cd-4d3b-b572-c86d033412e9</t>
        </is>
      </c>
      <c r="D9024" t="n">
        <v>55.72161</v>
      </c>
      <c r="E9024" t="n">
        <v>37.42771</v>
      </c>
      <c r="F9024" t="inlineStr"/>
      <c r="G9024" t="inlineStr"/>
      <c r="H9024" t="inlineStr"/>
    </row>
    <row r="9025">
      <c r="A9025" t="inlineStr">
        <is>
          <t>b6616518-c31b-47c4-be0b-babdee22fecf.jpg</t>
        </is>
      </c>
      <c r="B9025">
        <f>HYPERLINK("Объекты недвижимости, не соответствующие градостроительным нормам_00-022_Август/b6616518-c31b-47c4-be0b-babdee22fecf.jpg","open")</f>
        <v/>
      </c>
      <c r="C9025" t="inlineStr">
        <is>
          <t>db8b536c-32f2-4d9a-ae08-679d227e61f1</t>
        </is>
      </c>
      <c r="D9025" t="n">
        <v>55.71571</v>
      </c>
      <c r="E9025" t="n">
        <v>37.67857</v>
      </c>
      <c r="F9025" t="inlineStr"/>
      <c r="G9025" t="inlineStr"/>
      <c r="H9025" t="inlineStr"/>
    </row>
    <row r="9026">
      <c r="A9026" t="inlineStr">
        <is>
          <t>3a55b762-1ce4-478f-8e32-f5a9ba2157a7.jpg</t>
        </is>
      </c>
      <c r="B9026">
        <f>HYPERLINK("Объекты недвижимости, не соответствующие градостроительным нормам_00-022_Август/3a55b762-1ce4-478f-8e32-f5a9ba2157a7.jpg","open")</f>
        <v/>
      </c>
      <c r="C9026" t="inlineStr">
        <is>
          <t>56702d00-3d38-4721-8f83-3846a59c1e44</t>
        </is>
      </c>
      <c r="D9026" t="n">
        <v>55.80175</v>
      </c>
      <c r="E9026" t="n">
        <v>37.74531</v>
      </c>
      <c r="F9026" t="inlineStr"/>
      <c r="G9026" t="inlineStr"/>
      <c r="H9026" t="inlineStr"/>
    </row>
    <row r="9027">
      <c r="A9027" t="inlineStr">
        <is>
          <t>5a6f6fd1-bf26-4d51-930b-6e44685c9dee.jpg</t>
        </is>
      </c>
      <c r="B9027">
        <f>HYPERLINK("Объекты недвижимости, не соответствующие градостроительным нормам_00-022_Август/5a6f6fd1-bf26-4d51-930b-6e44685c9dee.jpg","open")</f>
        <v/>
      </c>
      <c r="C9027" t="inlineStr">
        <is>
          <t>5adecbcf-6742-48b8-951f-8e3abc9509e4</t>
        </is>
      </c>
      <c r="D9027" t="n">
        <v>55.6944</v>
      </c>
      <c r="E9027" t="n">
        <v>37.55309</v>
      </c>
      <c r="F9027" t="inlineStr"/>
      <c r="G9027" t="inlineStr"/>
      <c r="H9027" t="inlineStr"/>
    </row>
    <row r="9028">
      <c r="A9028" t="inlineStr">
        <is>
          <t>b4a521e0-c206-4ae0-9d69-4e0f1fbbff78.jpg</t>
        </is>
      </c>
      <c r="B9028">
        <f>HYPERLINK("Объекты недвижимости, не соответствующие градостроительным нормам_00-022_Август/b4a521e0-c206-4ae0-9d69-4e0f1fbbff78.jpg","open")</f>
        <v/>
      </c>
      <c r="C9028" t="inlineStr">
        <is>
          <t>e85aff3b-73e8-4856-827e-477ccc0aea77</t>
        </is>
      </c>
      <c r="D9028" t="n">
        <v>56.00452</v>
      </c>
      <c r="E9028" t="n">
        <v>37.23402</v>
      </c>
      <c r="F9028" t="inlineStr"/>
      <c r="G9028" t="inlineStr"/>
      <c r="H9028" t="inlineStr"/>
    </row>
    <row r="9029">
      <c r="A9029" t="inlineStr">
        <is>
          <t>f7973467-f55c-4243-a33f-72a72fd109e6.jpg</t>
        </is>
      </c>
      <c r="B9029">
        <f>HYPERLINK("Объекты недвижимости, не соответствующие градостроительным нормам_00-022_Август/f7973467-f55c-4243-a33f-72a72fd109e6.jpg","open")</f>
        <v/>
      </c>
      <c r="C9029" t="inlineStr">
        <is>
          <t>2acfb2da-e3f6-464c-bd17-4b713522c142</t>
        </is>
      </c>
      <c r="D9029" t="n">
        <v>55.86599</v>
      </c>
      <c r="E9029" t="n">
        <v>37.68363</v>
      </c>
      <c r="F9029" t="inlineStr"/>
      <c r="G9029" t="inlineStr"/>
      <c r="H9029" t="inlineStr"/>
    </row>
    <row r="9030">
      <c r="A9030" t="inlineStr">
        <is>
          <t>93c6b609-f698-4a80-8e08-e3a48d9e4e6c.jpg</t>
        </is>
      </c>
      <c r="B9030">
        <f>HYPERLINK("Объекты недвижимости, не соответствующие градостроительным нормам_00-022_Август/93c6b609-f698-4a80-8e08-e3a48d9e4e6c.jpg","open")</f>
        <v/>
      </c>
      <c r="C9030" t="inlineStr">
        <is>
          <t>685d9054-b74f-49ab-857b-109fd2cec80d</t>
        </is>
      </c>
      <c r="D9030" t="n">
        <v>55.70522</v>
      </c>
      <c r="E9030" t="n">
        <v>37.62013</v>
      </c>
      <c r="F9030" t="inlineStr"/>
      <c r="G9030" t="inlineStr"/>
      <c r="H9030" t="inlineStr"/>
    </row>
    <row r="9031">
      <c r="A9031" t="inlineStr">
        <is>
          <t>536b9844-e869-4e8d-beee-66a5f72c7654.jpg</t>
        </is>
      </c>
      <c r="B9031">
        <f>HYPERLINK("Объекты недвижимости, не соответствующие градостроительным нормам_00-022_Август/536b9844-e869-4e8d-beee-66a5f72c7654.jpg","open")</f>
        <v/>
      </c>
      <c r="C9031" t="inlineStr">
        <is>
          <t>db8b536c-32f2-4d9a-ae08-679d227e61f1</t>
        </is>
      </c>
      <c r="D9031" t="n">
        <v>55.71571</v>
      </c>
      <c r="E9031" t="n">
        <v>37.67857</v>
      </c>
      <c r="F9031" t="inlineStr"/>
      <c r="G9031" t="inlineStr"/>
      <c r="H9031" t="inlineStr"/>
    </row>
    <row r="9032">
      <c r="A9032" t="inlineStr">
        <is>
          <t>a13d7590-521a-428a-8ae8-d41be6a47fdc.jpg</t>
        </is>
      </c>
      <c r="B9032">
        <f>HYPERLINK("Объекты недвижимости, не соответствующие градостроительным нормам_00-022_Август/a13d7590-521a-428a-8ae8-d41be6a47fdc.jpg","open")</f>
        <v/>
      </c>
      <c r="C9032" t="inlineStr">
        <is>
          <t>56702d00-3d38-4721-8f83-3846a59c1e44</t>
        </is>
      </c>
      <c r="D9032" t="n">
        <v>55.80459</v>
      </c>
      <c r="E9032" t="n">
        <v>37.71442</v>
      </c>
      <c r="F9032" t="inlineStr"/>
      <c r="G9032" t="inlineStr"/>
      <c r="H9032" t="inlineStr"/>
    </row>
    <row r="9033">
      <c r="A9033" t="inlineStr">
        <is>
          <t>73f56f33-46b6-48ad-8cc5-7cfcbbf4e0f3.jpg</t>
        </is>
      </c>
      <c r="B9033">
        <f>HYPERLINK("Объекты недвижимости, не соответствующие градостроительным нормам_00-022_Август/73f56f33-46b6-48ad-8cc5-7cfcbbf4e0f3.jpg","open")</f>
        <v/>
      </c>
      <c r="C9033" t="inlineStr">
        <is>
          <t>50e4626c-a80e-42ab-b999-b5092c2c063f</t>
        </is>
      </c>
      <c r="D9033" t="n">
        <v>55.80459</v>
      </c>
      <c r="E9033" t="n">
        <v>37.71439</v>
      </c>
      <c r="F9033" t="inlineStr"/>
      <c r="G9033" t="inlineStr"/>
      <c r="H9033" t="inlineStr"/>
    </row>
    <row r="9034">
      <c r="A9034" t="inlineStr">
        <is>
          <t>8ecfe603-79af-4569-a9f1-0e60b67636f0.jpg</t>
        </is>
      </c>
      <c r="B9034">
        <f>HYPERLINK("Объекты недвижимости, не соответствующие градостроительным нормам_00-022_Август/8ecfe603-79af-4569-a9f1-0e60b67636f0.jpg","open")</f>
        <v/>
      </c>
      <c r="C9034" t="inlineStr">
        <is>
          <t>cbf95b01-f708-45a3-9ec0-3603469b538e</t>
        </is>
      </c>
      <c r="D9034" t="n">
        <v>55.78448</v>
      </c>
      <c r="E9034" t="n">
        <v>37.66123</v>
      </c>
      <c r="F9034" t="inlineStr"/>
      <c r="G9034" t="inlineStr"/>
      <c r="H9034" t="inlineStr"/>
    </row>
    <row r="9035">
      <c r="A9035" t="inlineStr">
        <is>
          <t>6c863ee1-9810-411c-981b-8aa9e07d265f.jpg</t>
        </is>
      </c>
      <c r="B9035">
        <f>HYPERLINK("Объекты недвижимости, не соответствующие градостроительным нормам_00-022_Август/6c863ee1-9810-411c-981b-8aa9e07d265f.jpg","open")</f>
        <v/>
      </c>
      <c r="C9035" t="inlineStr">
        <is>
          <t>cbf95b01-f708-45a3-9ec0-3603469b538e</t>
        </is>
      </c>
      <c r="D9035" t="n">
        <v>55.78443</v>
      </c>
      <c r="E9035" t="n">
        <v>37.66131</v>
      </c>
      <c r="F9035" t="inlineStr"/>
      <c r="G9035" t="inlineStr"/>
      <c r="H9035" t="inlineStr"/>
    </row>
    <row r="9036">
      <c r="A9036" t="inlineStr">
        <is>
          <t>78f68328-2912-4324-a717-efe7269b9938.jpg</t>
        </is>
      </c>
      <c r="B9036">
        <f>HYPERLINK("Объекты недвижимости, не соответствующие градостроительным нормам_00-022_Август/78f68328-2912-4324-a717-efe7269b9938.jpg","open")</f>
        <v/>
      </c>
      <c r="C9036" t="inlineStr">
        <is>
          <t>a1a9db89-3f74-42ef-8fad-ad69705102cd</t>
        </is>
      </c>
      <c r="D9036" t="n">
        <v>55.78446</v>
      </c>
      <c r="E9036" t="n">
        <v>37.66127</v>
      </c>
      <c r="F9036" t="inlineStr"/>
      <c r="G9036" t="inlineStr"/>
      <c r="H9036" t="inlineStr"/>
    </row>
    <row r="9037">
      <c r="A9037" t="inlineStr">
        <is>
          <t>65aa5749-04f5-4e63-802c-bdcdbdae1418.jpg</t>
        </is>
      </c>
      <c r="B9037">
        <f>HYPERLINK("Объекты недвижимости, не соответствующие градостроительным нормам_00-022_Август/65aa5749-04f5-4e63-802c-bdcdbdae1418.jpg","open")</f>
        <v/>
      </c>
      <c r="C9037" t="inlineStr">
        <is>
          <t>cbf95b01-f708-45a3-9ec0-3603469b538e</t>
        </is>
      </c>
      <c r="D9037" t="n">
        <v>55.78431</v>
      </c>
      <c r="E9037" t="n">
        <v>37.66152</v>
      </c>
      <c r="F9037" t="inlineStr"/>
      <c r="G9037" t="inlineStr"/>
      <c r="H9037" t="inlineStr"/>
    </row>
    <row r="9038">
      <c r="A9038" t="inlineStr">
        <is>
          <t>950b3476-a3e3-47f7-a5ed-ee9e6db91ec2.jpg</t>
        </is>
      </c>
      <c r="B9038">
        <f>HYPERLINK("Объекты недвижимости, не соответствующие градостроительным нормам_00-022_Август/950b3476-a3e3-47f7-a5ed-ee9e6db91ec2.jpg","open")</f>
        <v/>
      </c>
      <c r="C9038" t="inlineStr">
        <is>
          <t>7b951050-981e-4ccd-816e-e002f271ab6a</t>
        </is>
      </c>
      <c r="D9038" t="n">
        <v>55.77648</v>
      </c>
      <c r="E9038" t="n">
        <v>37.74361</v>
      </c>
      <c r="F9038" t="inlineStr"/>
      <c r="G9038" t="inlineStr"/>
      <c r="H9038" t="inlineStr"/>
    </row>
    <row r="9039">
      <c r="A9039" t="inlineStr">
        <is>
          <t>0cf356e8-415e-4657-b92d-9ad3b224885b.jpg</t>
        </is>
      </c>
      <c r="B9039">
        <f>HYPERLINK("Объекты недвижимости, не соответствующие градостроительным нормам_00-022_Август/0cf356e8-415e-4657-b92d-9ad3b224885b.jpg","open")</f>
        <v/>
      </c>
      <c r="C9039" t="inlineStr">
        <is>
          <t>db8b536c-32f2-4d9a-ae08-679d227e61f1</t>
        </is>
      </c>
      <c r="D9039" t="n">
        <v>55.71571</v>
      </c>
      <c r="E9039" t="n">
        <v>37.67857</v>
      </c>
      <c r="F9039" t="inlineStr"/>
      <c r="G9039" t="inlineStr"/>
      <c r="H9039" t="inlineStr"/>
    </row>
    <row r="9040">
      <c r="A9040" t="inlineStr">
        <is>
          <t>c363ca7d-4857-45bd-b57e-dc775b0a6949.jpg</t>
        </is>
      </c>
      <c r="B9040">
        <f>HYPERLINK("Объекты недвижимости, не соответствующие градостроительным нормам_00-022_Август/c363ca7d-4857-45bd-b57e-dc775b0a6949.jpg","open")</f>
        <v/>
      </c>
      <c r="C9040" t="inlineStr">
        <is>
          <t>5e5b9944-4f9e-4223-bf96-0bc0c8a93dfa</t>
        </is>
      </c>
      <c r="D9040" t="n">
        <v>55.69412</v>
      </c>
      <c r="E9040" t="n">
        <v>37.55363</v>
      </c>
      <c r="F9040" t="inlineStr"/>
      <c r="G9040" t="inlineStr"/>
      <c r="H9040" t="inlineStr"/>
    </row>
    <row r="9041">
      <c r="A9041" t="inlineStr">
        <is>
          <t>d8dc3006-470e-4592-af5d-d3b54cddd001.jpg</t>
        </is>
      </c>
      <c r="B9041">
        <f>HYPERLINK("Объекты недвижимости, не соответствующие градостроительным нормам_00-022_Август/d8dc3006-470e-4592-af5d-d3b54cddd001.jpg","open")</f>
        <v/>
      </c>
      <c r="C9041" t="inlineStr">
        <is>
          <t>56702d00-3d38-4721-8f83-3846a59c1e44</t>
        </is>
      </c>
      <c r="D9041" t="n">
        <v>55.80466</v>
      </c>
      <c r="E9041" t="n">
        <v>37.71426</v>
      </c>
      <c r="F9041" t="inlineStr"/>
      <c r="G9041" t="inlineStr"/>
      <c r="H9041" t="inlineStr"/>
    </row>
    <row r="9042">
      <c r="A9042" t="inlineStr">
        <is>
          <t>b165085a-74fd-472e-8426-195f7a046543.jpg</t>
        </is>
      </c>
      <c r="B9042">
        <f>HYPERLINK("Объекты недвижимости, не соответствующие градостроительным нормам_00-022_Август/b165085a-74fd-472e-8426-195f7a046543.jpg","open")</f>
        <v/>
      </c>
      <c r="C9042" t="inlineStr">
        <is>
          <t>12e795ad-2aa7-49de-b2da-2c6aa35a4559</t>
        </is>
      </c>
      <c r="D9042" t="n">
        <v>55.60642</v>
      </c>
      <c r="E9042" t="n">
        <v>37.54747</v>
      </c>
      <c r="F9042" t="inlineStr"/>
      <c r="G9042" t="inlineStr"/>
      <c r="H9042" t="inlineStr"/>
    </row>
    <row r="9043">
      <c r="A9043" t="inlineStr">
        <is>
          <t>79fafc30-110e-42a3-9d41-a4469235f740.jpg</t>
        </is>
      </c>
      <c r="B9043">
        <f>HYPERLINK("Объекты недвижимости, не соответствующие градостроительным нормам_00-022_Август/79fafc30-110e-42a3-9d41-a4469235f740.jpg","open")</f>
        <v/>
      </c>
      <c r="C9043" t="inlineStr">
        <is>
          <t>b0429a31-0c70-4b9f-8ea5-73929d82f89e</t>
        </is>
      </c>
      <c r="D9043" t="n">
        <v>55.63667</v>
      </c>
      <c r="E9043" t="n">
        <v>37.76606</v>
      </c>
      <c r="F9043" t="inlineStr"/>
      <c r="G9043" t="inlineStr"/>
      <c r="H9043" t="inlineStr"/>
    </row>
    <row r="9044">
      <c r="A9044" t="inlineStr">
        <is>
          <t>cb06c90e-04e2-4b32-a649-8e0dbda077b3.jpg</t>
        </is>
      </c>
      <c r="B9044">
        <f>HYPERLINK("Объекты недвижимости, не соответствующие градостроительным нормам_00-022_Август/cb06c90e-04e2-4b32-a649-8e0dbda077b3.jpg","open")</f>
        <v/>
      </c>
      <c r="C9044" t="inlineStr">
        <is>
          <t>a28f597e-d1cd-4d3b-b572-c86d033412e9</t>
        </is>
      </c>
      <c r="D9044" t="n">
        <v>55.72484</v>
      </c>
      <c r="E9044" t="n">
        <v>37.42819</v>
      </c>
      <c r="F9044" t="inlineStr"/>
      <c r="G9044" t="inlineStr"/>
      <c r="H9044" t="inlineStr"/>
    </row>
    <row r="9045">
      <c r="A9045" t="inlineStr">
        <is>
          <t>69053b57-743d-4d0b-b457-b4ee9cc37c2c.jpg</t>
        </is>
      </c>
      <c r="B9045">
        <f>HYPERLINK("Объекты недвижимости, не соответствующие градостроительным нормам_00-022_Август/69053b57-743d-4d0b-b457-b4ee9cc37c2c.jpg","open")</f>
        <v/>
      </c>
      <c r="C9045" t="inlineStr">
        <is>
          <t>f20fbc2b-b369-4734-bb66-92af02fbb0d1</t>
        </is>
      </c>
      <c r="D9045" t="n">
        <v>55.71331</v>
      </c>
      <c r="E9045" t="n">
        <v>37.78994</v>
      </c>
      <c r="F9045" t="inlineStr"/>
      <c r="G9045" t="inlineStr"/>
      <c r="H9045" t="inlineStr"/>
    </row>
    <row r="9046">
      <c r="A9046" t="inlineStr">
        <is>
          <t>407c3df5-83b2-41f1-983c-94f0251f7e8f.jpg</t>
        </is>
      </c>
      <c r="B9046">
        <f>HYPERLINK("Объекты недвижимости, не соответствующие градостроительным нормам_00-022_Август/407c3df5-83b2-41f1-983c-94f0251f7e8f.jpg","open")</f>
        <v/>
      </c>
      <c r="C9046" t="inlineStr">
        <is>
          <t>a28f597e-d1cd-4d3b-b572-c86d033412e9</t>
        </is>
      </c>
      <c r="D9046" t="n">
        <v>55.72484</v>
      </c>
      <c r="E9046" t="n">
        <v>37.42819</v>
      </c>
      <c r="F9046" t="inlineStr"/>
      <c r="G9046" t="inlineStr"/>
      <c r="H9046" t="inlineStr"/>
    </row>
    <row r="9047">
      <c r="A9047" t="inlineStr">
        <is>
          <t>fe82eed7-dbb2-4aa7-805f-0c3a7e3f712e.jpg</t>
        </is>
      </c>
      <c r="B9047">
        <f>HYPERLINK("Объекты недвижимости, не соответствующие градостроительным нормам_00-022_Август/fe82eed7-dbb2-4aa7-805f-0c3a7e3f712e.jpg","open")</f>
        <v/>
      </c>
      <c r="C9047" t="inlineStr">
        <is>
          <t>036c664f-5408-4fd0-b479-342c00468eeb</t>
        </is>
      </c>
      <c r="D9047" t="n">
        <v>55.72484</v>
      </c>
      <c r="E9047" t="n">
        <v>37.42819</v>
      </c>
      <c r="F9047" t="inlineStr"/>
      <c r="G9047" t="inlineStr"/>
      <c r="H9047" t="inlineStr"/>
    </row>
    <row r="9048">
      <c r="A9048" t="inlineStr">
        <is>
          <t>1c270d3b-4518-4e8d-96b9-76741efee302.jpg</t>
        </is>
      </c>
      <c r="B9048">
        <f>HYPERLINK("Объекты недвижимости, не соответствующие градостроительным нормам_00-022_Август/1c270d3b-4518-4e8d-96b9-76741efee302.jpg","open")</f>
        <v/>
      </c>
      <c r="C9048" t="inlineStr">
        <is>
          <t>a28f597e-d1cd-4d3b-b572-c86d033412e9</t>
        </is>
      </c>
      <c r="D9048" t="n">
        <v>55.72484</v>
      </c>
      <c r="E9048" t="n">
        <v>37.42819</v>
      </c>
      <c r="F9048" t="inlineStr"/>
      <c r="G9048" t="inlineStr"/>
      <c r="H9048" t="inlineStr"/>
    </row>
    <row r="9049">
      <c r="A9049" t="inlineStr">
        <is>
          <t>9bc81e7e-11d2-4712-8287-d06d455fbb54.jpg</t>
        </is>
      </c>
      <c r="B9049">
        <f>HYPERLINK("Объекты недвижимости, не соответствующие градостроительным нормам_00-022_Август/9bc81e7e-11d2-4712-8287-d06d455fbb54.jpg","open")</f>
        <v/>
      </c>
      <c r="C9049" t="inlineStr">
        <is>
          <t>8996eb30-6497-4318-8a0e-b95314b8172e</t>
        </is>
      </c>
      <c r="D9049" t="n">
        <v>55.71668</v>
      </c>
      <c r="E9049" t="n">
        <v>37.75423</v>
      </c>
      <c r="F9049" t="inlineStr"/>
      <c r="G9049" t="inlineStr"/>
      <c r="H9049" t="inlineStr"/>
    </row>
    <row r="9050">
      <c r="A9050" t="inlineStr">
        <is>
          <t>86001f12-1eb0-430e-b2ba-5cc25ce20532.jpg</t>
        </is>
      </c>
      <c r="B9050">
        <f>HYPERLINK("Объекты недвижимости, не соответствующие градостроительным нормам_00-022_Август/86001f12-1eb0-430e-b2ba-5cc25ce20532.jpg","open")</f>
        <v/>
      </c>
      <c r="C9050" t="inlineStr">
        <is>
          <t>fb9a37cc-57a6-447c-98bb-0b299f09c809</t>
        </is>
      </c>
      <c r="D9050" t="n">
        <v>55.96452</v>
      </c>
      <c r="E9050" t="n">
        <v>37.41667</v>
      </c>
      <c r="F9050" t="inlineStr"/>
      <c r="G9050" t="inlineStr"/>
      <c r="H9050" t="inlineStr"/>
    </row>
    <row r="9051">
      <c r="A9051" t="inlineStr">
        <is>
          <t>5f6470d9-da9d-492b-9fe7-c9838017673a.jpg</t>
        </is>
      </c>
      <c r="B9051">
        <f>HYPERLINK("Объекты недвижимости, не соответствующие градостроительным нормам_00-022_Август/5f6470d9-da9d-492b-9fe7-c9838017673a.jpg","open")</f>
        <v/>
      </c>
      <c r="C9051" t="inlineStr">
        <is>
          <t>18a5c468-d9e6-4814-8477-1caf4a2e1fe9</t>
        </is>
      </c>
      <c r="D9051" t="n">
        <v>55.97757</v>
      </c>
      <c r="E9051" t="n">
        <v>37.40047</v>
      </c>
      <c r="F9051" t="inlineStr"/>
      <c r="G9051" t="inlineStr"/>
      <c r="H9051" t="inlineStr"/>
    </row>
    <row r="9052">
      <c r="A9052" t="inlineStr">
        <is>
          <t>13710ea4-2126-4c59-a304-a6ebbdbc024a.jpg</t>
        </is>
      </c>
      <c r="B9052">
        <f>HYPERLINK("Объекты недвижимости, не соответствующие градостроительным нормам_00-022_Август/13710ea4-2126-4c59-a304-a6ebbdbc024a.jpg","open")</f>
        <v/>
      </c>
      <c r="C9052" t="inlineStr">
        <is>
          <t>caa4772d-6278-4484-a046-ee25514bf521</t>
        </is>
      </c>
      <c r="D9052" t="n">
        <v>55.75706</v>
      </c>
      <c r="E9052" t="n">
        <v>37.37421</v>
      </c>
      <c r="F9052" t="inlineStr"/>
      <c r="G9052" t="inlineStr"/>
      <c r="H9052" t="inlineStr"/>
    </row>
    <row r="9053">
      <c r="A9053" t="inlineStr">
        <is>
          <t>2553b1ff-71ce-4ccc-b978-cd63dca16560.jpg</t>
        </is>
      </c>
      <c r="B9053">
        <f>HYPERLINK("Объекты недвижимости, не соответствующие градостроительным нормам_00-022_Август/2553b1ff-71ce-4ccc-b978-cd63dca16560.jpg","open")</f>
        <v/>
      </c>
      <c r="C9053" t="inlineStr">
        <is>
          <t>fb9a37cc-57a6-447c-98bb-0b299f09c809</t>
        </is>
      </c>
      <c r="D9053" t="n">
        <v>55.97992</v>
      </c>
      <c r="E9053" t="n">
        <v>37.42622</v>
      </c>
      <c r="F9053" t="inlineStr"/>
      <c r="G9053" t="inlineStr"/>
      <c r="H9053" t="inlineStr"/>
    </row>
    <row r="9054">
      <c r="A9054" t="inlineStr">
        <is>
          <t>d90dbb5a-1fd3-4d87-b6e8-8fb680cbe055.jpg</t>
        </is>
      </c>
      <c r="B9054">
        <f>HYPERLINK("Объекты недвижимости, не соответствующие градостроительным нормам_00-022_Август/d90dbb5a-1fd3-4d87-b6e8-8fb680cbe055.jpg","open")</f>
        <v/>
      </c>
      <c r="C9054" t="inlineStr">
        <is>
          <t>685d9054-b74f-49ab-857b-109fd2cec80d</t>
        </is>
      </c>
      <c r="D9054" t="n">
        <v>55.6486</v>
      </c>
      <c r="E9054" t="n">
        <v>37.60293</v>
      </c>
      <c r="F9054" t="inlineStr"/>
      <c r="G9054" t="inlineStr"/>
      <c r="H9054" t="inlineStr"/>
    </row>
    <row r="9055">
      <c r="A9055" t="inlineStr">
        <is>
          <t>92a54fda-f298-4aff-90c4-1b3e6adf1fc0.jpg</t>
        </is>
      </c>
      <c r="B9055">
        <f>HYPERLINK("Объекты недвижимости, не соответствующие градостроительным нормам_00-022_Август/92a54fda-f298-4aff-90c4-1b3e6adf1fc0.jpg","open")</f>
        <v/>
      </c>
      <c r="C9055" t="inlineStr">
        <is>
          <t>cbf95b01-f708-45a3-9ec0-3603469b538e</t>
        </is>
      </c>
      <c r="D9055" t="n">
        <v>55.75155</v>
      </c>
      <c r="E9055" t="n">
        <v>37.65876</v>
      </c>
      <c r="F9055" t="inlineStr"/>
      <c r="G9055" t="inlineStr"/>
      <c r="H9055" t="inlineStr"/>
    </row>
    <row r="9056">
      <c r="A9056" t="inlineStr">
        <is>
          <t>9ad45394-dd7a-4cfa-bc2b-5cf294d9c366.jpg</t>
        </is>
      </c>
      <c r="B9056">
        <f>HYPERLINK("Объекты недвижимости, не соответствующие градостроительным нормам_00-022_Август/9ad45394-dd7a-4cfa-bc2b-5cf294d9c366.jpg","open")</f>
        <v/>
      </c>
      <c r="C9056" t="inlineStr">
        <is>
          <t>ad64e6b9-1ed5-44d7-a101-4945a1f9dec6</t>
        </is>
      </c>
      <c r="D9056" t="n">
        <v>55.60815</v>
      </c>
      <c r="E9056" t="n">
        <v>37.54718</v>
      </c>
      <c r="F9056" t="inlineStr"/>
      <c r="G9056" t="inlineStr"/>
      <c r="H9056" t="inlineStr"/>
    </row>
    <row r="9057">
      <c r="A9057" t="inlineStr">
        <is>
          <t>57b287a7-3a93-4450-a9ae-3ffbb8d00fcf.jpg</t>
        </is>
      </c>
      <c r="B9057">
        <f>HYPERLINK("Объекты недвижимости, не соответствующие градостроительным нормам_00-022_Август/57b287a7-3a93-4450-a9ae-3ffbb8d00fcf.jpg","open")</f>
        <v/>
      </c>
      <c r="C9057" t="inlineStr">
        <is>
          <t>12e795ad-2aa7-49de-b2da-2c6aa35a4559</t>
        </is>
      </c>
      <c r="D9057" t="n">
        <v>55.60814</v>
      </c>
      <c r="E9057" t="n">
        <v>37.54723</v>
      </c>
      <c r="F9057" t="inlineStr"/>
      <c r="G9057" t="inlineStr"/>
      <c r="H9057" t="inlineStr"/>
    </row>
    <row r="9058">
      <c r="A9058" t="inlineStr">
        <is>
          <t>4987c960-aef3-4ef3-a856-051da4fe8f8d.jpg</t>
        </is>
      </c>
      <c r="B9058">
        <f>HYPERLINK("Объекты недвижимости, не соответствующие градостроительным нормам_00-022_Август/4987c960-aef3-4ef3-a856-051da4fe8f8d.jpg","open")</f>
        <v/>
      </c>
      <c r="C9058" t="inlineStr">
        <is>
          <t>fce890a6-27da-4062-a046-08262a160ee6</t>
        </is>
      </c>
      <c r="D9058" t="n">
        <v>55.97857</v>
      </c>
      <c r="E9058" t="n">
        <v>37.40008</v>
      </c>
      <c r="F9058" t="inlineStr"/>
      <c r="G9058" t="inlineStr"/>
      <c r="H9058" t="inlineStr"/>
    </row>
    <row r="9059">
      <c r="A9059" t="inlineStr">
        <is>
          <t>5d6ec93e-1665-4219-b5fa-17fd7e9a4182.jpg</t>
        </is>
      </c>
      <c r="B9059">
        <f>HYPERLINK("Объекты недвижимости, не соответствующие градостроительным нормам_00-022_Август/5d6ec93e-1665-4219-b5fa-17fd7e9a4182.jpg","open")</f>
        <v/>
      </c>
      <c r="C9059" t="inlineStr">
        <is>
          <t>fce890a6-27da-4062-a046-08262a160ee6</t>
        </is>
      </c>
      <c r="D9059" t="n">
        <v>55.97008</v>
      </c>
      <c r="E9059" t="n">
        <v>37.43016</v>
      </c>
      <c r="F9059" t="inlineStr"/>
      <c r="G9059" t="inlineStr"/>
      <c r="H9059" t="inlineStr"/>
    </row>
    <row r="9060">
      <c r="A9060" t="inlineStr">
        <is>
          <t>ec71d5c8-403c-4e15-be78-791e99405bb1.jpg</t>
        </is>
      </c>
      <c r="B9060">
        <f>HYPERLINK("Объекты недвижимости, не соответствующие градостроительным нормам_00-022_Август/ec71d5c8-403c-4e15-be78-791e99405bb1.jpg","open")</f>
        <v/>
      </c>
      <c r="C9060" t="inlineStr">
        <is>
          <t>b0b7ea82-53be-40d0-b992-e2fd18611d5c</t>
        </is>
      </c>
      <c r="D9060" t="n">
        <v>55.71135</v>
      </c>
      <c r="E9060" t="n">
        <v>37.79525</v>
      </c>
      <c r="F9060" t="inlineStr"/>
      <c r="G9060" t="inlineStr"/>
      <c r="H9060" t="inlineStr"/>
    </row>
    <row r="9061">
      <c r="A9061" t="inlineStr">
        <is>
          <t>b78543a5-e286-4efd-ab4d-f4fc6aa3087c.jpg</t>
        </is>
      </c>
      <c r="B9061">
        <f>HYPERLINK("Объекты недвижимости, не соответствующие градостроительным нормам_00-022_Август/b78543a5-e286-4efd-ab4d-f4fc6aa3087c.jpg","open")</f>
        <v/>
      </c>
      <c r="C9061" t="inlineStr">
        <is>
          <t>f20fbc2b-b369-4734-bb66-92af02fbb0d1</t>
        </is>
      </c>
      <c r="D9061" t="n">
        <v>55.71135</v>
      </c>
      <c r="E9061" t="n">
        <v>37.79525</v>
      </c>
      <c r="F9061" t="inlineStr"/>
      <c r="G9061" t="inlineStr"/>
      <c r="H9061" t="inlineStr"/>
    </row>
    <row r="9062">
      <c r="A9062" t="inlineStr">
        <is>
          <t>013efb84-1493-4438-8016-8e5e07a57823.jpg</t>
        </is>
      </c>
      <c r="B9062">
        <f>HYPERLINK("Объекты недвижимости, не соответствующие градостроительным нормам_00-022_Август/013efb84-1493-4438-8016-8e5e07a57823.jpg","open")</f>
        <v/>
      </c>
      <c r="C9062" t="inlineStr">
        <is>
          <t>8996eb30-6497-4318-8a0e-b95314b8172e</t>
        </is>
      </c>
      <c r="D9062" t="n">
        <v>55.7155</v>
      </c>
      <c r="E9062" t="n">
        <v>37.74766</v>
      </c>
      <c r="F9062" t="inlineStr"/>
      <c r="G9062" t="inlineStr"/>
      <c r="H9062" t="inlineStr"/>
    </row>
    <row r="9063">
      <c r="A9063" t="inlineStr">
        <is>
          <t>6c0324ca-d846-43d6-ab40-263dab70b382.jpg</t>
        </is>
      </c>
      <c r="B9063">
        <f>HYPERLINK("Объекты недвижимости, не соответствующие градостроительным нормам_00-022_Август/6c0324ca-d846-43d6-ab40-263dab70b382.jpg","open")</f>
        <v/>
      </c>
      <c r="C9063" t="inlineStr">
        <is>
          <t>f20fbc2b-b369-4734-bb66-92af02fbb0d1</t>
        </is>
      </c>
      <c r="D9063" t="n">
        <v>55.71133</v>
      </c>
      <c r="E9063" t="n">
        <v>37.7951</v>
      </c>
      <c r="F9063" t="inlineStr"/>
      <c r="G9063" t="inlineStr"/>
      <c r="H9063" t="inlineStr"/>
    </row>
    <row r="9064">
      <c r="A9064" t="inlineStr">
        <is>
          <t>7c6680b7-01b5-4636-b4cb-3db6d62a6e67.jpg</t>
        </is>
      </c>
      <c r="B9064">
        <f>HYPERLINK("Объекты недвижимости, не соответствующие градостроительным нормам_00-022_Август/7c6680b7-01b5-4636-b4cb-3db6d62a6e67.jpg","open")</f>
        <v/>
      </c>
      <c r="C9064" t="inlineStr">
        <is>
          <t>6e2567a0-1fb9-40d5-a0e7-0adb480d2965</t>
        </is>
      </c>
      <c r="D9064" t="n">
        <v>55.69316</v>
      </c>
      <c r="E9064" t="n">
        <v>37.53587</v>
      </c>
      <c r="F9064" t="inlineStr"/>
      <c r="G9064" t="inlineStr"/>
      <c r="H9064" t="inlineStr"/>
    </row>
    <row r="9065">
      <c r="A9065" t="inlineStr">
        <is>
          <t>d9c7572c-1a76-480e-93b7-e69006439e10.jpg</t>
        </is>
      </c>
      <c r="B9065">
        <f>HYPERLINK("Объекты недвижимости, не соответствующие градостроительным нормам_00-022_Август/d9c7572c-1a76-480e-93b7-e69006439e10.jpg","open")</f>
        <v/>
      </c>
      <c r="C9065" t="inlineStr">
        <is>
          <t>789f6c51-64ee-4078-b7bd-443af8b8b68a</t>
        </is>
      </c>
      <c r="D9065" t="n">
        <v>55.86697</v>
      </c>
      <c r="E9065" t="n">
        <v>37.6871</v>
      </c>
      <c r="F9065" t="inlineStr"/>
      <c r="G9065" t="inlineStr"/>
      <c r="H9065" t="inlineStr"/>
    </row>
    <row r="9066">
      <c r="A9066" t="inlineStr">
        <is>
          <t>b8e9f4e2-5b60-4bcf-849b-8d8f334be115.jpg</t>
        </is>
      </c>
      <c r="B9066">
        <f>HYPERLINK("Объекты недвижимости, не соответствующие градостроительным нормам_00-022_Август/b8e9f4e2-5b60-4bcf-849b-8d8f334be115.jpg","open")</f>
        <v/>
      </c>
      <c r="C9066" t="inlineStr">
        <is>
          <t>036c664f-5408-4fd0-b479-342c00468eeb</t>
        </is>
      </c>
      <c r="D9066" t="n">
        <v>55.7218</v>
      </c>
      <c r="E9066" t="n">
        <v>37.42006</v>
      </c>
      <c r="F9066" t="inlineStr"/>
      <c r="G9066" t="inlineStr"/>
      <c r="H9066" t="inlineStr"/>
    </row>
    <row r="9067">
      <c r="A9067" t="inlineStr">
        <is>
          <t>46111d9a-dce0-4516-a3ac-7cf06961b9a5.jpg</t>
        </is>
      </c>
      <c r="B9067">
        <f>HYPERLINK("Объекты недвижимости, не соответствующие градостроительным нормам_00-022_Август/46111d9a-dce0-4516-a3ac-7cf06961b9a5.jpg","open")</f>
        <v/>
      </c>
      <c r="C9067" t="inlineStr">
        <is>
          <t>a28f597e-d1cd-4d3b-b572-c86d033412e9</t>
        </is>
      </c>
      <c r="D9067" t="n">
        <v>55.72181</v>
      </c>
      <c r="E9067" t="n">
        <v>37.4201</v>
      </c>
      <c r="F9067" t="inlineStr"/>
      <c r="G9067" t="inlineStr"/>
      <c r="H9067" t="inlineStr"/>
    </row>
    <row r="9068">
      <c r="A9068" t="inlineStr">
        <is>
          <t>14b37028-347f-4d21-b7c3-9d0c461b54c1.jpg</t>
        </is>
      </c>
      <c r="B9068">
        <f>HYPERLINK("Объекты недвижимости, не соответствующие градостроительным нормам_00-022_Август/14b37028-347f-4d21-b7c3-9d0c461b54c1.jpg","open")</f>
        <v/>
      </c>
      <c r="C9068" t="inlineStr">
        <is>
          <t>8b2675e2-7f40-47a9-a462-7c9feecd299c</t>
        </is>
      </c>
      <c r="D9068" t="n">
        <v>56.22699</v>
      </c>
      <c r="E9068" t="n">
        <v>37.46851</v>
      </c>
      <c r="F9068" t="inlineStr"/>
      <c r="G9068" t="inlineStr"/>
      <c r="H9068" t="inlineStr"/>
    </row>
    <row r="9069">
      <c r="A9069" t="inlineStr">
        <is>
          <t>7bab466a-8cad-4582-872d-da1864767ded.jpg</t>
        </is>
      </c>
      <c r="B9069">
        <f>HYPERLINK("Объекты недвижимости, не соответствующие градостроительным нормам_00-022_Август/7bab466a-8cad-4582-872d-da1864767ded.jpg","open")</f>
        <v/>
      </c>
      <c r="C9069" t="inlineStr">
        <is>
          <t>50e4626c-a80e-42ab-b999-b5092c2c063f</t>
        </is>
      </c>
      <c r="D9069" t="n">
        <v>55.74936</v>
      </c>
      <c r="E9069" t="n">
        <v>37.74151</v>
      </c>
      <c r="F9069" t="inlineStr"/>
      <c r="G9069" t="inlineStr"/>
      <c r="H9069" t="inlineStr"/>
    </row>
    <row r="9070">
      <c r="A9070" t="inlineStr">
        <is>
          <t>5219527c-431c-4137-afd9-db205e132db3.jpg</t>
        </is>
      </c>
      <c r="B9070">
        <f>HYPERLINK("Объекты недвижимости, не соответствующие градостроительным нормам_00-022_Август/5219527c-431c-4137-afd9-db205e132db3.jpg","open")</f>
        <v/>
      </c>
      <c r="C9070" t="inlineStr">
        <is>
          <t>2acfb2da-e3f6-464c-bd17-4b713522c142</t>
        </is>
      </c>
      <c r="D9070" t="n">
        <v>55.87082</v>
      </c>
      <c r="E9070" t="n">
        <v>37.69</v>
      </c>
      <c r="F9070" t="inlineStr"/>
      <c r="G9070" t="inlineStr"/>
      <c r="H9070" t="inlineStr"/>
    </row>
    <row r="9071">
      <c r="A9071" t="inlineStr">
        <is>
          <t>a02f1ab1-3d6e-402e-b65b-d48d6453a677.jpg</t>
        </is>
      </c>
      <c r="B9071">
        <f>HYPERLINK("Объекты недвижимости, не соответствующие градостроительным нормам_00-022_Август/a02f1ab1-3d6e-402e-b65b-d48d6453a677.jpg","open")</f>
        <v/>
      </c>
      <c r="C9071" t="inlineStr">
        <is>
          <t>8b2675e2-7f40-47a9-a462-7c9feecd299c</t>
        </is>
      </c>
      <c r="D9071" t="n">
        <v>56.22699</v>
      </c>
      <c r="E9071" t="n">
        <v>37.46851</v>
      </c>
      <c r="F9071" t="inlineStr"/>
      <c r="G9071" t="inlineStr"/>
      <c r="H9071" t="inlineStr"/>
    </row>
    <row r="9072">
      <c r="A9072" t="inlineStr">
        <is>
          <t>760ef57b-26e0-418a-a38d-591946270c5d.jpg</t>
        </is>
      </c>
      <c r="B9072">
        <f>HYPERLINK("Объекты недвижимости, не соответствующие градостроительным нормам_00-022_Август/760ef57b-26e0-418a-a38d-591946270c5d.jpg","open")</f>
        <v/>
      </c>
      <c r="C9072" t="inlineStr">
        <is>
          <t>55da50d9-6d31-4c29-a85b-6a228578c6de</t>
        </is>
      </c>
      <c r="D9072" t="n">
        <v>56.22699</v>
      </c>
      <c r="E9072" t="n">
        <v>37.46851</v>
      </c>
      <c r="F9072" t="inlineStr"/>
      <c r="G9072" t="inlineStr"/>
      <c r="H9072" t="inlineStr"/>
    </row>
    <row r="9073">
      <c r="A9073" t="inlineStr">
        <is>
          <t>d0b70cca-f5ed-4819-8ee1-e453c42c136f.jpg</t>
        </is>
      </c>
      <c r="B9073">
        <f>HYPERLINK("Объекты недвижимости, не соответствующие градостроительным нормам_00-022_Август/d0b70cca-f5ed-4819-8ee1-e453c42c136f.jpg","open")</f>
        <v/>
      </c>
      <c r="C9073" t="inlineStr">
        <is>
          <t>e85aff3b-73e8-4856-827e-477ccc0aea77</t>
        </is>
      </c>
      <c r="D9073" t="n">
        <v>55.92029</v>
      </c>
      <c r="E9073" t="n">
        <v>37.3941</v>
      </c>
      <c r="F9073" t="inlineStr"/>
      <c r="G9073" t="inlineStr"/>
      <c r="H9073" t="inlineStr"/>
    </row>
    <row r="9074">
      <c r="A9074" t="inlineStr">
        <is>
          <t>6ae658de-12fc-4e31-8684-e8cd6f34b5b4.jpg</t>
        </is>
      </c>
      <c r="B9074">
        <f>HYPERLINK("Объекты недвижимости, не соответствующие градостроительным нормам_00-022_Август/6ae658de-12fc-4e31-8684-e8cd6f34b5b4.jpg","open")</f>
        <v/>
      </c>
      <c r="C9074" t="inlineStr">
        <is>
          <t>a28f597e-d1cd-4d3b-b572-c86d033412e9</t>
        </is>
      </c>
      <c r="D9074" t="n">
        <v>55.72488</v>
      </c>
      <c r="E9074" t="n">
        <v>37.4191</v>
      </c>
      <c r="F9074" t="inlineStr"/>
      <c r="G9074" t="inlineStr"/>
      <c r="H9074" t="inlineStr"/>
    </row>
    <row r="9075">
      <c r="A9075" t="inlineStr">
        <is>
          <t>9372ea6f-e1d7-4402-b11a-2a0022eb7c00.jpg</t>
        </is>
      </c>
      <c r="B9075">
        <f>HYPERLINK("Объекты недвижимости, не соответствующие градостроительным нормам_00-022_Август/9372ea6f-e1d7-4402-b11a-2a0022eb7c00.jpg","open")</f>
        <v/>
      </c>
      <c r="C9075" t="inlineStr">
        <is>
          <t>036c664f-5408-4fd0-b479-342c00468eeb</t>
        </is>
      </c>
      <c r="D9075" t="n">
        <v>55.72484</v>
      </c>
      <c r="E9075" t="n">
        <v>37.41912</v>
      </c>
      <c r="F9075" t="inlineStr"/>
      <c r="G9075" t="inlineStr"/>
      <c r="H9075" t="inlineStr"/>
    </row>
    <row r="9076">
      <c r="A9076" t="inlineStr">
        <is>
          <t>c4096872-7954-4e98-884d-1797f8fecd41.jpg</t>
        </is>
      </c>
      <c r="B9076">
        <f>HYPERLINK("Объекты недвижимости, не соответствующие градостроительным нормам_00-022_Август/c4096872-7954-4e98-884d-1797f8fecd41.jpg","open")</f>
        <v/>
      </c>
      <c r="C9076" t="inlineStr">
        <is>
          <t>cbf95b01-f708-45a3-9ec0-3603469b538e</t>
        </is>
      </c>
      <c r="D9076" t="n">
        <v>55.75155</v>
      </c>
      <c r="E9076" t="n">
        <v>37.65876</v>
      </c>
      <c r="F9076" t="inlineStr"/>
      <c r="G9076" t="inlineStr"/>
      <c r="H9076" t="inlineStr"/>
    </row>
    <row r="9077">
      <c r="A9077" t="inlineStr">
        <is>
          <t>465395f3-8c32-49ab-a12d-dfe199c51e09.jpg</t>
        </is>
      </c>
      <c r="B9077">
        <f>HYPERLINK("Объекты недвижимости, не соответствующие градостроительным нормам_00-022_Август/465395f3-8c32-49ab-a12d-dfe199c51e09.jpg","open")</f>
        <v/>
      </c>
      <c r="C9077" t="inlineStr">
        <is>
          <t>cbf95b01-f708-45a3-9ec0-3603469b538e</t>
        </is>
      </c>
      <c r="D9077" t="n">
        <v>55.75155</v>
      </c>
      <c r="E9077" t="n">
        <v>37.65876</v>
      </c>
      <c r="F9077" t="inlineStr"/>
      <c r="G9077" t="inlineStr"/>
      <c r="H9077" t="inlineStr"/>
    </row>
    <row r="9078">
      <c r="A9078" t="inlineStr">
        <is>
          <t>495c60b4-a733-4786-95da-8d5adba899d0.jpg</t>
        </is>
      </c>
      <c r="B9078">
        <f>HYPERLINK("Объекты недвижимости, не соответствующие градостроительным нормам_00-022_Август/495c60b4-a733-4786-95da-8d5adba899d0.jpg","open")</f>
        <v/>
      </c>
      <c r="C9078" t="inlineStr">
        <is>
          <t>caa4772d-6278-4484-a046-ee25514bf521</t>
        </is>
      </c>
      <c r="D9078" t="n">
        <v>55.80257</v>
      </c>
      <c r="E9078" t="n">
        <v>37.37329</v>
      </c>
      <c r="F9078" t="inlineStr"/>
      <c r="G9078" t="inlineStr"/>
      <c r="H9078" t="inlineStr"/>
    </row>
    <row r="9079">
      <c r="A9079" t="inlineStr">
        <is>
          <t>46551059-28a2-45dd-8b0d-02ec43f5031e.jpg</t>
        </is>
      </c>
      <c r="B9079">
        <f>HYPERLINK("Объекты недвижимости, не соответствующие градостроительным нормам_00-022_Август/46551059-28a2-45dd-8b0d-02ec43f5031e.jpg","open")</f>
        <v/>
      </c>
      <c r="C9079" t="inlineStr">
        <is>
          <t>18a5c468-d9e6-4814-8477-1caf4a2e1fe9</t>
        </is>
      </c>
      <c r="D9079" t="n">
        <v>55.73125</v>
      </c>
      <c r="E9079" t="n">
        <v>37.68141</v>
      </c>
      <c r="F9079" t="inlineStr"/>
      <c r="G9079" t="inlineStr"/>
      <c r="H9079" t="inlineStr"/>
    </row>
    <row r="9080">
      <c r="A9080" t="inlineStr">
        <is>
          <t>c60a91bf-b960-4c56-8d67-fbd3ef9ce897.jpg</t>
        </is>
      </c>
      <c r="B9080">
        <f>HYPERLINK("Объекты недвижимости, не соответствующие градостроительным нормам_00-022_Август/c60a91bf-b960-4c56-8d67-fbd3ef9ce897.jpg","open")</f>
        <v/>
      </c>
      <c r="C9080" t="inlineStr">
        <is>
          <t>18a5c468-d9e6-4814-8477-1caf4a2e1fe9</t>
        </is>
      </c>
      <c r="D9080" t="n">
        <v>55.73125</v>
      </c>
      <c r="E9080" t="n">
        <v>37.68141</v>
      </c>
      <c r="F9080" t="inlineStr"/>
      <c r="G9080" t="inlineStr"/>
      <c r="H9080" t="inlineStr"/>
    </row>
    <row r="9081">
      <c r="A9081" t="inlineStr">
        <is>
          <t>e53c38ca-83dc-4edc-a120-45dbc6fb960b.jpg</t>
        </is>
      </c>
      <c r="B9081">
        <f>HYPERLINK("Объекты недвижимости, не соответствующие градостроительным нормам_00-022_Август/e53c38ca-83dc-4edc-a120-45dbc6fb960b.jpg","open")</f>
        <v/>
      </c>
      <c r="C9081" t="inlineStr">
        <is>
          <t>18a5c468-d9e6-4814-8477-1caf4a2e1fe9</t>
        </is>
      </c>
      <c r="D9081" t="n">
        <v>55.73125</v>
      </c>
      <c r="E9081" t="n">
        <v>37.68141</v>
      </c>
      <c r="F9081" t="inlineStr"/>
      <c r="G9081" t="inlineStr"/>
      <c r="H9081" t="inlineStr"/>
    </row>
    <row r="9082">
      <c r="A9082" t="inlineStr">
        <is>
          <t>3610f9db-64a1-4d3c-84d8-4b4be9ce8335.jpg</t>
        </is>
      </c>
      <c r="B9082">
        <f>HYPERLINK("Объекты недвижимости, не соответствующие градостроительным нормам_00-022_Август/3610f9db-64a1-4d3c-84d8-4b4be9ce8335.jpg","open")</f>
        <v/>
      </c>
      <c r="C9082" t="inlineStr">
        <is>
          <t>789f6c51-64ee-4078-b7bd-443af8b8b68a</t>
        </is>
      </c>
      <c r="D9082" t="n">
        <v>55.87064</v>
      </c>
      <c r="E9082" t="n">
        <v>37.69402</v>
      </c>
      <c r="F9082" t="inlineStr"/>
      <c r="G9082" t="inlineStr"/>
      <c r="H9082" t="inlineStr"/>
    </row>
    <row r="9083">
      <c r="A9083" t="inlineStr">
        <is>
          <t>98248487-cb00-44ff-8ffd-3166093aeccc.jpg</t>
        </is>
      </c>
      <c r="B9083">
        <f>HYPERLINK("Объекты недвижимости, не соответствующие градостроительным нормам_00-022_Август/98248487-cb00-44ff-8ffd-3166093aeccc.jpg","open")</f>
        <v/>
      </c>
      <c r="C9083" t="inlineStr">
        <is>
          <t>2acfb2da-e3f6-464c-bd17-4b713522c142</t>
        </is>
      </c>
      <c r="D9083" t="n">
        <v>55.87066</v>
      </c>
      <c r="E9083" t="n">
        <v>37.69401</v>
      </c>
      <c r="F9083" t="inlineStr"/>
      <c r="G9083" t="inlineStr"/>
      <c r="H9083" t="inlineStr"/>
    </row>
    <row r="9084">
      <c r="A9084" t="inlineStr">
        <is>
          <t>7014626e-076f-437d-890c-601f1381672b.jpg</t>
        </is>
      </c>
      <c r="B9084">
        <f>HYPERLINK("Объекты недвижимости, не соответствующие градостроительным нормам_00-022_Август/7014626e-076f-437d-890c-601f1381672b.jpg","open")</f>
        <v/>
      </c>
      <c r="C9084" t="inlineStr">
        <is>
          <t>789f6c51-64ee-4078-b7bd-443af8b8b68a</t>
        </is>
      </c>
      <c r="D9084" t="n">
        <v>55.87065</v>
      </c>
      <c r="E9084" t="n">
        <v>37.694</v>
      </c>
      <c r="F9084" t="inlineStr"/>
      <c r="G9084" t="inlineStr"/>
      <c r="H9084" t="inlineStr"/>
    </row>
    <row r="9085">
      <c r="A9085" t="inlineStr">
        <is>
          <t>d3a5c2b6-85bd-43ab-bbf6-3e395ede7b48.jpg</t>
        </is>
      </c>
      <c r="B9085">
        <f>HYPERLINK("Объекты недвижимости, не соответствующие градостроительным нормам_00-022_Август/d3a5c2b6-85bd-43ab-bbf6-3e395ede7b48.jpg","open")</f>
        <v/>
      </c>
      <c r="C9085" t="inlineStr">
        <is>
          <t>18a5c468-d9e6-4814-8477-1caf4a2e1fe9</t>
        </is>
      </c>
      <c r="D9085" t="n">
        <v>55.73125</v>
      </c>
      <c r="E9085" t="n">
        <v>37.68141</v>
      </c>
      <c r="F9085" t="inlineStr"/>
      <c r="G9085" t="inlineStr"/>
      <c r="H9085" t="inlineStr"/>
    </row>
    <row r="9086">
      <c r="A9086" t="inlineStr">
        <is>
          <t>f1dcffdc-1cef-4b72-947f-2a7c01a5d890.jpg</t>
        </is>
      </c>
      <c r="B9086">
        <f>HYPERLINK("Объекты недвижимости, не соответствующие градостроительным нормам_00-022_Август/f1dcffdc-1cef-4b72-947f-2a7c01a5d890.jpg","open")</f>
        <v/>
      </c>
      <c r="C9086" t="inlineStr">
        <is>
          <t>50e4626c-a80e-42ab-b999-b5092c2c063f</t>
        </is>
      </c>
      <c r="D9086" t="n">
        <v>55.7297</v>
      </c>
      <c r="E9086" t="n">
        <v>37.67584</v>
      </c>
      <c r="F9086" t="inlineStr"/>
      <c r="G9086" t="inlineStr"/>
      <c r="H9086" t="inlineStr"/>
    </row>
    <row r="9087">
      <c r="A9087" t="inlineStr">
        <is>
          <t>7cb8a147-0d5e-465b-be55-9dd03b7a999d.jpg</t>
        </is>
      </c>
      <c r="B9087">
        <f>HYPERLINK("Объекты недвижимости, не соответствующие градостроительным нормам_00-022_Август/7cb8a147-0d5e-465b-be55-9dd03b7a999d.jpg","open")</f>
        <v/>
      </c>
      <c r="C9087" t="inlineStr">
        <is>
          <t>91248771-2c4d-44f3-b3cf-d536bd4ae73c</t>
        </is>
      </c>
      <c r="D9087" t="n">
        <v>55.78256</v>
      </c>
      <c r="E9087" t="n">
        <v>37.73072</v>
      </c>
      <c r="F9087" t="inlineStr"/>
      <c r="G9087" t="inlineStr"/>
      <c r="H9087" t="inlineStr"/>
    </row>
    <row r="9088">
      <c r="A9088" t="inlineStr">
        <is>
          <t>a082ad08-be03-4dc9-8604-85fd95e1d5f4.jpg</t>
        </is>
      </c>
      <c r="B9088">
        <f>HYPERLINK("Объекты недвижимости, не соответствующие градостроительным нормам_00-022_Август/a082ad08-be03-4dc9-8604-85fd95e1d5f4.jpg","open")</f>
        <v/>
      </c>
      <c r="C9088" t="inlineStr">
        <is>
          <t>50e4626c-a80e-42ab-b999-b5092c2c063f</t>
        </is>
      </c>
      <c r="D9088" t="n">
        <v>55.7297</v>
      </c>
      <c r="E9088" t="n">
        <v>37.67584</v>
      </c>
      <c r="F9088" t="inlineStr"/>
      <c r="G9088" t="inlineStr"/>
      <c r="H9088" t="inlineStr"/>
    </row>
    <row r="9089">
      <c r="A9089" t="inlineStr">
        <is>
          <t>7db32743-8e81-4470-b531-16d83e33c833.jpg</t>
        </is>
      </c>
      <c r="B9089">
        <f>HYPERLINK("Объекты недвижимости, не соответствующие градостроительным нормам_00-022_Август/7db32743-8e81-4470-b531-16d83e33c833.jpg","open")</f>
        <v/>
      </c>
      <c r="C9089" t="inlineStr">
        <is>
          <t>f20fbc2b-b369-4734-bb66-92af02fbb0d1</t>
        </is>
      </c>
      <c r="D9089" t="n">
        <v>55.70827</v>
      </c>
      <c r="E9089" t="n">
        <v>37.79091</v>
      </c>
      <c r="F9089" t="inlineStr"/>
      <c r="G9089" t="inlineStr"/>
      <c r="H9089" t="inlineStr"/>
    </row>
    <row r="9090">
      <c r="A9090" t="inlineStr">
        <is>
          <t>4333937b-9008-4d9b-8787-0770c79d0c02.jpg</t>
        </is>
      </c>
      <c r="B9090">
        <f>HYPERLINK("Объекты недвижимости, не соответствующие градостроительным нормам_00-022_Август/4333937b-9008-4d9b-8787-0770c79d0c02.jpg","open")</f>
        <v/>
      </c>
      <c r="C9090" t="inlineStr">
        <is>
          <t>fb9a37cc-57a6-447c-98bb-0b299f09c809</t>
        </is>
      </c>
      <c r="D9090" t="n">
        <v>55.78983</v>
      </c>
      <c r="E9090" t="n">
        <v>37.51793</v>
      </c>
      <c r="F9090" t="inlineStr"/>
      <c r="G9090" t="inlineStr"/>
      <c r="H9090" t="inlineStr"/>
    </row>
    <row r="9091">
      <c r="A9091" t="inlineStr">
        <is>
          <t>aef29205-7100-4a24-8ee2-6dbd97ce8be7.jpg</t>
        </is>
      </c>
      <c r="B9091">
        <f>HYPERLINK("Объекты недвижимости, не соответствующие градостроительным нормам_00-022_Август/aef29205-7100-4a24-8ee2-6dbd97ce8be7.jpg","open")</f>
        <v/>
      </c>
      <c r="C9091" t="inlineStr">
        <is>
          <t>f60286ac-55e7-4099-85bd-cc599a7a0c65</t>
        </is>
      </c>
      <c r="D9091" t="n">
        <v>55.75321</v>
      </c>
      <c r="E9091" t="n">
        <v>37.80494</v>
      </c>
      <c r="F9091" t="inlineStr"/>
      <c r="G9091" t="inlineStr"/>
      <c r="H9091" t="inlineStr"/>
    </row>
    <row r="9092">
      <c r="A9092" t="inlineStr">
        <is>
          <t>746f18ab-486a-4117-9701-128abd2240e0.jpg</t>
        </is>
      </c>
      <c r="B9092">
        <f>HYPERLINK("Объекты недвижимости, не соответствующие градостроительным нормам_00-022_Август/746f18ab-486a-4117-9701-128abd2240e0.jpg","open")</f>
        <v/>
      </c>
      <c r="C9092" t="inlineStr">
        <is>
          <t>ffd931da-542f-43e9-979f-5552b17fe3dc</t>
        </is>
      </c>
      <c r="D9092" t="n">
        <v>55.75322</v>
      </c>
      <c r="E9092" t="n">
        <v>37.80493</v>
      </c>
      <c r="F9092" t="inlineStr"/>
      <c r="G9092" t="inlineStr"/>
      <c r="H9092" t="inlineStr"/>
    </row>
    <row r="9093">
      <c r="A9093" t="inlineStr">
        <is>
          <t>e6b2e4d6-bd04-4e77-ab82-cf158c82bbd2.jpg</t>
        </is>
      </c>
      <c r="B9093">
        <f>HYPERLINK("Объекты недвижимости, не соответствующие градостроительным нормам_00-022_Август/e6b2e4d6-bd04-4e77-ab82-cf158c82bbd2.jpg","open")</f>
        <v/>
      </c>
      <c r="C9093" t="inlineStr">
        <is>
          <t>12e795ad-2aa7-49de-b2da-2c6aa35a4559</t>
        </is>
      </c>
      <c r="D9093" t="n">
        <v>55.61056</v>
      </c>
      <c r="E9093" t="n">
        <v>37.54704</v>
      </c>
      <c r="F9093" t="inlineStr"/>
      <c r="G9093" t="inlineStr"/>
      <c r="H9093" t="inlineStr"/>
    </row>
    <row r="9094">
      <c r="A9094" t="inlineStr">
        <is>
          <t>d850718e-f27f-462b-8610-5bdd0121c249.jpg</t>
        </is>
      </c>
      <c r="B9094">
        <f>HYPERLINK("Объекты недвижимости, не соответствующие градостроительным нормам_00-022_Август/d850718e-f27f-462b-8610-5bdd0121c249.jpg","open")</f>
        <v/>
      </c>
      <c r="C9094" t="inlineStr">
        <is>
          <t>29ad9edb-d533-4272-a986-be24eb004851</t>
        </is>
      </c>
      <c r="D9094" t="n">
        <v>55.71922</v>
      </c>
      <c r="E9094" t="n">
        <v>37.49533</v>
      </c>
      <c r="F9094" t="inlineStr"/>
      <c r="G9094" t="inlineStr"/>
      <c r="H9094" t="inlineStr"/>
    </row>
    <row r="9095">
      <c r="A9095" t="inlineStr">
        <is>
          <t>0bb51fb0-0f62-490f-ac19-37a0cf377ad0.jpg</t>
        </is>
      </c>
      <c r="B9095">
        <f>HYPERLINK("Объекты недвижимости, не соответствующие градостроительным нормам_00-022_Август/0bb51fb0-0f62-490f-ac19-37a0cf377ad0.jpg","open")</f>
        <v/>
      </c>
      <c r="C9095" t="inlineStr">
        <is>
          <t>8996eb30-6497-4318-8a0e-b95314b8172e</t>
        </is>
      </c>
      <c r="D9095" t="n">
        <v>55.70858</v>
      </c>
      <c r="E9095" t="n">
        <v>37.78551</v>
      </c>
      <c r="F9095" t="inlineStr"/>
      <c r="G9095" t="inlineStr"/>
      <c r="H9095" t="inlineStr"/>
    </row>
    <row r="9096">
      <c r="A9096" t="inlineStr">
        <is>
          <t>6ae75808-078b-44e9-8221-75fc0d1ca39e.jpg</t>
        </is>
      </c>
      <c r="B9096">
        <f>HYPERLINK("Объекты недвижимости, не соответствующие градостроительным нормам_00-022_Август/6ae75808-078b-44e9-8221-75fc0d1ca39e.jpg","open")</f>
        <v/>
      </c>
      <c r="C9096" t="inlineStr">
        <is>
          <t>12e795ad-2aa7-49de-b2da-2c6aa35a4559</t>
        </is>
      </c>
      <c r="D9096" t="n">
        <v>55.61067</v>
      </c>
      <c r="E9096" t="n">
        <v>37.54715</v>
      </c>
      <c r="F9096" t="inlineStr"/>
      <c r="G9096" t="inlineStr"/>
      <c r="H9096" t="inlineStr"/>
    </row>
    <row r="9097">
      <c r="A9097" t="inlineStr">
        <is>
          <t>1f3d299b-08e1-4c7e-83fa-8d1ff3b0d804.jpg</t>
        </is>
      </c>
      <c r="B9097">
        <f>HYPERLINK("Объекты недвижимости, не соответствующие градостроительным нормам_00-022_Август/1f3d299b-08e1-4c7e-83fa-8d1ff3b0d804.jpg","open")</f>
        <v/>
      </c>
      <c r="C9097" t="inlineStr">
        <is>
          <t>f20fbc2b-b369-4734-bb66-92af02fbb0d1</t>
        </is>
      </c>
      <c r="D9097" t="n">
        <v>55.71115</v>
      </c>
      <c r="E9097" t="n">
        <v>37.78573</v>
      </c>
      <c r="F9097" t="inlineStr"/>
      <c r="G9097" t="inlineStr"/>
      <c r="H9097" t="inlineStr"/>
    </row>
    <row r="9098">
      <c r="A9098" t="inlineStr">
        <is>
          <t>ea6f2013-bf6d-4260-a0f0-52777b1b6647.jpg</t>
        </is>
      </c>
      <c r="B9098">
        <f>HYPERLINK("Объекты недвижимости, не соответствующие градостроительным нормам_00-022_Август/ea6f2013-bf6d-4260-a0f0-52777b1b6647.jpg","open")</f>
        <v/>
      </c>
      <c r="C9098" t="inlineStr">
        <is>
          <t>b0b7ea82-53be-40d0-b992-e2fd18611d5c</t>
        </is>
      </c>
      <c r="D9098" t="n">
        <v>55.71114</v>
      </c>
      <c r="E9098" t="n">
        <v>37.7857</v>
      </c>
      <c r="F9098" t="inlineStr"/>
      <c r="G9098" t="inlineStr"/>
      <c r="H9098" t="inlineStr"/>
    </row>
    <row r="9099">
      <c r="A9099" t="inlineStr">
        <is>
          <t>f0e887d2-e1c7-4760-8a42-99bb3eacd519.jpg</t>
        </is>
      </c>
      <c r="B9099">
        <f>HYPERLINK("Объекты недвижимости, не соответствующие градостроительным нормам_00-022_Август/f0e887d2-e1c7-4760-8a42-99bb3eacd519.jpg","open")</f>
        <v/>
      </c>
      <c r="C9099" t="inlineStr">
        <is>
          <t>030e8755-17c1-44eb-9530-707d0d3121cb</t>
        </is>
      </c>
      <c r="D9099" t="n">
        <v>55.69417</v>
      </c>
      <c r="E9099" t="n">
        <v>37.6221</v>
      </c>
      <c r="F9099" t="inlineStr"/>
      <c r="G9099" t="inlineStr"/>
      <c r="H9099" t="inlineStr"/>
    </row>
    <row r="9100">
      <c r="A9100" t="inlineStr">
        <is>
          <t>8f4bdbb7-78f2-460b-8408-b94bf3a49e8c.jpg</t>
        </is>
      </c>
      <c r="B9100">
        <f>HYPERLINK("Объекты недвижимости, не соответствующие градостроительным нормам_00-022_Август/8f4bdbb7-78f2-460b-8408-b94bf3a49e8c.jpg","open")</f>
        <v/>
      </c>
      <c r="C9100" t="inlineStr">
        <is>
          <t>cbf95b01-f708-45a3-9ec0-3603469b538e</t>
        </is>
      </c>
      <c r="D9100" t="n">
        <v>55.75155</v>
      </c>
      <c r="E9100" t="n">
        <v>37.65876</v>
      </c>
      <c r="F9100" t="inlineStr"/>
      <c r="G9100" t="inlineStr"/>
      <c r="H9100" t="inlineStr"/>
    </row>
    <row r="9101">
      <c r="A9101" t="inlineStr">
        <is>
          <t>d680d242-2f8c-41a0-8cdb-3419f71d347c.jpg</t>
        </is>
      </c>
      <c r="B9101">
        <f>HYPERLINK("Объекты недвижимости, не соответствующие градостроительным нормам_00-022_Август/d680d242-2f8c-41a0-8cdb-3419f71d347c.jpg","open")</f>
        <v/>
      </c>
      <c r="C9101" t="inlineStr">
        <is>
          <t>ad64e6b9-1ed5-44d7-a101-4945a1f9dec6</t>
        </is>
      </c>
      <c r="D9101" t="n">
        <v>55.61219</v>
      </c>
      <c r="E9101" t="n">
        <v>37.55357</v>
      </c>
      <c r="F9101" t="inlineStr"/>
      <c r="G9101" t="inlineStr"/>
      <c r="H9101" t="inlineStr"/>
    </row>
    <row r="9102">
      <c r="A9102" t="inlineStr">
        <is>
          <t>98db732c-e74f-40cb-a617-ac3de321bb5f.jpg</t>
        </is>
      </c>
      <c r="B9102">
        <f>HYPERLINK("Объекты недвижимости, не соответствующие градостроительным нормам_00-022_Август/98db732c-e74f-40cb-a617-ac3de321bb5f.jpg","open")</f>
        <v/>
      </c>
      <c r="C9102" t="inlineStr">
        <is>
          <t>2acfb2da-e3f6-464c-bd17-4b713522c142</t>
        </is>
      </c>
      <c r="D9102" t="n">
        <v>55.87113</v>
      </c>
      <c r="E9102" t="n">
        <v>37.68486</v>
      </c>
      <c r="F9102" t="inlineStr"/>
      <c r="G9102" t="inlineStr"/>
      <c r="H9102" t="inlineStr"/>
    </row>
    <row r="9103">
      <c r="A9103" t="inlineStr">
        <is>
          <t>3436fac5-f2a9-48ee-a772-503355eda2e8.jpg</t>
        </is>
      </c>
      <c r="B9103">
        <f>HYPERLINK("Объекты недвижимости, не соответствующие градостроительным нормам_00-022_Август/3436fac5-f2a9-48ee-a772-503355eda2e8.jpg","open")</f>
        <v/>
      </c>
      <c r="C9103" t="inlineStr">
        <is>
          <t>cbf95b01-f708-45a3-9ec0-3603469b538e</t>
        </is>
      </c>
      <c r="D9103" t="n">
        <v>55.77411</v>
      </c>
      <c r="E9103" t="n">
        <v>37.58512</v>
      </c>
      <c r="F9103" t="inlineStr"/>
      <c r="G9103" t="inlineStr"/>
      <c r="H9103" t="inlineStr"/>
    </row>
    <row r="9104">
      <c r="A9104" t="inlineStr">
        <is>
          <t>da014b0d-57b0-4003-88fd-34d4b19627ca.jpg</t>
        </is>
      </c>
      <c r="B9104">
        <f>HYPERLINK("Объекты недвижимости, не соответствующие градостроительным нормам_00-022_Август/da014b0d-57b0-4003-88fd-34d4b19627ca.jpg","open")</f>
        <v/>
      </c>
      <c r="C9104" t="inlineStr">
        <is>
          <t>936502dd-24a4-4256-9fdf-0d8fb72af3ed</t>
        </is>
      </c>
      <c r="D9104" t="n">
        <v>55.70151</v>
      </c>
      <c r="E9104" t="n">
        <v>37.62273</v>
      </c>
      <c r="F9104" t="inlineStr"/>
      <c r="G9104" t="inlineStr"/>
      <c r="H9104" t="inlineStr"/>
    </row>
    <row r="9105">
      <c r="A9105" t="inlineStr">
        <is>
          <t>7558b009-0bf2-4ec4-9942-790e08647c8a.jpg</t>
        </is>
      </c>
      <c r="B9105">
        <f>HYPERLINK("Объекты недвижимости, не соответствующие градостроительным нормам_00-022_Август/7558b009-0bf2-4ec4-9942-790e08647c8a.jpg","open")</f>
        <v/>
      </c>
      <c r="C9105" t="inlineStr">
        <is>
          <t>030e8755-17c1-44eb-9530-707d0d3121cb</t>
        </is>
      </c>
      <c r="D9105" t="n">
        <v>55.70151</v>
      </c>
      <c r="E9105" t="n">
        <v>37.62262</v>
      </c>
      <c r="F9105" t="inlineStr"/>
      <c r="G9105" t="inlineStr"/>
      <c r="H9105" t="inlineStr"/>
    </row>
    <row r="9106">
      <c r="A9106" t="inlineStr">
        <is>
          <t>749a997b-7fb2-4916-a929-8bb568481812.jpg</t>
        </is>
      </c>
      <c r="B9106">
        <f>HYPERLINK("Объекты недвижимости, не соответствующие градостроительным нормам_00-022_Август/749a997b-7fb2-4916-a929-8bb568481812.jpg","open")</f>
        <v/>
      </c>
      <c r="C9106" t="inlineStr">
        <is>
          <t>5e5b9944-4f9e-4223-bf96-0bc0c8a93dfa</t>
        </is>
      </c>
      <c r="D9106" t="n">
        <v>55.98273</v>
      </c>
      <c r="E9106" t="n">
        <v>37.41368</v>
      </c>
      <c r="F9106" t="inlineStr"/>
      <c r="G9106" t="inlineStr"/>
      <c r="H9106" t="inlineStr"/>
    </row>
    <row r="9107">
      <c r="A9107" t="inlineStr">
        <is>
          <t>1b052610-8ef5-4043-b03b-7905aae926cc.jpg</t>
        </is>
      </c>
      <c r="B9107">
        <f>HYPERLINK("Объекты недвижимости, не соответствующие градостроительным нормам_00-022_Август/1b052610-8ef5-4043-b03b-7905aae926cc.jpg","open")</f>
        <v/>
      </c>
      <c r="C9107" t="inlineStr">
        <is>
          <t>12e795ad-2aa7-49de-b2da-2c6aa35a4559</t>
        </is>
      </c>
      <c r="D9107" t="n">
        <v>55.61207</v>
      </c>
      <c r="E9107" t="n">
        <v>37.55344</v>
      </c>
      <c r="F9107" t="inlineStr"/>
      <c r="G9107" t="inlineStr"/>
      <c r="H9107" t="inlineStr"/>
    </row>
    <row r="9108">
      <c r="A9108" t="inlineStr">
        <is>
          <t>e7725f40-eb7a-4a03-b4ac-83a2a2028bd1.jpg</t>
        </is>
      </c>
      <c r="B9108">
        <f>HYPERLINK("Объекты недвижимости, не соответствующие градостроительным нормам_00-022_Август/e7725f40-eb7a-4a03-b4ac-83a2a2028bd1.jpg","open")</f>
        <v/>
      </c>
      <c r="C9108" t="inlineStr">
        <is>
          <t>ad64e6b9-1ed5-44d7-a101-4945a1f9dec6</t>
        </is>
      </c>
      <c r="D9108" t="n">
        <v>55.61208</v>
      </c>
      <c r="E9108" t="n">
        <v>37.55346</v>
      </c>
      <c r="F9108" t="inlineStr"/>
      <c r="G9108" t="inlineStr"/>
      <c r="H9108" t="inlineStr"/>
    </row>
    <row r="9109">
      <c r="A9109" t="inlineStr">
        <is>
          <t>479f298d-336f-485a-970e-d1ec658d5e30.jpg</t>
        </is>
      </c>
      <c r="B9109">
        <f>HYPERLINK("Объекты недвижимости, не соответствующие градостроительным нормам_00-022_Август/479f298d-336f-485a-970e-d1ec658d5e30.jpg","open")</f>
        <v/>
      </c>
      <c r="C9109" t="inlineStr">
        <is>
          <t>b0b7ea82-53be-40d0-b992-e2fd18611d5c</t>
        </is>
      </c>
      <c r="D9109" t="n">
        <v>55.71494</v>
      </c>
      <c r="E9109" t="n">
        <v>37.79353</v>
      </c>
      <c r="F9109" t="inlineStr"/>
      <c r="G9109" t="inlineStr"/>
      <c r="H9109" t="inlineStr"/>
    </row>
    <row r="9110">
      <c r="A9110" t="inlineStr">
        <is>
          <t>51a636b6-21d9-446b-ba46-ddef4e09f7fc.jpg</t>
        </is>
      </c>
      <c r="B9110">
        <f>HYPERLINK("Объекты недвижимости, не соответствующие градостроительным нормам_00-022_Август/51a636b6-21d9-446b-ba46-ddef4e09f7fc.jpg","open")</f>
        <v/>
      </c>
      <c r="C9110" t="inlineStr">
        <is>
          <t>b0b7ea82-53be-40d0-b992-e2fd18611d5c</t>
        </is>
      </c>
      <c r="D9110" t="n">
        <v>55.71503</v>
      </c>
      <c r="E9110" t="n">
        <v>37.79353</v>
      </c>
      <c r="F9110" t="inlineStr"/>
      <c r="G9110" t="inlineStr"/>
      <c r="H9110" t="inlineStr"/>
    </row>
    <row r="9111">
      <c r="A9111" t="inlineStr">
        <is>
          <t>b043eab1-4d7a-4b60-818b-8a1e7e579501.jpg</t>
        </is>
      </c>
      <c r="B9111">
        <f>HYPERLINK("Объекты недвижимости, не соответствующие градостроительным нормам_00-022_Август/b043eab1-4d7a-4b60-818b-8a1e7e579501.jpg","open")</f>
        <v/>
      </c>
      <c r="C9111" t="inlineStr">
        <is>
          <t>f20fbc2b-b369-4734-bb66-92af02fbb0d1</t>
        </is>
      </c>
      <c r="D9111" t="n">
        <v>55.71505</v>
      </c>
      <c r="E9111" t="n">
        <v>37.79353</v>
      </c>
      <c r="F9111" t="inlineStr"/>
      <c r="G9111" t="inlineStr"/>
      <c r="H9111" t="inlineStr"/>
    </row>
    <row r="9112">
      <c r="A9112" t="inlineStr">
        <is>
          <t>0018ae8b-32d8-40a3-96f8-e96a336d034d.jpg</t>
        </is>
      </c>
      <c r="B9112">
        <f>HYPERLINK("Объекты недвижимости, не соответствующие градостроительным нормам_00-022_Август/0018ae8b-32d8-40a3-96f8-e96a336d034d.jpg","open")</f>
        <v/>
      </c>
      <c r="C9112" t="inlineStr">
        <is>
          <t>b0b7ea82-53be-40d0-b992-e2fd18611d5c</t>
        </is>
      </c>
      <c r="D9112" t="n">
        <v>55.71571</v>
      </c>
      <c r="E9112" t="n">
        <v>37.79366</v>
      </c>
      <c r="F9112" t="inlineStr"/>
      <c r="G9112" t="inlineStr"/>
      <c r="H9112" t="inlineStr"/>
    </row>
    <row r="9113">
      <c r="A9113" t="inlineStr">
        <is>
          <t>8edf4eff-7c31-4822-b203-737b3115ca48.jpg</t>
        </is>
      </c>
      <c r="B9113">
        <f>HYPERLINK("Объекты недвижимости, не соответствующие градостроительным нормам_00-022_Август/8edf4eff-7c31-4822-b203-737b3115ca48.jpg","open")</f>
        <v/>
      </c>
      <c r="C9113" t="inlineStr">
        <is>
          <t>fb9a37cc-57a6-447c-98bb-0b299f09c809</t>
        </is>
      </c>
      <c r="D9113" t="n">
        <v>55.78832</v>
      </c>
      <c r="E9113" t="n">
        <v>37.54252</v>
      </c>
      <c r="F9113" t="inlineStr"/>
      <c r="G9113" t="inlineStr"/>
      <c r="H9113" t="inlineStr"/>
    </row>
    <row r="9114">
      <c r="A9114" t="inlineStr">
        <is>
          <t>043f4f7d-5442-46f3-aa41-3fb7ba872b6a.jpg</t>
        </is>
      </c>
      <c r="B9114">
        <f>HYPERLINK("Объекты недвижимости, не соответствующие градостроительным нормам_00-022_Август/043f4f7d-5442-46f3-aa41-3fb7ba872b6a.jpg","open")</f>
        <v/>
      </c>
      <c r="C9114" t="inlineStr">
        <is>
          <t>036c664f-5408-4fd0-b479-342c00468eeb</t>
        </is>
      </c>
      <c r="D9114" t="n">
        <v>55.72077</v>
      </c>
      <c r="E9114" t="n">
        <v>37.40915</v>
      </c>
      <c r="F9114" t="inlineStr"/>
      <c r="G9114" t="inlineStr"/>
      <c r="H9114" t="inlineStr"/>
    </row>
    <row r="9115">
      <c r="A9115" t="inlineStr">
        <is>
          <t>0e9e49f5-d453-4022-bebb-982c1a46749f.jpg</t>
        </is>
      </c>
      <c r="B9115">
        <f>HYPERLINK("Объекты недвижимости, не соответствующие градостроительным нормам_00-022_Август/0e9e49f5-d453-4022-bebb-982c1a46749f.jpg","open")</f>
        <v/>
      </c>
      <c r="C9115" t="inlineStr">
        <is>
          <t>a28f597e-d1cd-4d3b-b572-c86d033412e9</t>
        </is>
      </c>
      <c r="D9115" t="n">
        <v>55.72083</v>
      </c>
      <c r="E9115" t="n">
        <v>37.40912</v>
      </c>
      <c r="F9115" t="inlineStr"/>
      <c r="G9115" t="inlineStr"/>
      <c r="H9115" t="inlineStr"/>
    </row>
    <row r="9116">
      <c r="A9116" t="inlineStr">
        <is>
          <t>8f600ccb-170c-490a-9194-043cd90618a6.jpg</t>
        </is>
      </c>
      <c r="B9116">
        <f>HYPERLINK("Объекты недвижимости, не соответствующие градостроительным нормам_00-022_Август/8f600ccb-170c-490a-9194-043cd90618a6.jpg","open")</f>
        <v/>
      </c>
      <c r="C9116" t="inlineStr">
        <is>
          <t>b0b7ea82-53be-40d0-b992-e2fd18611d5c</t>
        </is>
      </c>
      <c r="D9116" t="n">
        <v>55.71435</v>
      </c>
      <c r="E9116" t="n">
        <v>37.79497</v>
      </c>
      <c r="F9116" t="inlineStr"/>
      <c r="G9116" t="inlineStr"/>
      <c r="H9116" t="inlineStr"/>
    </row>
    <row r="9117">
      <c r="A9117" t="inlineStr">
        <is>
          <t>c1a82e33-068a-4918-a70d-9f4ca2da722e.jpg</t>
        </is>
      </c>
      <c r="B9117">
        <f>HYPERLINK("Объекты недвижимости, не соответствующие градостроительным нормам_00-022_Август/c1a82e33-068a-4918-a70d-9f4ca2da722e.jpg","open")</f>
        <v/>
      </c>
      <c r="C9117" t="inlineStr">
        <is>
          <t>036c664f-5408-4fd0-b479-342c00468eeb</t>
        </is>
      </c>
      <c r="D9117" t="n">
        <v>55.71949</v>
      </c>
      <c r="E9117" t="n">
        <v>37.41172</v>
      </c>
      <c r="F9117" t="inlineStr"/>
      <c r="G9117" t="inlineStr"/>
      <c r="H9117" t="inlineStr"/>
    </row>
    <row r="9118">
      <c r="A9118" t="inlineStr">
        <is>
          <t>a70e51ab-44ec-419c-91b6-cf3bb983283c.jpg</t>
        </is>
      </c>
      <c r="B9118">
        <f>HYPERLINK("Объекты недвижимости, не соответствующие градостроительным нормам_00-022_Август/a70e51ab-44ec-419c-91b6-cf3bb983283c.jpg","open")</f>
        <v/>
      </c>
      <c r="C9118" t="inlineStr">
        <is>
          <t>93848fc8-17e7-4748-9ebc-c7e379e11d2f</t>
        </is>
      </c>
      <c r="D9118" t="n">
        <v>55.86887</v>
      </c>
      <c r="E9118" t="n">
        <v>37.5881</v>
      </c>
      <c r="F9118" t="inlineStr"/>
      <c r="G9118" t="inlineStr"/>
      <c r="H9118" t="inlineStr"/>
    </row>
    <row r="9119">
      <c r="A9119" t="inlineStr">
        <is>
          <t>49f608dc-aa86-4998-888e-40af9dafe6fe.jpg</t>
        </is>
      </c>
      <c r="B9119">
        <f>HYPERLINK("Объекты недвижимости, не соответствующие градостроительным нормам_00-022_Август/49f608dc-aa86-4998-888e-40af9dafe6fe.jpg","open")</f>
        <v/>
      </c>
      <c r="C9119" t="inlineStr">
        <is>
          <t>fb9a37cc-57a6-447c-98bb-0b299f09c809</t>
        </is>
      </c>
      <c r="D9119" t="n">
        <v>55.78818</v>
      </c>
      <c r="E9119" t="n">
        <v>37.54275</v>
      </c>
      <c r="F9119" t="inlineStr"/>
      <c r="G9119" t="inlineStr"/>
      <c r="H9119" t="inlineStr"/>
    </row>
    <row r="9120">
      <c r="A9120" t="inlineStr">
        <is>
          <t>33f9eef0-6802-48d4-a23e-20f8b26ce48f.jpg</t>
        </is>
      </c>
      <c r="B9120">
        <f>HYPERLINK("Объекты недвижимости, не соответствующие градостроительным нормам_00-022_Август/33f9eef0-6802-48d4-a23e-20f8b26ce48f.jpg","open")</f>
        <v/>
      </c>
      <c r="C9120" t="inlineStr">
        <is>
          <t>9fb3d110-951f-48da-9d90-cfd7e1b5800d</t>
        </is>
      </c>
      <c r="D9120" t="n">
        <v>55.71322</v>
      </c>
      <c r="E9120" t="n">
        <v>37.51627</v>
      </c>
      <c r="F9120" t="inlineStr"/>
      <c r="G9120" t="inlineStr"/>
      <c r="H9120" t="inlineStr"/>
    </row>
    <row r="9121">
      <c r="A9121" t="inlineStr">
        <is>
          <t>7380c168-9a06-45bf-973a-65a73c391081.jpg</t>
        </is>
      </c>
      <c r="B9121">
        <f>HYPERLINK("Объекты недвижимости, не соответствующие градостроительным нормам_00-022_Август/7380c168-9a06-45bf-973a-65a73c391081.jpg","open")</f>
        <v/>
      </c>
      <c r="C9121" t="inlineStr">
        <is>
          <t>4cd87d14-7440-44b7-a5b2-a738e10006f7</t>
        </is>
      </c>
      <c r="D9121" t="n">
        <v>55.74639</v>
      </c>
      <c r="E9121" t="n">
        <v>37.59492</v>
      </c>
      <c r="F9121" t="inlineStr"/>
      <c r="G9121" t="inlineStr"/>
      <c r="H9121" t="inlineStr"/>
    </row>
    <row r="9122">
      <c r="A9122" t="inlineStr">
        <is>
          <t>50ec18d5-8ed9-4c54-9fe8-0c96bf0c1a26.jpg</t>
        </is>
      </c>
      <c r="B9122">
        <f>HYPERLINK("Объекты недвижимости, не соответствующие градостроительным нормам_00-022_Август/50ec18d5-8ed9-4c54-9fe8-0c96bf0c1a26.jpg","open")</f>
        <v/>
      </c>
      <c r="C9122" t="inlineStr">
        <is>
          <t>e26f5fc2-1353-4f29-85f3-87c56419161c</t>
        </is>
      </c>
      <c r="D9122" t="n">
        <v>55.74639</v>
      </c>
      <c r="E9122" t="n">
        <v>37.59492</v>
      </c>
      <c r="F9122" t="inlineStr"/>
      <c r="G9122" t="inlineStr"/>
      <c r="H9122" t="inlineStr"/>
    </row>
    <row r="9123">
      <c r="A9123" t="inlineStr">
        <is>
          <t>6f1731a7-51ca-41df-9a23-9849371a71ca.jpg</t>
        </is>
      </c>
      <c r="B9123">
        <f>HYPERLINK("Объекты недвижимости, не соответствующие градостроительным нормам_00-022_Август/6f1731a7-51ca-41df-9a23-9849371a71ca.jpg","open")</f>
        <v/>
      </c>
      <c r="C9123" t="inlineStr">
        <is>
          <t>e26f5fc2-1353-4f29-85f3-87c56419161c</t>
        </is>
      </c>
      <c r="D9123" t="n">
        <v>55.74639</v>
      </c>
      <c r="E9123" t="n">
        <v>37.59492</v>
      </c>
      <c r="F9123" t="inlineStr"/>
      <c r="G9123" t="inlineStr"/>
      <c r="H9123" t="inlineStr"/>
    </row>
    <row r="9124">
      <c r="A9124" t="inlineStr">
        <is>
          <t>b2f794cf-034c-48d8-aa4e-0d2fc556be9f.jpg</t>
        </is>
      </c>
      <c r="B9124">
        <f>HYPERLINK("Объекты недвижимости, не соответствующие градостроительным нормам_00-022_Август/b2f794cf-034c-48d8-aa4e-0d2fc556be9f.jpg","open")</f>
        <v/>
      </c>
      <c r="C9124" t="inlineStr">
        <is>
          <t>936502dd-24a4-4256-9fdf-0d8fb72af3ed</t>
        </is>
      </c>
      <c r="D9124" t="n">
        <v>55.64849</v>
      </c>
      <c r="E9124" t="n">
        <v>37.69825</v>
      </c>
      <c r="F9124" t="inlineStr"/>
      <c r="G9124" t="inlineStr"/>
      <c r="H9124" t="inlineStr"/>
    </row>
    <row r="9125">
      <c r="A9125" t="inlineStr">
        <is>
          <t>22067dea-8268-4840-89c2-bc0cc4fe71e0.jpg</t>
        </is>
      </c>
      <c r="B9125">
        <f>HYPERLINK("Объекты недвижимости, не соответствующие градостроительным нормам_00-022_Август/22067dea-8268-4840-89c2-bc0cc4fe71e0.jpg","open")</f>
        <v/>
      </c>
      <c r="C9125" t="inlineStr">
        <is>
          <t>e26f5fc2-1353-4f29-85f3-87c56419161c</t>
        </is>
      </c>
      <c r="D9125" t="n">
        <v>55.74639</v>
      </c>
      <c r="E9125" t="n">
        <v>37.59492</v>
      </c>
      <c r="F9125" t="inlineStr"/>
      <c r="G9125" t="inlineStr"/>
      <c r="H9125" t="inlineStr"/>
    </row>
    <row r="9126">
      <c r="A9126" t="inlineStr">
        <is>
          <t>80f4a364-d03f-4276-b6ea-3c9cb1918915.jpg</t>
        </is>
      </c>
      <c r="B9126">
        <f>HYPERLINK("Объекты недвижимости, не соответствующие градостроительным нормам_00-022_Август/80f4a364-d03f-4276-b6ea-3c9cb1918915.jpg","open")</f>
        <v/>
      </c>
      <c r="C9126" t="inlineStr">
        <is>
          <t>685d9054-b74f-49ab-857b-109fd2cec80d</t>
        </is>
      </c>
      <c r="D9126" t="n">
        <v>55.64327</v>
      </c>
      <c r="E9126" t="n">
        <v>37.59719</v>
      </c>
      <c r="F9126" t="inlineStr"/>
      <c r="G9126" t="inlineStr"/>
      <c r="H9126" t="inlineStr"/>
    </row>
    <row r="9127">
      <c r="A9127" t="inlineStr">
        <is>
          <t>c2a87830-3c56-4a17-bf28-640e54a0cb00.jpg</t>
        </is>
      </c>
      <c r="B9127">
        <f>HYPERLINK("Объекты недвижимости, не соответствующие градостроительным нормам_00-022_Август/c2a87830-3c56-4a17-bf28-640e54a0cb00.jpg","open")</f>
        <v/>
      </c>
      <c r="C9127" t="inlineStr">
        <is>
          <t>b0b7ea82-53be-40d0-b992-e2fd18611d5c</t>
        </is>
      </c>
      <c r="D9127" t="n">
        <v>55.71607</v>
      </c>
      <c r="E9127" t="n">
        <v>37.78629</v>
      </c>
      <c r="F9127" t="inlineStr"/>
      <c r="G9127" t="inlineStr"/>
      <c r="H9127" t="inlineStr"/>
    </row>
    <row r="9128">
      <c r="A9128" t="inlineStr">
        <is>
          <t>a5be53fd-02b4-443b-bacb-7fd2c71d7619.jpg</t>
        </is>
      </c>
      <c r="B9128">
        <f>HYPERLINK("Объекты недвижимости, не соответствующие градостроительным нормам_00-022_Август/a5be53fd-02b4-443b-bacb-7fd2c71d7619.jpg","open")</f>
        <v/>
      </c>
      <c r="C9128" t="inlineStr">
        <is>
          <t>9ca2abb7-5978-4e19-b2b4-4d185fa6739e</t>
        </is>
      </c>
      <c r="D9128" t="n">
        <v>55.73005</v>
      </c>
      <c r="E9128" t="n">
        <v>37.41747</v>
      </c>
      <c r="F9128" t="inlineStr"/>
      <c r="G9128" t="inlineStr"/>
      <c r="H9128" t="inlineStr"/>
    </row>
    <row r="9129">
      <c r="A9129" t="inlineStr">
        <is>
          <t>9d4fa40a-c867-404a-b867-0e2e003548bb.jpg</t>
        </is>
      </c>
      <c r="B9129">
        <f>HYPERLINK("Объекты недвижимости, не соответствующие градостроительным нормам_00-022_Август/9d4fa40a-c867-404a-b867-0e2e003548bb.jpg","open")</f>
        <v/>
      </c>
      <c r="C9129" t="inlineStr">
        <is>
          <t>f6f80c84-5569-48fd-b627-6f41ce4c61c4</t>
        </is>
      </c>
      <c r="D9129" t="n">
        <v>55.67041</v>
      </c>
      <c r="E9129" t="n">
        <v>37.4264</v>
      </c>
      <c r="F9129" t="inlineStr"/>
      <c r="G9129" t="inlineStr"/>
      <c r="H9129" t="inlineStr"/>
    </row>
    <row r="9130">
      <c r="A9130" t="inlineStr">
        <is>
          <t>556651f4-a9ac-4948-a9c5-87715b018683.jpg</t>
        </is>
      </c>
      <c r="B9130">
        <f>HYPERLINK("Объекты недвижимости, не соответствующие градостроительным нормам_00-022_Август/556651f4-a9ac-4948-a9c5-87715b018683.jpg","open")</f>
        <v/>
      </c>
      <c r="C9130" t="inlineStr">
        <is>
          <t>9ca2abb7-5978-4e19-b2b4-4d185fa6739e</t>
        </is>
      </c>
      <c r="D9130" t="n">
        <v>55.73004</v>
      </c>
      <c r="E9130" t="n">
        <v>37.41755</v>
      </c>
      <c r="F9130" t="inlineStr"/>
      <c r="G9130" t="inlineStr"/>
      <c r="H9130" t="inlineStr"/>
    </row>
    <row r="9131">
      <c r="A9131" t="inlineStr">
        <is>
          <t>525c3c58-6cba-4f2a-b588-f3c7489c52ae.jpg</t>
        </is>
      </c>
      <c r="B9131">
        <f>HYPERLINK("Объекты недвижимости, не соответствующие градостроительным нормам_00-022_Август/525c3c58-6cba-4f2a-b588-f3c7489c52ae.jpg","open")</f>
        <v/>
      </c>
      <c r="C9131" t="inlineStr">
        <is>
          <t>f20fbc2b-b369-4734-bb66-92af02fbb0d1</t>
        </is>
      </c>
      <c r="D9131" t="n">
        <v>55.71705</v>
      </c>
      <c r="E9131" t="n">
        <v>37.78648</v>
      </c>
      <c r="F9131" t="inlineStr"/>
      <c r="G9131" t="inlineStr"/>
      <c r="H9131" t="inlineStr"/>
    </row>
    <row r="9132">
      <c r="A9132" t="inlineStr">
        <is>
          <t>816cc286-3afb-4730-b260-19b7cb3839ee.jpg</t>
        </is>
      </c>
      <c r="B9132">
        <f>HYPERLINK("Объекты недвижимости, не соответствующие градостроительным нормам_00-022_Август/816cc286-3afb-4730-b260-19b7cb3839ee.jpg","open")</f>
        <v/>
      </c>
      <c r="C9132" t="inlineStr">
        <is>
          <t>61936922-4d4b-458e-80ea-6d4c450aa1d5</t>
        </is>
      </c>
      <c r="D9132" t="n">
        <v>55.71237</v>
      </c>
      <c r="E9132" t="n">
        <v>37.51982</v>
      </c>
      <c r="F9132" t="inlineStr"/>
      <c r="G9132" t="inlineStr"/>
      <c r="H9132" t="inlineStr"/>
    </row>
    <row r="9133">
      <c r="A9133" t="inlineStr">
        <is>
          <t>7441fd6d-4ea9-4b21-896f-3104669b9f93.jpg</t>
        </is>
      </c>
      <c r="B9133">
        <f>HYPERLINK("Объекты недвижимости, не соответствующие градостроительным нормам_00-022_Август/7441fd6d-4ea9-4b21-896f-3104669b9f93.jpg","open")</f>
        <v/>
      </c>
      <c r="C9133" t="inlineStr">
        <is>
          <t>9ca2abb7-5978-4e19-b2b4-4d185fa6739e</t>
        </is>
      </c>
      <c r="D9133" t="n">
        <v>55.73003</v>
      </c>
      <c r="E9133" t="n">
        <v>37.41751</v>
      </c>
      <c r="F9133" t="inlineStr"/>
      <c r="G9133" t="inlineStr"/>
      <c r="H9133" t="inlineStr"/>
    </row>
    <row r="9134">
      <c r="A9134" t="inlineStr">
        <is>
          <t>ab1f1f56-6510-4732-995a-e770cbc803db.jpg</t>
        </is>
      </c>
      <c r="B9134">
        <f>HYPERLINK("Объекты недвижимости, не соответствующие градостроительным нормам_00-022_Август/ab1f1f56-6510-4732-995a-e770cbc803db.jpg","open")</f>
        <v/>
      </c>
      <c r="C9134" t="inlineStr">
        <is>
          <t>9ca2abb7-5978-4e19-b2b4-4d185fa6739e</t>
        </is>
      </c>
      <c r="D9134" t="n">
        <v>55.73001</v>
      </c>
      <c r="E9134" t="n">
        <v>37.41755</v>
      </c>
      <c r="F9134" t="inlineStr"/>
      <c r="G9134" t="inlineStr"/>
      <c r="H9134" t="inlineStr"/>
    </row>
    <row r="9135">
      <c r="A9135" t="inlineStr">
        <is>
          <t>686bd206-0ab8-4832-8135-b38631f2cfdf.jpg</t>
        </is>
      </c>
      <c r="B9135">
        <f>HYPERLINK("Объекты недвижимости, не соответствующие градостроительным нормам_00-022_Август/686bd206-0ab8-4832-8135-b38631f2cfdf.jpg","open")</f>
        <v/>
      </c>
      <c r="C9135" t="inlineStr">
        <is>
          <t>93848fc8-17e7-4748-9ebc-c7e379e11d2f</t>
        </is>
      </c>
      <c r="D9135" t="n">
        <v>55.84835</v>
      </c>
      <c r="E9135" t="n">
        <v>37.60868</v>
      </c>
      <c r="F9135" t="inlineStr"/>
      <c r="G9135" t="inlineStr"/>
      <c r="H9135" t="inlineStr"/>
    </row>
    <row r="9136">
      <c r="A9136" t="inlineStr">
        <is>
          <t>a8eadde9-30c4-4e61-8c44-71232deb721e.jpg</t>
        </is>
      </c>
      <c r="B9136">
        <f>HYPERLINK("Объекты недвижимости, не соответствующие градостроительным нормам_00-022_Август/a8eadde9-30c4-4e61-8c44-71232deb721e.jpg","open")</f>
        <v/>
      </c>
      <c r="C9136" t="inlineStr">
        <is>
          <t>fb9a37cc-57a6-447c-98bb-0b299f09c809</t>
        </is>
      </c>
      <c r="D9136" t="n">
        <v>55.79631</v>
      </c>
      <c r="E9136" t="n">
        <v>37.5251</v>
      </c>
      <c r="F9136" t="inlineStr"/>
      <c r="G9136" t="inlineStr"/>
      <c r="H9136" t="inlineStr"/>
    </row>
    <row r="9137">
      <c r="A9137" t="inlineStr">
        <is>
          <t>b38851bc-220c-403d-a748-517038ba1f73.jpg</t>
        </is>
      </c>
      <c r="B9137">
        <f>HYPERLINK("Объекты недвижимости, не соответствующие градостроительным нормам_00-022_Август/b38851bc-220c-403d-a748-517038ba1f73.jpg","open")</f>
        <v/>
      </c>
      <c r="C9137" t="inlineStr">
        <is>
          <t>b23a39fd-838c-435a-bacd-b4d6bb842c62</t>
        </is>
      </c>
      <c r="D9137" t="n">
        <v>55.79632</v>
      </c>
      <c r="E9137" t="n">
        <v>37.52507</v>
      </c>
      <c r="F9137" t="inlineStr"/>
      <c r="G9137" t="inlineStr"/>
      <c r="H9137" t="inlineStr"/>
    </row>
    <row r="9138">
      <c r="A9138" t="inlineStr">
        <is>
          <t>55d0683f-ab1c-4709-a435-58b860a4a350.jpg</t>
        </is>
      </c>
      <c r="B9138">
        <f>HYPERLINK("Объекты недвижимости, не соответствующие градостроительным нормам_00-022_Август/55d0683f-ab1c-4709-a435-58b860a4a350.jpg","open")</f>
        <v/>
      </c>
      <c r="C9138" t="inlineStr">
        <is>
          <t>dd22c7c9-0046-46d8-8631-55150dbf8ae5</t>
        </is>
      </c>
      <c r="D9138" t="n">
        <v>55.69318</v>
      </c>
      <c r="E9138" t="n">
        <v>37.33656</v>
      </c>
      <c r="F9138" t="inlineStr"/>
      <c r="G9138" t="inlineStr"/>
      <c r="H9138" t="inlineStr"/>
    </row>
    <row r="9139">
      <c r="A9139" t="inlineStr">
        <is>
          <t>e8113cd5-b7fb-4a8b-bb4a-adcebf6cea81.jpg</t>
        </is>
      </c>
      <c r="B9139">
        <f>HYPERLINK("Объекты недвижимости, не соответствующие градостроительным нормам_00-022_Август/e8113cd5-b7fb-4a8b-bb4a-adcebf6cea81.jpg","open")</f>
        <v/>
      </c>
      <c r="C9139" t="inlineStr">
        <is>
          <t>b0b7ea82-53be-40d0-b992-e2fd18611d5c</t>
        </is>
      </c>
      <c r="D9139" t="n">
        <v>55.71776</v>
      </c>
      <c r="E9139" t="n">
        <v>37.79739</v>
      </c>
      <c r="F9139" t="inlineStr"/>
      <c r="G9139" t="inlineStr"/>
      <c r="H9139" t="inlineStr"/>
    </row>
    <row r="9140">
      <c r="A9140" t="inlineStr">
        <is>
          <t>f2ee334a-5b1e-42e0-92f9-72c6dd96f7eb.jpg</t>
        </is>
      </c>
      <c r="B9140">
        <f>HYPERLINK("Объекты недвижимости, не соответствующие градостроительным нормам_00-022_Август/f2ee334a-5b1e-42e0-92f9-72c6dd96f7eb.jpg","open")</f>
        <v/>
      </c>
      <c r="C9140" t="inlineStr">
        <is>
          <t>fb9a37cc-57a6-447c-98bb-0b299f09c809</t>
        </is>
      </c>
      <c r="D9140" t="n">
        <v>55.79665</v>
      </c>
      <c r="E9140" t="n">
        <v>37.52502</v>
      </c>
      <c r="F9140" t="inlineStr"/>
      <c r="G9140" t="inlineStr"/>
      <c r="H9140" t="inlineStr"/>
    </row>
    <row r="9141">
      <c r="A9141" t="inlineStr">
        <is>
          <t>7b5b05e6-f272-49f6-b578-f9d0111f7a62.jpg</t>
        </is>
      </c>
      <c r="B9141">
        <f>HYPERLINK("Объекты недвижимости, не соответствующие градостроительным нормам_00-022_Август/7b5b05e6-f272-49f6-b578-f9d0111f7a62.jpg","open")</f>
        <v/>
      </c>
      <c r="C9141" t="inlineStr">
        <is>
          <t>e90a3ac0-5b70-4ede-abeb-382371713306</t>
        </is>
      </c>
      <c r="D9141" t="n">
        <v>55.80434</v>
      </c>
      <c r="E9141" t="n">
        <v>37.53154</v>
      </c>
      <c r="F9141" t="inlineStr"/>
      <c r="G9141" t="inlineStr"/>
      <c r="H9141" t="inlineStr"/>
    </row>
    <row r="9142">
      <c r="A9142" t="inlineStr">
        <is>
          <t>3255edc4-75f1-41b6-820c-92d9ec8c289a.jpg</t>
        </is>
      </c>
      <c r="B9142">
        <f>HYPERLINK("Объекты недвижимости, не соответствующие градостроительным нормам_00-022_Август/3255edc4-75f1-41b6-820c-92d9ec8c289a.jpg","open")</f>
        <v/>
      </c>
      <c r="C9142" t="inlineStr">
        <is>
          <t>db8b536c-32f2-4d9a-ae08-679d227e61f1</t>
        </is>
      </c>
      <c r="D9142" t="n">
        <v>55.80434</v>
      </c>
      <c r="E9142" t="n">
        <v>37.53154</v>
      </c>
      <c r="F9142" t="inlineStr"/>
      <c r="G9142" t="inlineStr"/>
      <c r="H9142" t="inlineStr"/>
    </row>
    <row r="9143">
      <c r="A9143" t="inlineStr">
        <is>
          <t>1bbdac09-9200-4dd3-9ebb-31cdc561c7bb.jpg</t>
        </is>
      </c>
      <c r="B9143">
        <f>HYPERLINK("Объекты недвижимости, не соответствующие градостроительным нормам_00-022_Август/1bbdac09-9200-4dd3-9ebb-31cdc561c7bb.jpg","open")</f>
        <v/>
      </c>
      <c r="C9143" t="inlineStr">
        <is>
          <t>cbf95b01-f708-45a3-9ec0-3603469b538e</t>
        </is>
      </c>
      <c r="D9143" t="n">
        <v>55.75836</v>
      </c>
      <c r="E9143" t="n">
        <v>37.58647</v>
      </c>
      <c r="F9143" t="inlineStr"/>
      <c r="G9143" t="inlineStr"/>
      <c r="H9143" t="inlineStr"/>
    </row>
    <row r="9144">
      <c r="A9144" t="inlineStr">
        <is>
          <t>d9e8a8fe-5672-4c5f-bfaa-d7ce2451c3bc.jpg</t>
        </is>
      </c>
      <c r="B9144">
        <f>HYPERLINK("Объекты недвижимости, не соответствующие градостроительным нормам_00-022_Август/d9e8a8fe-5672-4c5f-bfaa-d7ce2451c3bc.jpg","open")</f>
        <v/>
      </c>
      <c r="C9144" t="inlineStr">
        <is>
          <t>57aae8a4-582b-4309-8045-c8127a9f86ae</t>
        </is>
      </c>
      <c r="D9144" t="n">
        <v>55.74934</v>
      </c>
      <c r="E9144" t="n">
        <v>37.69905</v>
      </c>
      <c r="F9144" t="inlineStr"/>
      <c r="G9144" t="inlineStr"/>
      <c r="H9144" t="inlineStr"/>
    </row>
    <row r="9145">
      <c r="A9145" t="inlineStr">
        <is>
          <t>ab33f4d9-401c-4e96-823a-6f9ef43a8a09.jpg</t>
        </is>
      </c>
      <c r="B9145">
        <f>HYPERLINK("Объекты недвижимости, не соответствующие градостроительным нормам_00-022_Август/ab33f4d9-401c-4e96-823a-6f9ef43a8a09.jpg","open")</f>
        <v/>
      </c>
      <c r="C9145" t="inlineStr">
        <is>
          <t>57812597-37e6-414c-8b11-8c661dbfeb70</t>
        </is>
      </c>
      <c r="D9145" t="n">
        <v>55.73496</v>
      </c>
      <c r="E9145" t="n">
        <v>37.66926</v>
      </c>
      <c r="F9145" t="inlineStr"/>
      <c r="G9145" t="inlineStr"/>
      <c r="H9145" t="inlineStr"/>
    </row>
    <row r="9146">
      <c r="A9146" t="inlineStr">
        <is>
          <t>1bd38fbd-2f4b-46b9-9aac-b10d72f353da.jpg</t>
        </is>
      </c>
      <c r="B9146">
        <f>HYPERLINK("Объекты недвижимости, не соответствующие градостроительным нормам_00-022_Август/1bd38fbd-2f4b-46b9-9aac-b10d72f353da.jpg","open")</f>
        <v/>
      </c>
      <c r="C9146" t="inlineStr">
        <is>
          <t>685d9054-b74f-49ab-857b-109fd2cec80d</t>
        </is>
      </c>
      <c r="D9146" t="n">
        <v>55.64789</v>
      </c>
      <c r="E9146" t="n">
        <v>37.57898</v>
      </c>
      <c r="F9146" t="inlineStr"/>
      <c r="G9146" t="inlineStr"/>
      <c r="H9146" t="inlineStr"/>
    </row>
    <row r="9147">
      <c r="A9147" t="inlineStr">
        <is>
          <t>95d95800-d9b6-4e90-825f-cc742e2c6275.jpg</t>
        </is>
      </c>
      <c r="B9147">
        <f>HYPERLINK("Объекты недвижимости, не соответствующие градостроительным нормам_00-022_Август/95d95800-d9b6-4e90-825f-cc742e2c6275.jpg","open")</f>
        <v/>
      </c>
      <c r="C9147" t="inlineStr">
        <is>
          <t>e26f5fc2-1353-4f29-85f3-87c56419161c</t>
        </is>
      </c>
      <c r="D9147" t="n">
        <v>55.78251</v>
      </c>
      <c r="E9147" t="n">
        <v>37.66808</v>
      </c>
      <c r="F9147" t="inlineStr"/>
      <c r="G9147" t="inlineStr"/>
      <c r="H9147" t="inlineStr"/>
    </row>
    <row r="9148">
      <c r="A9148" t="inlineStr">
        <is>
          <t>4ecada94-7e4b-4220-86bb-e56c0431d75b.jpg</t>
        </is>
      </c>
      <c r="B9148">
        <f>HYPERLINK("Объекты недвижимости, не соответствующие градостроительным нормам_00-022_Август/4ecada94-7e4b-4220-86bb-e56c0431d75b.jpg","open")</f>
        <v/>
      </c>
      <c r="C9148" t="inlineStr">
        <is>
          <t>e26f5fc2-1353-4f29-85f3-87c56419161c</t>
        </is>
      </c>
      <c r="D9148" t="n">
        <v>55.78251</v>
      </c>
      <c r="E9148" t="n">
        <v>37.66808</v>
      </c>
      <c r="F9148" t="inlineStr"/>
      <c r="G9148" t="inlineStr"/>
      <c r="H9148" t="inlineStr"/>
    </row>
    <row r="9149">
      <c r="A9149" t="inlineStr">
        <is>
          <t>2b95d3e8-0404-460f-ac11-dd098d05ead5.jpg</t>
        </is>
      </c>
      <c r="B9149">
        <f>HYPERLINK("Объекты недвижимости, не соответствующие градостроительным нормам_00-022_Август/2b95d3e8-0404-460f-ac11-dd098d05ead5.jpg","open")</f>
        <v/>
      </c>
      <c r="C9149" t="inlineStr">
        <is>
          <t>cbf95b01-f708-45a3-9ec0-3603469b538e</t>
        </is>
      </c>
      <c r="D9149" t="n">
        <v>55.77009</v>
      </c>
      <c r="E9149" t="n">
        <v>37.64352</v>
      </c>
      <c r="F9149" t="inlineStr"/>
      <c r="G9149" t="inlineStr"/>
      <c r="H9149" t="inlineStr"/>
    </row>
    <row r="9150">
      <c r="A9150" t="inlineStr">
        <is>
          <t>9cd6af41-6b39-42f8-98f9-d940e0f4d582.jpg</t>
        </is>
      </c>
      <c r="B9150">
        <f>HYPERLINK("Объекты недвижимости, не соответствующие градостроительным нормам_00-022_Август/9cd6af41-6b39-42f8-98f9-d940e0f4d582.jpg","open")</f>
        <v/>
      </c>
      <c r="C9150" t="inlineStr">
        <is>
          <t>036c664f-5408-4fd0-b479-342c00468eeb</t>
        </is>
      </c>
      <c r="D9150" t="n">
        <v>55.72519</v>
      </c>
      <c r="E9150" t="n">
        <v>37.40398</v>
      </c>
      <c r="F9150" t="inlineStr"/>
      <c r="G9150" t="inlineStr"/>
      <c r="H9150" t="inlineStr"/>
    </row>
    <row r="9151">
      <c r="A9151" t="inlineStr">
        <is>
          <t>e131ed6c-8569-4978-9d9e-ee33ea015258.jpg</t>
        </is>
      </c>
      <c r="B9151">
        <f>HYPERLINK("Объекты недвижимости, не соответствующие градостроительным нормам_00-022_Август/e131ed6c-8569-4978-9d9e-ee33ea015258.jpg","open")</f>
        <v/>
      </c>
      <c r="C9151" t="inlineStr">
        <is>
          <t>f6f80c84-5569-48fd-b627-6f41ce4c61c4</t>
        </is>
      </c>
      <c r="D9151" t="n">
        <v>55.74771</v>
      </c>
      <c r="E9151" t="n">
        <v>37.6981</v>
      </c>
      <c r="F9151" t="inlineStr"/>
      <c r="G9151" t="inlineStr"/>
      <c r="H9151" t="inlineStr"/>
    </row>
    <row r="9152">
      <c r="A9152" t="inlineStr">
        <is>
          <t>705f282a-cf05-45c7-b664-6f49ff37278a.jpg</t>
        </is>
      </c>
      <c r="B9152">
        <f>HYPERLINK("Объекты недвижимости, не соответствующие градостроительным нормам_00-022_Август/705f282a-cf05-45c7-b664-6f49ff37278a.jpg","open")</f>
        <v/>
      </c>
      <c r="C9152" t="inlineStr">
        <is>
          <t>cbf95b01-f708-45a3-9ec0-3603469b538e</t>
        </is>
      </c>
      <c r="D9152" t="n">
        <v>55.76891</v>
      </c>
      <c r="E9152" t="n">
        <v>37.64767</v>
      </c>
      <c r="F9152" t="inlineStr"/>
      <c r="G9152" t="inlineStr"/>
      <c r="H9152" t="inlineStr"/>
    </row>
    <row r="9153">
      <c r="A9153" t="inlineStr">
        <is>
          <t>3569ad3a-e761-4a09-ad03-8cda2d707785.jpg</t>
        </is>
      </c>
      <c r="B9153">
        <f>HYPERLINK("Объекты недвижимости, не соответствующие градостроительным нормам_00-022_Август/3569ad3a-e761-4a09-ad03-8cda2d707785.jpg","open")</f>
        <v/>
      </c>
      <c r="C9153" t="inlineStr">
        <is>
          <t>789f6c51-64ee-4078-b7bd-443af8b8b68a</t>
        </is>
      </c>
      <c r="D9153" t="n">
        <v>55.86665</v>
      </c>
      <c r="E9153" t="n">
        <v>37.67954</v>
      </c>
      <c r="F9153" t="inlineStr"/>
      <c r="G9153" t="inlineStr"/>
      <c r="H9153" t="inlineStr"/>
    </row>
    <row r="9154">
      <c r="A9154" t="inlineStr">
        <is>
          <t>a776e279-dc97-4385-980c-231ef2401a62.jpg</t>
        </is>
      </c>
      <c r="B9154">
        <f>HYPERLINK("Объекты недвижимости, не соответствующие градостроительным нормам_00-022_Август/a776e279-dc97-4385-980c-231ef2401a62.jpg","open")</f>
        <v/>
      </c>
      <c r="C9154" t="inlineStr">
        <is>
          <t>cbf95b01-f708-45a3-9ec0-3603469b538e</t>
        </is>
      </c>
      <c r="D9154" t="n">
        <v>55.76891</v>
      </c>
      <c r="E9154" t="n">
        <v>37.64767</v>
      </c>
      <c r="F9154" t="inlineStr"/>
      <c r="G9154" t="inlineStr"/>
      <c r="H9154" t="inlineStr"/>
    </row>
    <row r="9155">
      <c r="A9155" t="inlineStr">
        <is>
          <t>31a876a6-4dd8-4cd9-ac3e-f73a7c9edff1.jpg</t>
        </is>
      </c>
      <c r="B9155">
        <f>HYPERLINK("Объекты недвижимости, не соответствующие градостроительным нормам_00-022_Август/31a876a6-4dd8-4cd9-ac3e-f73a7c9edff1.jpg","open")</f>
        <v/>
      </c>
      <c r="C9155" t="inlineStr">
        <is>
          <t>91248771-2c4d-44f3-b3cf-d536bd4ae73c</t>
        </is>
      </c>
      <c r="D9155" t="n">
        <v>55.77458</v>
      </c>
      <c r="E9155" t="n">
        <v>37.698</v>
      </c>
      <c r="F9155" t="inlineStr"/>
      <c r="G9155" t="inlineStr"/>
      <c r="H9155" t="inlineStr"/>
    </row>
    <row r="9156">
      <c r="A9156" t="inlineStr">
        <is>
          <t>1d68917e-c020-47c3-a18a-6e6273f7eb02.jpg</t>
        </is>
      </c>
      <c r="B9156">
        <f>HYPERLINK("Объекты недвижимости, не соответствующие градостроительным нормам_00-022_Август/1d68917e-c020-47c3-a18a-6e6273f7eb02.jpg","open")</f>
        <v/>
      </c>
      <c r="C9156" t="inlineStr">
        <is>
          <t>acedacc2-0d8b-4fc1-9622-25621a89d071</t>
        </is>
      </c>
      <c r="D9156" t="n">
        <v>55.78877</v>
      </c>
      <c r="E9156" t="n">
        <v>37.66187</v>
      </c>
      <c r="F9156" t="inlineStr"/>
      <c r="G9156" t="inlineStr"/>
      <c r="H9156" t="inlineStr"/>
    </row>
    <row r="9157">
      <c r="A9157" t="inlineStr">
        <is>
          <t>b44a2131-f38f-49ec-b442-7c04fbc22681.jpg</t>
        </is>
      </c>
      <c r="B9157">
        <f>HYPERLINK("Объекты недвижимости, не соответствующие градостроительным нормам_00-022_Август/b44a2131-f38f-49ec-b442-7c04fbc22681.jpg","open")</f>
        <v/>
      </c>
      <c r="C9157" t="inlineStr">
        <is>
          <t>8cde1fd0-eca1-4510-86ab-3c743b65fdfc</t>
        </is>
      </c>
      <c r="D9157" t="n">
        <v>55.66861</v>
      </c>
      <c r="E9157" t="n">
        <v>37.62635</v>
      </c>
      <c r="F9157" t="inlineStr"/>
      <c r="G9157" t="inlineStr"/>
      <c r="H9157" t="inlineStr"/>
    </row>
    <row r="9158">
      <c r="A9158" t="inlineStr">
        <is>
          <t>072119ff-d79b-4aa4-a575-445a6ba5afd0.jpg</t>
        </is>
      </c>
      <c r="B9158">
        <f>HYPERLINK("Объекты недвижимости, не соответствующие градостроительным нормам_00-022_Август/072119ff-d79b-4aa4-a575-445a6ba5afd0.jpg","open")</f>
        <v/>
      </c>
      <c r="C9158" t="inlineStr">
        <is>
          <t>12e795ad-2aa7-49de-b2da-2c6aa35a4559</t>
        </is>
      </c>
      <c r="D9158" t="n">
        <v>55.61204</v>
      </c>
      <c r="E9158" t="n">
        <v>37.55356</v>
      </c>
      <c r="F9158" t="inlineStr"/>
      <c r="G9158" t="inlineStr"/>
      <c r="H9158" t="inlineStr"/>
    </row>
    <row r="9159">
      <c r="A9159" t="inlineStr">
        <is>
          <t>5f523337-f748-47d7-9dcf-b2ad1379015b.jpg</t>
        </is>
      </c>
      <c r="B9159">
        <f>HYPERLINK("Объекты недвижимости, не соответствующие градостроительным нормам_00-022_Август/5f523337-f748-47d7-9dcf-b2ad1379015b.jpg","open")</f>
        <v/>
      </c>
      <c r="C9159" t="inlineStr">
        <is>
          <t>ad64e6b9-1ed5-44d7-a101-4945a1f9dec6</t>
        </is>
      </c>
      <c r="D9159" t="n">
        <v>55.61204</v>
      </c>
      <c r="E9159" t="n">
        <v>37.55355</v>
      </c>
      <c r="F9159" t="inlineStr"/>
      <c r="G9159" t="inlineStr"/>
      <c r="H9159" t="inlineStr"/>
    </row>
    <row r="9160">
      <c r="A9160" t="inlineStr">
        <is>
          <t>d1c36bca-fbe5-4d64-8d0e-f50befc40ffc.jpg</t>
        </is>
      </c>
      <c r="B9160">
        <f>HYPERLINK("Объекты недвижимости, не соответствующие градостроительным нормам_00-022_Август/d1c36bca-fbe5-4d64-8d0e-f50befc40ffc.jpg","open")</f>
        <v/>
      </c>
      <c r="C9160" t="inlineStr">
        <is>
          <t>789f6c51-64ee-4078-b7bd-443af8b8b68a</t>
        </is>
      </c>
      <c r="D9160" t="n">
        <v>55.87107</v>
      </c>
      <c r="E9160" t="n">
        <v>37.67964</v>
      </c>
      <c r="F9160" t="inlineStr"/>
      <c r="G9160" t="inlineStr"/>
      <c r="H9160" t="inlineStr"/>
    </row>
    <row r="9161">
      <c r="A9161" t="inlineStr">
        <is>
          <t>31663fbe-30ea-4d94-b29a-044fa53f918a.jpg</t>
        </is>
      </c>
      <c r="B9161">
        <f>HYPERLINK("Объекты недвижимости, не соответствующие градостроительным нормам_00-022_Август/31663fbe-30ea-4d94-b29a-044fa53f918a.jpg","open")</f>
        <v/>
      </c>
      <c r="C9161" t="inlineStr">
        <is>
          <t>2acfb2da-e3f6-464c-bd17-4b713522c142</t>
        </is>
      </c>
      <c r="D9161" t="n">
        <v>55.87107</v>
      </c>
      <c r="E9161" t="n">
        <v>37.67964</v>
      </c>
      <c r="F9161" t="inlineStr"/>
      <c r="G9161" t="inlineStr"/>
      <c r="H9161" t="inlineStr"/>
    </row>
    <row r="9162">
      <c r="A9162" t="inlineStr">
        <is>
          <t>603ae06c-28fb-4bcd-a179-d8ef0fb5532c.jpg</t>
        </is>
      </c>
      <c r="B9162">
        <f>HYPERLINK("Объекты недвижимости, не соответствующие градостроительным нормам_00-022_Август/603ae06c-28fb-4bcd-a179-d8ef0fb5532c.jpg","open")</f>
        <v/>
      </c>
      <c r="C9162" t="inlineStr">
        <is>
          <t>18a5c468-d9e6-4814-8477-1caf4a2e1fe9</t>
        </is>
      </c>
      <c r="D9162" t="n">
        <v>55.73125</v>
      </c>
      <c r="E9162" t="n">
        <v>37.68141</v>
      </c>
      <c r="F9162" t="inlineStr"/>
      <c r="G9162" t="inlineStr"/>
      <c r="H9162" t="inlineStr"/>
    </row>
    <row r="9163">
      <c r="A9163" t="inlineStr">
        <is>
          <t>18c978e8-800d-42ab-b573-81c4936b3245.jpg</t>
        </is>
      </c>
      <c r="B9163">
        <f>HYPERLINK("Объекты недвижимости, не соответствующие градостроительным нормам_00-022_Август/18c978e8-800d-42ab-b573-81c4936b3245.jpg","open")</f>
        <v/>
      </c>
      <c r="C9163" t="inlineStr">
        <is>
          <t>789f6c51-64ee-4078-b7bd-443af8b8b68a</t>
        </is>
      </c>
      <c r="D9163" t="n">
        <v>55.87107</v>
      </c>
      <c r="E9163" t="n">
        <v>37.67972</v>
      </c>
      <c r="F9163" t="inlineStr"/>
      <c r="G9163" t="inlineStr"/>
      <c r="H9163" t="inlineStr"/>
    </row>
    <row r="9164">
      <c r="A9164" t="inlineStr">
        <is>
          <t>578245d8-ab7a-4b4c-a8e9-497fb85b812e.jpg</t>
        </is>
      </c>
      <c r="B9164">
        <f>HYPERLINK("Объекты недвижимости, не соответствующие градостроительным нормам_00-022_Август/578245d8-ab7a-4b4c-a8e9-497fb85b812e.jpg","open")</f>
        <v/>
      </c>
      <c r="C9164" t="inlineStr">
        <is>
          <t>2acfb2da-e3f6-464c-bd17-4b713522c142</t>
        </is>
      </c>
      <c r="D9164" t="n">
        <v>55.87107</v>
      </c>
      <c r="E9164" t="n">
        <v>37.67972</v>
      </c>
      <c r="F9164" t="inlineStr"/>
      <c r="G9164" t="inlineStr"/>
      <c r="H9164" t="inlineStr"/>
    </row>
    <row r="9165">
      <c r="A9165" t="inlineStr">
        <is>
          <t>ab6a8a20-92d1-454a-afa3-05759a2f8833.jpg</t>
        </is>
      </c>
      <c r="B9165">
        <f>HYPERLINK("Объекты недвижимости, не соответствующие градостроительным нормам_00-022_Август/ab6a8a20-92d1-454a-afa3-05759a2f8833.jpg","open")</f>
        <v/>
      </c>
      <c r="C9165" t="inlineStr">
        <is>
          <t>99f3abba-c55b-49f0-9de5-9f88e9597cc0</t>
        </is>
      </c>
      <c r="D9165" t="n">
        <v>55.62024</v>
      </c>
      <c r="E9165" t="n">
        <v>37.70601</v>
      </c>
      <c r="F9165" t="inlineStr"/>
      <c r="G9165" t="inlineStr"/>
      <c r="H9165" t="inlineStr"/>
    </row>
    <row r="9166">
      <c r="A9166" t="inlineStr">
        <is>
          <t>05d2e0ac-df3d-4513-9c5b-ece1b87e682b.jpg</t>
        </is>
      </c>
      <c r="B9166">
        <f>HYPERLINK("Объекты недвижимости, не соответствующие градостроительным нормам_00-022_Август/05d2e0ac-df3d-4513-9c5b-ece1b87e682b.jpg","open")</f>
        <v/>
      </c>
      <c r="C9166" t="inlineStr">
        <is>
          <t>31a713a9-b910-424b-b847-e0eaa2f70c70</t>
        </is>
      </c>
      <c r="D9166" t="n">
        <v>55.67252</v>
      </c>
      <c r="E9166" t="n">
        <v>37.73988</v>
      </c>
      <c r="F9166" t="inlineStr"/>
      <c r="G9166" t="inlineStr"/>
      <c r="H9166" t="inlineStr"/>
    </row>
    <row r="9167">
      <c r="A9167" t="inlineStr">
        <is>
          <t>16cc1cf1-0ad4-4c88-adea-553404507b34.jpg</t>
        </is>
      </c>
      <c r="B9167">
        <f>HYPERLINK("Объекты недвижимости, не соответствующие градостроительным нормам_00-022_Август/16cc1cf1-0ad4-4c88-adea-553404507b34.jpg","open")</f>
        <v/>
      </c>
      <c r="C9167" t="inlineStr">
        <is>
          <t>99f3abba-c55b-49f0-9de5-9f88e9597cc0</t>
        </is>
      </c>
      <c r="D9167" t="n">
        <v>55.61882</v>
      </c>
      <c r="E9167" t="n">
        <v>37.70653</v>
      </c>
      <c r="F9167" t="inlineStr"/>
      <c r="G9167" t="inlineStr"/>
      <c r="H9167" t="inlineStr"/>
    </row>
    <row r="9168">
      <c r="A9168" t="inlineStr">
        <is>
          <t>398fc5b6-a12f-46d7-8ea0-8c6126199850.jpg</t>
        </is>
      </c>
      <c r="B9168">
        <f>HYPERLINK("Объекты недвижимости, не соответствующие градостроительным нормам_00-022_Август/398fc5b6-a12f-46d7-8ea0-8c6126199850.jpg","open")</f>
        <v/>
      </c>
      <c r="C9168" t="inlineStr">
        <is>
          <t>99f3abba-c55b-49f0-9de5-9f88e9597cc0</t>
        </is>
      </c>
      <c r="D9168" t="n">
        <v>55.61906</v>
      </c>
      <c r="E9168" t="n">
        <v>37.70599</v>
      </c>
      <c r="F9168" t="inlineStr"/>
      <c r="G9168" t="inlineStr"/>
      <c r="H9168" t="inlineStr"/>
    </row>
    <row r="9169">
      <c r="A9169" t="inlineStr">
        <is>
          <t>4f78530e-086d-4c3c-a7f4-0a275146bad4.jpg</t>
        </is>
      </c>
      <c r="B9169">
        <f>HYPERLINK("Объекты недвижимости, не соответствующие градостроительным нормам_00-022_Август/4f78530e-086d-4c3c-a7f4-0a275146bad4.jpg","open")</f>
        <v/>
      </c>
      <c r="C9169" t="inlineStr">
        <is>
          <t>789f6c51-64ee-4078-b7bd-443af8b8b68a</t>
        </is>
      </c>
      <c r="D9169" t="n">
        <v>55.87111</v>
      </c>
      <c r="E9169" t="n">
        <v>37.67979</v>
      </c>
      <c r="F9169" t="inlineStr"/>
      <c r="G9169" t="inlineStr"/>
      <c r="H9169" t="inlineStr"/>
    </row>
    <row r="9170">
      <c r="A9170" t="inlineStr">
        <is>
          <t>52fa8ea3-3215-41bf-9c25-e24d53263670.jpg</t>
        </is>
      </c>
      <c r="B9170">
        <f>HYPERLINK("Объекты недвижимости, не соответствующие градостроительным нормам_00-022_Август/52fa8ea3-3215-41bf-9c25-e24d53263670.jpg","open")</f>
        <v/>
      </c>
      <c r="C9170" t="inlineStr">
        <is>
          <t>789f6c51-64ee-4078-b7bd-443af8b8b68a</t>
        </is>
      </c>
      <c r="D9170" t="n">
        <v>55.87111</v>
      </c>
      <c r="E9170" t="n">
        <v>37.67985</v>
      </c>
      <c r="F9170" t="inlineStr"/>
      <c r="G9170" t="inlineStr"/>
      <c r="H9170" t="inlineStr"/>
    </row>
    <row r="9171">
      <c r="A9171" t="inlineStr">
        <is>
          <t>9883d8a3-6557-4fa9-8eee-31518066dfc2.jpg</t>
        </is>
      </c>
      <c r="B9171">
        <f>HYPERLINK("Объекты недвижимости, не соответствующие градостроительным нормам_00-022_Август/9883d8a3-6557-4fa9-8eee-31518066dfc2.jpg","open")</f>
        <v/>
      </c>
      <c r="C9171" t="inlineStr">
        <is>
          <t>2acfb2da-e3f6-464c-bd17-4b713522c142</t>
        </is>
      </c>
      <c r="D9171" t="n">
        <v>55.87112</v>
      </c>
      <c r="E9171" t="n">
        <v>37.67983</v>
      </c>
      <c r="F9171" t="inlineStr"/>
      <c r="G9171" t="inlineStr"/>
      <c r="H9171" t="inlineStr"/>
    </row>
    <row r="9172">
      <c r="A9172" t="inlineStr">
        <is>
          <t>625c1cfe-7d64-4816-a090-f735fa75db37.jpg</t>
        </is>
      </c>
      <c r="B9172">
        <f>HYPERLINK("Объекты недвижимости, не соответствующие градостроительным нормам_00-022_Август/625c1cfe-7d64-4816-a090-f735fa75db37.jpg","open")</f>
        <v/>
      </c>
      <c r="C9172" t="inlineStr">
        <is>
          <t>2acfb2da-e3f6-464c-bd17-4b713522c142</t>
        </is>
      </c>
      <c r="D9172" t="n">
        <v>55.87111</v>
      </c>
      <c r="E9172" t="n">
        <v>37.67979</v>
      </c>
      <c r="F9172" t="inlineStr"/>
      <c r="G9172" t="inlineStr"/>
      <c r="H9172" t="inlineStr"/>
    </row>
    <row r="9173">
      <c r="A9173" t="inlineStr">
        <is>
          <t>83c61ddb-9d89-448e-abd4-8ba684d4a8cf.jpg</t>
        </is>
      </c>
      <c r="B9173">
        <f>HYPERLINK("Объекты недвижимости, не соответствующие градостроительным нормам_00-022_Август/83c61ddb-9d89-448e-abd4-8ba684d4a8cf.jpg","open")</f>
        <v/>
      </c>
      <c r="C9173" t="inlineStr">
        <is>
          <t>2acfb2da-e3f6-464c-bd17-4b713522c142</t>
        </is>
      </c>
      <c r="D9173" t="n">
        <v>55.87128</v>
      </c>
      <c r="E9173" t="n">
        <v>37.67974</v>
      </c>
      <c r="F9173" t="inlineStr"/>
      <c r="G9173" t="inlineStr"/>
      <c r="H9173" t="inlineStr"/>
    </row>
    <row r="9174">
      <c r="A9174" t="inlineStr">
        <is>
          <t>8aacb27d-6da3-4d5b-95e1-a0abb07df219.jpg</t>
        </is>
      </c>
      <c r="B9174">
        <f>HYPERLINK("Объекты недвижимости, не соответствующие градостроительным нормам_00-022_Август/8aacb27d-6da3-4d5b-95e1-a0abb07df219.jpg","open")</f>
        <v/>
      </c>
      <c r="C9174" t="inlineStr">
        <is>
          <t>789f6c51-64ee-4078-b7bd-443af8b8b68a</t>
        </is>
      </c>
      <c r="D9174" t="n">
        <v>55.87114</v>
      </c>
      <c r="E9174" t="n">
        <v>37.67957</v>
      </c>
      <c r="F9174" t="inlineStr"/>
      <c r="G9174" t="inlineStr"/>
      <c r="H9174" t="inlineStr"/>
    </row>
    <row r="9175">
      <c r="A9175" t="inlineStr">
        <is>
          <t>4ba9c0df-434e-4b12-9965-e530b1317741.jpg</t>
        </is>
      </c>
      <c r="B9175">
        <f>HYPERLINK("Объекты недвижимости, не соответствующие градостроительным нормам_00-022_Август/4ba9c0df-434e-4b12-9965-e530b1317741.jpg","open")</f>
        <v/>
      </c>
      <c r="C9175" t="inlineStr">
        <is>
          <t>2acfb2da-e3f6-464c-bd17-4b713522c142</t>
        </is>
      </c>
      <c r="D9175" t="n">
        <v>55.87115</v>
      </c>
      <c r="E9175" t="n">
        <v>37.67955</v>
      </c>
      <c r="F9175" t="inlineStr"/>
      <c r="G9175" t="inlineStr"/>
      <c r="H9175" t="inlineStr"/>
    </row>
    <row r="9176">
      <c r="A9176" t="inlineStr">
        <is>
          <t>1d21f6b1-7512-4d2e-acd2-7f4f96135371.jpg</t>
        </is>
      </c>
      <c r="B9176">
        <f>HYPERLINK("Объекты недвижимости, не соответствующие градостроительным нормам_00-022_Август/1d21f6b1-7512-4d2e-acd2-7f4f96135371.jpg","open")</f>
        <v/>
      </c>
      <c r="C9176" t="inlineStr">
        <is>
          <t>12e795ad-2aa7-49de-b2da-2c6aa35a4559</t>
        </is>
      </c>
      <c r="D9176" t="n">
        <v>55.6143</v>
      </c>
      <c r="E9176" t="n">
        <v>37.55007</v>
      </c>
      <c r="F9176" t="inlineStr"/>
      <c r="G9176" t="inlineStr"/>
      <c r="H9176" t="inlineStr"/>
    </row>
    <row r="9177">
      <c r="A9177" t="inlineStr">
        <is>
          <t>82ff4e22-4647-42a8-a4dd-b94c371e0530.jpg</t>
        </is>
      </c>
      <c r="B9177">
        <f>HYPERLINK("Объекты недвижимости, не соответствующие градостроительным нормам_00-022_Август/82ff4e22-4647-42a8-a4dd-b94c371e0530.jpg","open")</f>
        <v/>
      </c>
      <c r="C9177" t="inlineStr">
        <is>
          <t>9fb3d110-951f-48da-9d90-cfd7e1b5800d</t>
        </is>
      </c>
      <c r="D9177" t="n">
        <v>55.7061</v>
      </c>
      <c r="E9177" t="n">
        <v>37.50631</v>
      </c>
      <c r="F9177" t="inlineStr"/>
      <c r="G9177" t="inlineStr"/>
      <c r="H9177" t="inlineStr"/>
    </row>
    <row r="9178">
      <c r="A9178" t="inlineStr">
        <is>
          <t>a888cdd2-d5c9-43eb-b761-8331ee8f46c5.jpg</t>
        </is>
      </c>
      <c r="B9178">
        <f>HYPERLINK("Объекты недвижимости, не соответствующие градостроительным нормам_00-022_Август/a888cdd2-d5c9-43eb-b761-8331ee8f46c5.jpg","open")</f>
        <v/>
      </c>
      <c r="C9178" t="inlineStr">
        <is>
          <t>61936922-4d4b-458e-80ea-6d4c450aa1d5</t>
        </is>
      </c>
      <c r="D9178" t="n">
        <v>55.7061</v>
      </c>
      <c r="E9178" t="n">
        <v>37.50631</v>
      </c>
      <c r="F9178" t="inlineStr"/>
      <c r="G9178" t="inlineStr"/>
      <c r="H9178" t="inlineStr"/>
    </row>
    <row r="9179">
      <c r="A9179" t="inlineStr">
        <is>
          <t>8c9ca91d-0758-4f4b-a097-86eed88bf072.jpg</t>
        </is>
      </c>
      <c r="B9179">
        <f>HYPERLINK("Объекты недвижимости, не соответствующие градостроительным нормам_00-022_Август/8c9ca91d-0758-4f4b-a097-86eed88bf072.jpg","open")</f>
        <v/>
      </c>
      <c r="C9179" t="inlineStr">
        <is>
          <t>57aae8a4-582b-4309-8045-c8127a9f86ae</t>
        </is>
      </c>
      <c r="D9179" t="n">
        <v>55.78971</v>
      </c>
      <c r="E9179" t="n">
        <v>37.66433</v>
      </c>
      <c r="F9179" t="inlineStr"/>
      <c r="G9179" t="inlineStr"/>
      <c r="H9179" t="inlineStr"/>
    </row>
    <row r="9180">
      <c r="A9180" t="inlineStr">
        <is>
          <t>02846371-5c0a-405d-8511-282e48319679.jpg</t>
        </is>
      </c>
      <c r="B9180">
        <f>HYPERLINK("Объекты недвижимости, не соответствующие градостроительным нормам_00-022_Август/02846371-5c0a-405d-8511-282e48319679.jpg","open")</f>
        <v/>
      </c>
      <c r="C9180" t="inlineStr">
        <is>
          <t>789f6c51-64ee-4078-b7bd-443af8b8b68a</t>
        </is>
      </c>
      <c r="D9180" t="n">
        <v>55.87112</v>
      </c>
      <c r="E9180" t="n">
        <v>37.67962</v>
      </c>
      <c r="F9180" t="inlineStr"/>
      <c r="G9180" t="inlineStr"/>
      <c r="H9180" t="inlineStr"/>
    </row>
    <row r="9181">
      <c r="A9181" t="inlineStr">
        <is>
          <t>9757bac1-e0f0-449e-ac3b-13b07f7ce91a.jpg</t>
        </is>
      </c>
      <c r="B9181">
        <f>HYPERLINK("Объекты недвижимости, не соответствующие градостроительным нормам_00-022_Август/9757bac1-e0f0-449e-ac3b-13b07f7ce91a.jpg","open")</f>
        <v/>
      </c>
      <c r="C9181" t="inlineStr">
        <is>
          <t>2acfb2da-e3f6-464c-bd17-4b713522c142</t>
        </is>
      </c>
      <c r="D9181" t="n">
        <v>55.87113</v>
      </c>
      <c r="E9181" t="n">
        <v>37.6796</v>
      </c>
      <c r="F9181" t="inlineStr"/>
      <c r="G9181" t="inlineStr"/>
      <c r="H9181" t="inlineStr"/>
    </row>
    <row r="9182">
      <c r="A9182" t="inlineStr">
        <is>
          <t>85bfd6e2-434a-42b0-a14f-6a3e4e11f2bc.jpg</t>
        </is>
      </c>
      <c r="B9182">
        <f>HYPERLINK("Объекты недвижимости, не соответствующие градостроительным нормам_00-022_Август/85bfd6e2-434a-42b0-a14f-6a3e4e11f2bc.jpg","open")</f>
        <v/>
      </c>
      <c r="C9182" t="inlineStr">
        <is>
          <t>57aae8a4-582b-4309-8045-c8127a9f86ae</t>
        </is>
      </c>
      <c r="D9182" t="n">
        <v>55.78971</v>
      </c>
      <c r="E9182" t="n">
        <v>37.66433</v>
      </c>
      <c r="F9182" t="inlineStr"/>
      <c r="G9182" t="inlineStr"/>
      <c r="H9182" t="inlineStr"/>
    </row>
    <row r="9183">
      <c r="A9183" t="inlineStr">
        <is>
          <t>3b0b09a0-c009-4760-80d2-c71c1231fdb8.jpg</t>
        </is>
      </c>
      <c r="B9183">
        <f>HYPERLINK("Объекты недвижимости, не соответствующие градостроительным нормам_00-022_Август/3b0b09a0-c009-4760-80d2-c71c1231fdb8.jpg","open")</f>
        <v/>
      </c>
      <c r="C9183" t="inlineStr">
        <is>
          <t>cbf95b01-f708-45a3-9ec0-3603469b538e</t>
        </is>
      </c>
      <c r="D9183" t="n">
        <v>55.76891</v>
      </c>
      <c r="E9183" t="n">
        <v>37.64767</v>
      </c>
      <c r="F9183" t="inlineStr"/>
      <c r="G9183" t="inlineStr"/>
      <c r="H9183" t="inlineStr"/>
    </row>
    <row r="9184">
      <c r="A9184" t="inlineStr">
        <is>
          <t>abc426da-2669-4746-aa8b-898e27056e77.jpg</t>
        </is>
      </c>
      <c r="B9184">
        <f>HYPERLINK("Объекты недвижимости, не соответствующие градостроительным нормам_00-022_Август/abc426da-2669-4746-aa8b-898e27056e77.jpg","open")</f>
        <v/>
      </c>
      <c r="C9184" t="inlineStr">
        <is>
          <t>31a713a9-b910-424b-b847-e0eaa2f70c70</t>
        </is>
      </c>
      <c r="D9184" t="n">
        <v>55.73545</v>
      </c>
      <c r="E9184" t="n">
        <v>37.70454</v>
      </c>
      <c r="F9184" t="inlineStr"/>
      <c r="G9184" t="inlineStr"/>
      <c r="H9184" t="inlineStr"/>
    </row>
    <row r="9185">
      <c r="A9185" t="inlineStr">
        <is>
          <t>f766f551-96d6-49a6-8cf7-c1eeb994ede7.jpg</t>
        </is>
      </c>
      <c r="B9185">
        <f>HYPERLINK("Объекты недвижимости, не соответствующие градостроительным нормам_00-022_Август/f766f551-96d6-49a6-8cf7-c1eeb994ede7.jpg","open")</f>
        <v/>
      </c>
      <c r="C9185" t="inlineStr">
        <is>
          <t>cbf95b01-f708-45a3-9ec0-3603469b538e</t>
        </is>
      </c>
      <c r="D9185" t="n">
        <v>55.70327</v>
      </c>
      <c r="E9185" t="n">
        <v>37.53852</v>
      </c>
      <c r="F9185" t="inlineStr"/>
      <c r="G9185" t="inlineStr"/>
      <c r="H9185" t="inlineStr"/>
    </row>
    <row r="9186">
      <c r="A9186" t="inlineStr">
        <is>
          <t>5173e757-5800-4309-a4f7-7b7f00b06127.jpg</t>
        </is>
      </c>
      <c r="B9186">
        <f>HYPERLINK("Объекты недвижимости, не соответствующие градостроительным нормам_00-022_Август/5173e757-5800-4309-a4f7-7b7f00b06127.jpg","open")</f>
        <v/>
      </c>
      <c r="C9186" t="inlineStr">
        <is>
          <t>12e795ad-2aa7-49de-b2da-2c6aa35a4559</t>
        </is>
      </c>
      <c r="D9186" t="n">
        <v>55.61388</v>
      </c>
      <c r="E9186" t="n">
        <v>37.54013</v>
      </c>
      <c r="F9186" t="inlineStr"/>
      <c r="G9186" t="inlineStr"/>
      <c r="H9186" t="inlineStr"/>
    </row>
    <row r="9187">
      <c r="A9187" t="inlineStr">
        <is>
          <t>5f1a3a0c-d528-48b3-8ff7-014831befc28.jpg</t>
        </is>
      </c>
      <c r="B9187">
        <f>HYPERLINK("Объекты недвижимости, не соответствующие градостроительным нормам_00-022_Август/5f1a3a0c-d528-48b3-8ff7-014831befc28.jpg","open")</f>
        <v/>
      </c>
      <c r="C9187" t="inlineStr">
        <is>
          <t>31a713a9-b910-424b-b847-e0eaa2f70c70</t>
        </is>
      </c>
      <c r="D9187" t="n">
        <v>55.76565</v>
      </c>
      <c r="E9187" t="n">
        <v>37.70041</v>
      </c>
      <c r="F9187" t="inlineStr"/>
      <c r="G9187" t="inlineStr"/>
      <c r="H9187" t="inlineStr"/>
    </row>
    <row r="9188">
      <c r="A9188" t="inlineStr">
        <is>
          <t>707a9197-7d74-460b-8b38-162e03946c47.jpg</t>
        </is>
      </c>
      <c r="B9188">
        <f>HYPERLINK("Объекты недвижимости, не соответствующие градостроительным нормам_00-022_Август/707a9197-7d74-460b-8b38-162e03946c47.jpg","open")</f>
        <v/>
      </c>
      <c r="C9188" t="inlineStr">
        <is>
          <t>789f6c51-64ee-4078-b7bd-443af8b8b68a</t>
        </is>
      </c>
      <c r="D9188" t="n">
        <v>55.87732</v>
      </c>
      <c r="E9188" t="n">
        <v>37.68225</v>
      </c>
      <c r="F9188" t="inlineStr"/>
      <c r="G9188" t="inlineStr"/>
      <c r="H9188" t="inlineStr"/>
    </row>
    <row r="9189">
      <c r="A9189" t="inlineStr">
        <is>
          <t>9c68f9ce-62dc-46e4-807e-5cbc22640a9a.jpg</t>
        </is>
      </c>
      <c r="B9189">
        <f>HYPERLINK("Объекты недвижимости, не соответствующие градостроительным нормам_00-022_Август/9c68f9ce-62dc-46e4-807e-5cbc22640a9a.jpg","open")</f>
        <v/>
      </c>
      <c r="C9189" t="inlineStr">
        <is>
          <t>2acfb2da-e3f6-464c-bd17-4b713522c142</t>
        </is>
      </c>
      <c r="D9189" t="n">
        <v>55.87733</v>
      </c>
      <c r="E9189" t="n">
        <v>37.68229</v>
      </c>
      <c r="F9189" t="inlineStr"/>
      <c r="G9189" t="inlineStr"/>
      <c r="H9189" t="inlineStr"/>
    </row>
    <row r="9190">
      <c r="A9190" t="inlineStr">
        <is>
          <t>b838d84a-7117-437a-88c4-4f65b7a0212d.jpg</t>
        </is>
      </c>
      <c r="B9190">
        <f>HYPERLINK("Объекты недвижимости, не соответствующие градостроительным нормам_00-022_Август/b838d84a-7117-437a-88c4-4f65b7a0212d.jpg","open")</f>
        <v/>
      </c>
      <c r="C9190" t="inlineStr">
        <is>
          <t>fb9a37cc-57a6-447c-98bb-0b299f09c809</t>
        </is>
      </c>
      <c r="D9190" t="n">
        <v>55.75896</v>
      </c>
      <c r="E9190" t="n">
        <v>37.52538</v>
      </c>
      <c r="F9190" t="inlineStr"/>
      <c r="G9190" t="inlineStr"/>
      <c r="H9190" t="inlineStr"/>
    </row>
    <row r="9191">
      <c r="A9191" t="inlineStr">
        <is>
          <t>4276dd59-5d1c-4eb2-8114-44827f816c13.jpg</t>
        </is>
      </c>
      <c r="B9191">
        <f>HYPERLINK("Объекты недвижимости, не соответствующие градостроительным нормам_00-022_Август/4276dd59-5d1c-4eb2-8114-44827f816c13.jpg","open")</f>
        <v/>
      </c>
      <c r="C9191" t="inlineStr">
        <is>
          <t>ffd931da-542f-43e9-979f-5552b17fe3dc</t>
        </is>
      </c>
      <c r="D9191" t="n">
        <v>55.74955</v>
      </c>
      <c r="E9191" t="n">
        <v>37.82217</v>
      </c>
      <c r="F9191" t="inlineStr"/>
      <c r="G9191" t="inlineStr"/>
      <c r="H9191" t="inlineStr"/>
    </row>
    <row r="9192">
      <c r="A9192" t="inlineStr">
        <is>
          <t>05848b8e-c021-4957-ad0e-7f191abc5f20.jpg</t>
        </is>
      </c>
      <c r="B9192">
        <f>HYPERLINK("Объекты недвижимости, не соответствующие градостроительным нормам_00-022_Август/05848b8e-c021-4957-ad0e-7f191abc5f20.jpg","open")</f>
        <v/>
      </c>
      <c r="C9192" t="inlineStr">
        <is>
          <t>ed2bf0f1-3a66-4913-896e-4420a9796c0b</t>
        </is>
      </c>
      <c r="D9192" t="n">
        <v>55.60377</v>
      </c>
      <c r="E9192" t="n">
        <v>37.49823</v>
      </c>
      <c r="F9192" t="inlineStr"/>
      <c r="G9192" t="inlineStr"/>
      <c r="H9192" t="inlineStr"/>
    </row>
    <row r="9193">
      <c r="A9193" t="inlineStr">
        <is>
          <t>4b87aa54-187d-46d8-9207-e3fdec8b69bf.jpg</t>
        </is>
      </c>
      <c r="B9193">
        <f>HYPERLINK("Объекты недвижимости, не соответствующие градостроительным нормам_00-022_Август/4b87aa54-187d-46d8-9207-e3fdec8b69bf.jpg","open")</f>
        <v/>
      </c>
      <c r="C9193" t="inlineStr">
        <is>
          <t>b23a39fd-838c-435a-bacd-b4d6bb842c62</t>
        </is>
      </c>
      <c r="D9193" t="n">
        <v>55.76459</v>
      </c>
      <c r="E9193" t="n">
        <v>37.52096</v>
      </c>
      <c r="F9193" t="inlineStr"/>
      <c r="G9193" t="inlineStr"/>
      <c r="H9193" t="inlineStr"/>
    </row>
    <row r="9194">
      <c r="A9194" t="inlineStr">
        <is>
          <t>df9ea3a1-f932-4dcf-bac3-d5438f1600a5.jpg</t>
        </is>
      </c>
      <c r="B9194">
        <f>HYPERLINK("Объекты недвижимости, не соответствующие градостроительным нормам_00-022_Август/df9ea3a1-f932-4dcf-bac3-d5438f1600a5.jpg","open")</f>
        <v/>
      </c>
      <c r="C9194" t="inlineStr">
        <is>
          <t>93848fc8-17e7-4748-9ebc-c7e379e11d2f</t>
        </is>
      </c>
      <c r="D9194" t="n">
        <v>55.86924</v>
      </c>
      <c r="E9194" t="n">
        <v>37.59972</v>
      </c>
      <c r="F9194" t="inlineStr"/>
      <c r="G9194" t="inlineStr"/>
      <c r="H9194" t="inlineStr"/>
    </row>
    <row r="9195">
      <c r="A9195" t="inlineStr">
        <is>
          <t>c3f56324-951d-417c-94de-438a15c2fbcb.jpg</t>
        </is>
      </c>
      <c r="B9195">
        <f>HYPERLINK("Объекты недвижимости, не соответствующие градостроительным нормам_00-022_Август/c3f56324-951d-417c-94de-438a15c2fbcb.jpg","open")</f>
        <v/>
      </c>
      <c r="C9195" t="inlineStr">
        <is>
          <t>fb9a37cc-57a6-447c-98bb-0b299f09c809</t>
        </is>
      </c>
      <c r="D9195" t="n">
        <v>55.76566</v>
      </c>
      <c r="E9195" t="n">
        <v>37.5344</v>
      </c>
      <c r="F9195" t="inlineStr"/>
      <c r="G9195" t="inlineStr"/>
      <c r="H9195" t="inlineStr"/>
    </row>
    <row r="9196">
      <c r="A9196" t="inlineStr">
        <is>
          <t>fdf7e3ae-ee00-42de-9e1e-3b0df00f0abc.jpg</t>
        </is>
      </c>
      <c r="B9196">
        <f>HYPERLINK("Объекты недвижимости, не соответствующие градостроительным нормам_00-022_Август/fdf7e3ae-ee00-42de-9e1e-3b0df00f0abc.jpg","open")</f>
        <v/>
      </c>
      <c r="C9196" t="inlineStr">
        <is>
          <t>036c664f-5408-4fd0-b479-342c00468eeb</t>
        </is>
      </c>
      <c r="D9196" t="n">
        <v>55.70347</v>
      </c>
      <c r="E9196" t="n">
        <v>37.64856</v>
      </c>
      <c r="F9196" t="inlineStr"/>
      <c r="G9196" t="inlineStr"/>
      <c r="H9196" t="inlineStr"/>
    </row>
    <row r="9197">
      <c r="A9197" t="inlineStr">
        <is>
          <t>c505ff24-c2dc-4aeb-b933-c36fbade2f06.jpg</t>
        </is>
      </c>
      <c r="B9197">
        <f>HYPERLINK("Объекты недвижимости, не соответствующие градостроительным нормам_00-022_Август/c505ff24-c2dc-4aeb-b933-c36fbade2f06.jpg","open")</f>
        <v/>
      </c>
      <c r="C9197" t="inlineStr">
        <is>
          <t>12e795ad-2aa7-49de-b2da-2c6aa35a4559</t>
        </is>
      </c>
      <c r="D9197" t="n">
        <v>55.6185</v>
      </c>
      <c r="E9197" t="n">
        <v>37.5465</v>
      </c>
      <c r="F9197" t="inlineStr"/>
      <c r="G9197" t="inlineStr"/>
      <c r="H9197" t="inlineStr"/>
    </row>
    <row r="9198">
      <c r="A9198" t="inlineStr">
        <is>
          <t>41ea5e67-eadd-4345-8ff3-f71878b6e63b.jpg</t>
        </is>
      </c>
      <c r="B9198">
        <f>HYPERLINK("Объекты недвижимости, не соответствующие градостроительным нормам_00-022_Август/41ea5e67-eadd-4345-8ff3-f71878b6e63b.jpg","open")</f>
        <v/>
      </c>
      <c r="C9198" t="inlineStr">
        <is>
          <t>e85aff3b-73e8-4856-827e-477ccc0aea77</t>
        </is>
      </c>
      <c r="D9198" t="n">
        <v>55.85238</v>
      </c>
      <c r="E9198" t="n">
        <v>37.64685</v>
      </c>
      <c r="F9198" t="inlineStr"/>
      <c r="G9198" t="inlineStr"/>
      <c r="H9198" t="inlineStr"/>
    </row>
    <row r="9199">
      <c r="A9199" t="inlineStr">
        <is>
          <t>9de81542-fe8a-4a68-9152-143f00798929.jpg</t>
        </is>
      </c>
      <c r="B9199">
        <f>HYPERLINK("Объекты недвижимости, не соответствующие градостроительным нормам_00-022_Август/9de81542-fe8a-4a68-9152-143f00798929.jpg","open")</f>
        <v/>
      </c>
      <c r="C9199" t="inlineStr">
        <is>
          <t>ad64e6b9-1ed5-44d7-a101-4945a1f9dec6</t>
        </is>
      </c>
      <c r="D9199" t="n">
        <v>55.61819</v>
      </c>
      <c r="E9199" t="n">
        <v>37.54442</v>
      </c>
      <c r="F9199" t="inlineStr"/>
      <c r="G9199" t="inlineStr"/>
      <c r="H9199" t="inlineStr"/>
    </row>
    <row r="9200">
      <c r="A9200" t="inlineStr">
        <is>
          <t>bcf0d597-7f23-49a9-be88-ba812d7cf90f.jpg</t>
        </is>
      </c>
      <c r="B9200">
        <f>HYPERLINK("Объекты недвижимости, не соответствующие градостроительным нормам_00-022_Август/bcf0d597-7f23-49a9-be88-ba812d7cf90f.jpg","open")</f>
        <v/>
      </c>
      <c r="C9200" t="inlineStr">
        <is>
          <t>12e795ad-2aa7-49de-b2da-2c6aa35a4559</t>
        </is>
      </c>
      <c r="D9200" t="n">
        <v>55.6182</v>
      </c>
      <c r="E9200" t="n">
        <v>37.54437</v>
      </c>
      <c r="F9200" t="inlineStr"/>
      <c r="G9200" t="inlineStr"/>
      <c r="H9200" t="inlineStr"/>
    </row>
    <row r="9201">
      <c r="A9201" t="inlineStr">
        <is>
          <t>7173f9bc-1583-4663-9b2d-f143933105f3.jpg</t>
        </is>
      </c>
      <c r="B9201">
        <f>HYPERLINK("Объекты недвижимости, не соответствующие градостроительным нормам_00-022_Август/7173f9bc-1583-4663-9b2d-f143933105f3.jpg","open")</f>
        <v/>
      </c>
      <c r="C9201" t="inlineStr">
        <is>
          <t>1a55986c-2c3f-40c0-b3d1-014dce77832e</t>
        </is>
      </c>
      <c r="D9201" t="n">
        <v>55.59973</v>
      </c>
      <c r="E9201" t="n">
        <v>37.54844</v>
      </c>
      <c r="F9201" t="inlineStr"/>
      <c r="G9201" t="inlineStr"/>
      <c r="H9201" t="inlineStr"/>
    </row>
    <row r="9202">
      <c r="A9202" t="inlineStr">
        <is>
          <t>512203fd-c822-4b7c-bc5c-3061e09bddb0.jpg</t>
        </is>
      </c>
      <c r="B9202">
        <f>HYPERLINK("Объекты недвижимости, не соответствующие градостроительным нормам_00-022_Август/512203fd-c822-4b7c-bc5c-3061e09bddb0.jpg","open")</f>
        <v/>
      </c>
      <c r="C9202" t="inlineStr">
        <is>
          <t>e85aff3b-73e8-4856-827e-477ccc0aea77</t>
        </is>
      </c>
      <c r="D9202" t="n">
        <v>55.98217</v>
      </c>
      <c r="E9202" t="n">
        <v>37.4062</v>
      </c>
      <c r="F9202" t="inlineStr"/>
      <c r="G9202" t="inlineStr"/>
      <c r="H9202" t="inlineStr"/>
    </row>
    <row r="9203">
      <c r="A9203" t="inlineStr">
        <is>
          <t>acd1eb5a-9a55-4d1b-b737-b020f65d941d.jpg</t>
        </is>
      </c>
      <c r="B9203">
        <f>HYPERLINK("Объекты недвижимости, не соответствующие градостроительным нормам_00-022_Август/acd1eb5a-9a55-4d1b-b737-b020f65d941d.jpg","open")</f>
        <v/>
      </c>
      <c r="C9203" t="inlineStr">
        <is>
          <t>57aae8a4-582b-4309-8045-c8127a9f86ae</t>
        </is>
      </c>
      <c r="D9203" t="n">
        <v>55.79044</v>
      </c>
      <c r="E9203" t="n">
        <v>37.68119</v>
      </c>
      <c r="F9203" t="inlineStr"/>
      <c r="G9203" t="inlineStr"/>
      <c r="H9203" t="inlineStr"/>
    </row>
    <row r="9204">
      <c r="A9204" t="inlineStr">
        <is>
          <t>6b2b3108-d4f6-439a-957f-f279a34d3e90.jpg</t>
        </is>
      </c>
      <c r="B9204">
        <f>HYPERLINK("Объекты недвижимости, не соответствующие градостроительным нормам_00-022_Август/6b2b3108-d4f6-439a-957f-f279a34d3e90.jpg","open")</f>
        <v/>
      </c>
      <c r="C9204" t="inlineStr">
        <is>
          <t>acedacc2-0d8b-4fc1-9622-25621a89d071</t>
        </is>
      </c>
      <c r="D9204" t="n">
        <v>55.79045</v>
      </c>
      <c r="E9204" t="n">
        <v>37.68114</v>
      </c>
      <c r="F9204" t="inlineStr"/>
      <c r="G9204" t="inlineStr"/>
      <c r="H9204" t="inlineStr"/>
    </row>
    <row r="9205">
      <c r="A9205" t="inlineStr">
        <is>
          <t>122dacdd-7f95-4c80-a336-8560bcb31b3b.jpg</t>
        </is>
      </c>
      <c r="B9205">
        <f>HYPERLINK("Объекты недвижимости, не соответствующие градостроительным нормам_00-022_Август/122dacdd-7f95-4c80-a336-8560bcb31b3b.jpg","open")</f>
        <v/>
      </c>
      <c r="C9205" t="inlineStr">
        <is>
          <t>93848fc8-17e7-4748-9ebc-c7e379e11d2f</t>
        </is>
      </c>
      <c r="D9205" t="n">
        <v>55.85842</v>
      </c>
      <c r="E9205" t="n">
        <v>37.59787</v>
      </c>
      <c r="F9205" t="inlineStr"/>
      <c r="G9205" t="inlineStr"/>
      <c r="H9205" t="inlineStr"/>
    </row>
    <row r="9206">
      <c r="A9206" t="inlineStr">
        <is>
          <t>e823b254-1d46-4dbe-8645-f5375fb3dc6f.jpg</t>
        </is>
      </c>
      <c r="B9206">
        <f>HYPERLINK("Объекты недвижимости, не соответствующие градостроительным нормам_00-022_Август/e823b254-1d46-4dbe-8645-f5375fb3dc6f.jpg","open")</f>
        <v/>
      </c>
      <c r="C9206" t="inlineStr">
        <is>
          <t>12e795ad-2aa7-49de-b2da-2c6aa35a4559</t>
        </is>
      </c>
      <c r="D9206" t="n">
        <v>55.6191</v>
      </c>
      <c r="E9206" t="n">
        <v>37.54425</v>
      </c>
      <c r="F9206" t="inlineStr"/>
      <c r="G9206" t="inlineStr"/>
      <c r="H9206" t="inlineStr"/>
    </row>
    <row r="9207">
      <c r="A9207" t="inlineStr">
        <is>
          <t>75facd4c-5c72-4e54-94c8-81843b306631.jpg</t>
        </is>
      </c>
      <c r="B9207">
        <f>HYPERLINK("Объекты недвижимости, не соответствующие градостроительным нормам_00-022_Август/75facd4c-5c72-4e54-94c8-81843b306631.jpg","open")</f>
        <v/>
      </c>
      <c r="C9207" t="inlineStr">
        <is>
          <t>31a713a9-b910-424b-b847-e0eaa2f70c70</t>
        </is>
      </c>
      <c r="D9207" t="n">
        <v>55.77325</v>
      </c>
      <c r="E9207" t="n">
        <v>37.68677</v>
      </c>
      <c r="F9207" t="inlineStr"/>
      <c r="G9207" t="inlineStr"/>
      <c r="H9207" t="inlineStr"/>
    </row>
    <row r="9208">
      <c r="A9208" t="inlineStr">
        <is>
          <t>16645dad-5fd6-45b6-93c4-bff3db407122.jpg</t>
        </is>
      </c>
      <c r="B9208">
        <f>HYPERLINK("Объекты недвижимости, не соответствующие градостроительным нормам_00-022_Август/16645dad-5fd6-45b6-93c4-bff3db407122.jpg","open")</f>
        <v/>
      </c>
      <c r="C9208" t="inlineStr">
        <is>
          <t>12e795ad-2aa7-49de-b2da-2c6aa35a4559</t>
        </is>
      </c>
      <c r="D9208" t="n">
        <v>55.61967</v>
      </c>
      <c r="E9208" t="n">
        <v>37.54173</v>
      </c>
      <c r="F9208" t="inlineStr"/>
      <c r="G9208" t="inlineStr"/>
      <c r="H9208" t="inlineStr"/>
    </row>
    <row r="9209">
      <c r="A9209" t="inlineStr">
        <is>
          <t>de054de9-3492-410f-86cd-f3454b9b88c1.jpg</t>
        </is>
      </c>
      <c r="B9209">
        <f>HYPERLINK("Объекты недвижимости, не соответствующие градостроительным нормам_00-022_Август/de054de9-3492-410f-86cd-f3454b9b88c1.jpg","open")</f>
        <v/>
      </c>
      <c r="C9209" t="inlineStr">
        <is>
          <t>ad64e6b9-1ed5-44d7-a101-4945a1f9dec6</t>
        </is>
      </c>
      <c r="D9209" t="n">
        <v>55.61967</v>
      </c>
      <c r="E9209" t="n">
        <v>37.54173</v>
      </c>
      <c r="F9209" t="inlineStr"/>
      <c r="G9209" t="inlineStr"/>
      <c r="H9209" t="inlineStr"/>
    </row>
    <row r="9210">
      <c r="A9210" t="inlineStr">
        <is>
          <t>9361ba14-dd6c-4ffa-8cfa-59d2b64be52a.jpg</t>
        </is>
      </c>
      <c r="B9210">
        <f>HYPERLINK("Объекты недвижимости, не соответствующие градостроительным нормам_00-022_Август/9361ba14-dd6c-4ffa-8cfa-59d2b64be52a.jpg","open")</f>
        <v/>
      </c>
      <c r="C9210" t="inlineStr">
        <is>
          <t>789f6c51-64ee-4078-b7bd-443af8b8b68a</t>
        </is>
      </c>
      <c r="D9210" t="n">
        <v>55.87923</v>
      </c>
      <c r="E9210" t="n">
        <v>37.68674</v>
      </c>
      <c r="F9210" t="inlineStr"/>
      <c r="G9210" t="inlineStr"/>
      <c r="H9210" t="inlineStr"/>
    </row>
    <row r="9211">
      <c r="A9211" t="inlineStr">
        <is>
          <t>1bd18a62-9cd1-4b0c-9cb0-8b919bbcb591.jpg</t>
        </is>
      </c>
      <c r="B9211">
        <f>HYPERLINK("Объекты недвижимости, не соответствующие градостроительным нормам_00-022_Август/1bd18a62-9cd1-4b0c-9cb0-8b919bbcb591.jpg","open")</f>
        <v/>
      </c>
      <c r="C9211" t="inlineStr">
        <is>
          <t>9fb3d110-951f-48da-9d90-cfd7e1b5800d</t>
        </is>
      </c>
      <c r="D9211" t="n">
        <v>55.70583</v>
      </c>
      <c r="E9211" t="n">
        <v>37.50996</v>
      </c>
      <c r="F9211" t="inlineStr"/>
      <c r="G9211" t="inlineStr"/>
      <c r="H9211" t="inlineStr"/>
    </row>
    <row r="9212">
      <c r="A9212" t="inlineStr">
        <is>
          <t>d7f3ab13-b206-469e-8144-d143f69d3d7f.jpg</t>
        </is>
      </c>
      <c r="B9212">
        <f>HYPERLINK("Объекты недвижимости, не соответствующие градостроительным нормам_00-022_Август/d7f3ab13-b206-469e-8144-d143f69d3d7f.jpg","open")</f>
        <v/>
      </c>
      <c r="C9212" t="inlineStr">
        <is>
          <t>789f6c51-64ee-4078-b7bd-443af8b8b68a</t>
        </is>
      </c>
      <c r="D9212" t="n">
        <v>55.87922</v>
      </c>
      <c r="E9212" t="n">
        <v>37.68648</v>
      </c>
      <c r="F9212" t="inlineStr"/>
      <c r="G9212" t="inlineStr"/>
      <c r="H9212" t="inlineStr"/>
    </row>
    <row r="9213">
      <c r="A9213" t="inlineStr">
        <is>
          <t>b197592c-ec8f-4b15-b0b3-ff1ee7c0ad47.jpg</t>
        </is>
      </c>
      <c r="B9213">
        <f>HYPERLINK("Объекты недвижимости, не соответствующие градостроительным нормам_00-022_Август/b197592c-ec8f-4b15-b0b3-ff1ee7c0ad47.jpg","open")</f>
        <v/>
      </c>
      <c r="C9213" t="inlineStr">
        <is>
          <t>8996eb30-6497-4318-8a0e-b95314b8172e</t>
        </is>
      </c>
      <c r="D9213" t="n">
        <v>55.71217</v>
      </c>
      <c r="E9213" t="n">
        <v>37.78558</v>
      </c>
      <c r="F9213" t="inlineStr"/>
      <c r="G9213" t="inlineStr"/>
      <c r="H9213" t="inlineStr"/>
    </row>
    <row r="9214">
      <c r="A9214" t="inlineStr">
        <is>
          <t>ba2ca6e8-d9a5-43b1-a509-98fe4a7faa93.jpg</t>
        </is>
      </c>
      <c r="B9214">
        <f>HYPERLINK("Объекты недвижимости, не соответствующие градостроительным нормам_00-022_Август/ba2ca6e8-d9a5-43b1-a509-98fe4a7faa93.jpg","open")</f>
        <v/>
      </c>
      <c r="C9214" t="inlineStr">
        <is>
          <t>48b533d5-d106-4175-ac9b-d5ce8d90cccf</t>
        </is>
      </c>
      <c r="D9214" t="n">
        <v>55.71219</v>
      </c>
      <c r="E9214" t="n">
        <v>37.78543</v>
      </c>
      <c r="F9214" t="inlineStr"/>
      <c r="G9214" t="inlineStr"/>
      <c r="H9214" t="inlineStr"/>
    </row>
    <row r="9215">
      <c r="A9215" t="inlineStr">
        <is>
          <t>60c8930a-358e-4940-b815-51a628fb0053.jpg</t>
        </is>
      </c>
      <c r="B9215">
        <f>HYPERLINK("Объекты недвижимости, не соответствующие градостроительным нормам_00-022_Август/60c8930a-358e-4940-b815-51a628fb0053.jpg","open")</f>
        <v/>
      </c>
      <c r="C9215" t="inlineStr">
        <is>
          <t>ad64e6b9-1ed5-44d7-a101-4945a1f9dec6</t>
        </is>
      </c>
      <c r="D9215" t="n">
        <v>55.61724</v>
      </c>
      <c r="E9215" t="n">
        <v>37.53932</v>
      </c>
      <c r="F9215" t="inlineStr"/>
      <c r="G9215" t="inlineStr"/>
      <c r="H9215" t="inlineStr"/>
    </row>
    <row r="9216">
      <c r="A9216" t="inlineStr">
        <is>
          <t>95b0fb85-203a-4327-a22a-d0be8c07e053.jpg</t>
        </is>
      </c>
      <c r="B9216">
        <f>HYPERLINK("Объекты недвижимости, не соответствующие градостроительным нормам_00-022_Август/95b0fb85-203a-4327-a22a-d0be8c07e053.jpg","open")</f>
        <v/>
      </c>
      <c r="C9216" t="inlineStr">
        <is>
          <t>b0429a31-0c70-4b9f-8ea5-73929d82f89e</t>
        </is>
      </c>
      <c r="D9216" t="n">
        <v>55.6215</v>
      </c>
      <c r="E9216" t="n">
        <v>37.7071</v>
      </c>
      <c r="F9216" t="inlineStr"/>
      <c r="G9216" t="inlineStr"/>
      <c r="H9216" t="inlineStr"/>
    </row>
    <row r="9217">
      <c r="A9217" t="inlineStr">
        <is>
          <t>6d5e6260-edd8-45f0-b6b9-61d5dcce7019.jpg</t>
        </is>
      </c>
      <c r="B9217">
        <f>HYPERLINK("Объекты недвижимости, не соответствующие градостроительным нормам_00-022_Август/6d5e6260-edd8-45f0-b6b9-61d5dcce7019.jpg","open")</f>
        <v/>
      </c>
      <c r="C9217" t="inlineStr">
        <is>
          <t>9c930d0e-e445-452d-a046-325646b21ab7</t>
        </is>
      </c>
      <c r="D9217" t="n">
        <v>55.48697</v>
      </c>
      <c r="E9217" t="n">
        <v>37.32049</v>
      </c>
      <c r="F9217" t="inlineStr"/>
      <c r="G9217" t="inlineStr"/>
      <c r="H9217" t="inlineStr"/>
    </row>
    <row r="9218">
      <c r="A9218" t="inlineStr">
        <is>
          <t>a087aba5-d973-4fe2-b9aa-f8ce2d321a39.jpg</t>
        </is>
      </c>
      <c r="B9218">
        <f>HYPERLINK("Объекты недвижимости, не соответствующие градостроительным нормам_00-022_Август/a087aba5-d973-4fe2-b9aa-f8ce2d321a39.jpg","open")</f>
        <v/>
      </c>
      <c r="C9218" t="inlineStr">
        <is>
          <t>dd48f742-b338-42e2-bbaf-b3a9701b437c</t>
        </is>
      </c>
      <c r="D9218" t="n">
        <v>55.48697</v>
      </c>
      <c r="E9218" t="n">
        <v>37.32049</v>
      </c>
      <c r="F9218" t="inlineStr"/>
      <c r="G9218" t="inlineStr"/>
      <c r="H9218" t="inlineStr"/>
    </row>
    <row r="9219">
      <c r="A9219" t="inlineStr">
        <is>
          <t>3e0c9d01-73a5-46fe-8601-af23a769ef45.jpg</t>
        </is>
      </c>
      <c r="B9219">
        <f>HYPERLINK("Объекты недвижимости, не соответствующие градостроительным нормам_00-022_Август/3e0c9d01-73a5-46fe-8601-af23a769ef45.jpg","open")</f>
        <v/>
      </c>
      <c r="C9219" t="inlineStr">
        <is>
          <t>b0429a31-0c70-4b9f-8ea5-73929d82f89e</t>
        </is>
      </c>
      <c r="D9219" t="n">
        <v>55.62078</v>
      </c>
      <c r="E9219" t="n">
        <v>37.70766</v>
      </c>
      <c r="F9219" t="inlineStr"/>
      <c r="G9219" t="inlineStr"/>
      <c r="H9219" t="inlineStr"/>
    </row>
    <row r="9220">
      <c r="A9220" t="inlineStr">
        <is>
          <t>a8c48abe-d4d3-4ab9-b234-094f26bd3ed4.jpg</t>
        </is>
      </c>
      <c r="B9220">
        <f>HYPERLINK("Объекты недвижимости, не соответствующие градостроительным нормам_00-022_Август/a8c48abe-d4d3-4ab9-b234-094f26bd3ed4.jpg","open")</f>
        <v/>
      </c>
      <c r="C9220" t="inlineStr">
        <is>
          <t>57aae8a4-582b-4309-8045-c8127a9f86ae</t>
        </is>
      </c>
      <c r="D9220" t="n">
        <v>55.79735</v>
      </c>
      <c r="E9220" t="n">
        <v>37.68919</v>
      </c>
      <c r="F9220" t="inlineStr"/>
      <c r="G9220" t="inlineStr"/>
      <c r="H9220" t="inlineStr"/>
    </row>
    <row r="9221">
      <c r="A9221" t="inlineStr">
        <is>
          <t>8340f41a-58c1-4bf4-95b9-35ec99416f58.jpg</t>
        </is>
      </c>
      <c r="B9221">
        <f>HYPERLINK("Объекты недвижимости, не соответствующие градостроительным нормам_00-022_Август/8340f41a-58c1-4bf4-95b9-35ec99416f58.jpg","open")</f>
        <v/>
      </c>
      <c r="C9221" t="inlineStr">
        <is>
          <t>93848fc8-17e7-4748-9ebc-c7e379e11d2f</t>
        </is>
      </c>
      <c r="D9221" t="n">
        <v>55.85444</v>
      </c>
      <c r="E9221" t="n">
        <v>37.60843</v>
      </c>
      <c r="F9221" t="inlineStr"/>
      <c r="G9221" t="inlineStr"/>
      <c r="H9221" t="inlineStr"/>
    </row>
    <row r="9222">
      <c r="A9222" t="inlineStr">
        <is>
          <t>4ca77889-560b-4cea-ae71-d1ac5d1c8e57.jpg</t>
        </is>
      </c>
      <c r="B9222">
        <f>HYPERLINK("Объекты недвижимости, не соответствующие градостроительным нормам_00-022_Август/4ca77889-560b-4cea-ae71-d1ac5d1c8e57.jpg","open")</f>
        <v/>
      </c>
      <c r="C9222" t="inlineStr">
        <is>
          <t>93848fc8-17e7-4748-9ebc-c7e379e11d2f</t>
        </is>
      </c>
      <c r="D9222" t="n">
        <v>55.8522</v>
      </c>
      <c r="E9222" t="n">
        <v>37.59586</v>
      </c>
      <c r="F9222" t="inlineStr"/>
      <c r="G9222" t="inlineStr"/>
      <c r="H9222" t="inlineStr"/>
    </row>
    <row r="9223">
      <c r="A9223" t="inlineStr">
        <is>
          <t>490eeaab-2eec-4930-b720-c014e77df1e7.jpg</t>
        </is>
      </c>
      <c r="B9223">
        <f>HYPERLINK("Объекты недвижимости, не соответствующие градостроительным нормам_00-022_Август/490eeaab-2eec-4930-b720-c014e77df1e7.jpg","open")</f>
        <v/>
      </c>
      <c r="C9223" t="inlineStr">
        <is>
          <t>9fb3d110-951f-48da-9d90-cfd7e1b5800d</t>
        </is>
      </c>
      <c r="D9223" t="n">
        <v>55.70403</v>
      </c>
      <c r="E9223" t="n">
        <v>37.49566</v>
      </c>
      <c r="F9223" t="inlineStr"/>
      <c r="G9223" t="inlineStr"/>
      <c r="H9223" t="inlineStr"/>
    </row>
    <row r="9224">
      <c r="A9224" t="inlineStr">
        <is>
          <t>ca39a725-f998-4c1f-bb56-f915ac165361.jpg</t>
        </is>
      </c>
      <c r="B9224">
        <f>HYPERLINK("Объекты недвижимости, не соответствующие градостроительным нормам_00-022_Август/ca39a725-f998-4c1f-bb56-f915ac165361.jpg","open")</f>
        <v/>
      </c>
      <c r="C9224" t="inlineStr">
        <is>
          <t>e85aff3b-73e8-4856-827e-477ccc0aea77</t>
        </is>
      </c>
      <c r="D9224" t="n">
        <v>55.96894</v>
      </c>
      <c r="E9224" t="n">
        <v>37.43036</v>
      </c>
      <c r="F9224" t="inlineStr"/>
      <c r="G9224" t="inlineStr"/>
      <c r="H9224" t="inlineStr"/>
    </row>
    <row r="9225">
      <c r="A9225" t="inlineStr">
        <is>
          <t>8f01ee1c-ef04-4455-8159-68f2f3dcce3b.jpg</t>
        </is>
      </c>
      <c r="B9225">
        <f>HYPERLINK("Объекты недвижимости, не соответствующие градостроительным нормам_00-022_Август/8f01ee1c-ef04-4455-8159-68f2f3dcce3b.jpg","open")</f>
        <v/>
      </c>
      <c r="C9225" t="inlineStr">
        <is>
          <t>f389b777-2837-46f0-983f-56af24850601</t>
        </is>
      </c>
      <c r="D9225" t="n">
        <v>55.74761</v>
      </c>
      <c r="E9225" t="n">
        <v>37.66822</v>
      </c>
      <c r="F9225" t="inlineStr"/>
      <c r="G9225" t="inlineStr"/>
      <c r="H9225" t="inlineStr"/>
    </row>
    <row r="9226">
      <c r="A9226" t="inlineStr">
        <is>
          <t>8f15d75f-99a6-4566-a946-b4b26e489b08.jpg</t>
        </is>
      </c>
      <c r="B9226">
        <f>HYPERLINK("Объекты недвижимости, не соответствующие градостроительным нормам_00-022_Август/8f15d75f-99a6-4566-a946-b4b26e489b08.jpg","open")</f>
        <v/>
      </c>
      <c r="C9226" t="inlineStr">
        <is>
          <t>b0429a31-0c70-4b9f-8ea5-73929d82f89e</t>
        </is>
      </c>
      <c r="D9226" t="n">
        <v>55.62692</v>
      </c>
      <c r="E9226" t="n">
        <v>37.7216</v>
      </c>
      <c r="F9226" t="inlineStr"/>
      <c r="G9226" t="inlineStr"/>
      <c r="H9226" t="inlineStr"/>
    </row>
    <row r="9227">
      <c r="A9227" t="inlineStr">
        <is>
          <t>0489e85d-2e7f-460e-9c3b-4cef0232c0d7.jpg</t>
        </is>
      </c>
      <c r="B9227">
        <f>HYPERLINK("Объекты недвижимости, не соответствующие градостроительным нормам_00-022_Август/0489e85d-2e7f-460e-9c3b-4cef0232c0d7.jpg","open")</f>
        <v/>
      </c>
      <c r="C9227" t="inlineStr">
        <is>
          <t>61936922-4d4b-458e-80ea-6d4c450aa1d5</t>
        </is>
      </c>
      <c r="D9227" t="n">
        <v>55.69734</v>
      </c>
      <c r="E9227" t="n">
        <v>37.49702</v>
      </c>
      <c r="F9227" t="inlineStr"/>
      <c r="G9227" t="inlineStr"/>
      <c r="H9227" t="inlineStr"/>
    </row>
    <row r="9228">
      <c r="A9228" t="inlineStr">
        <is>
          <t>d4f74156-0b4a-4cfe-b166-a54f95c53411.jpg</t>
        </is>
      </c>
      <c r="B9228">
        <f>HYPERLINK("Объекты недвижимости, не соответствующие градостроительным нормам_00-022_Август/d4f74156-0b4a-4cfe-b166-a54f95c53411.jpg","open")</f>
        <v/>
      </c>
      <c r="C9228" t="inlineStr">
        <is>
          <t>9fb3d110-951f-48da-9d90-cfd7e1b5800d</t>
        </is>
      </c>
      <c r="D9228" t="n">
        <v>55.69735</v>
      </c>
      <c r="E9228" t="n">
        <v>37.49701</v>
      </c>
      <c r="F9228" t="inlineStr"/>
      <c r="G9228" t="inlineStr"/>
      <c r="H9228" t="inlineStr"/>
    </row>
    <row r="9229">
      <c r="A9229" t="inlineStr">
        <is>
          <t>396d01b7-715b-4bb1-9aba-59816a2296b4.jpg</t>
        </is>
      </c>
      <c r="B9229">
        <f>HYPERLINK("Объекты недвижимости, не соответствующие градостроительным нормам_00-022_Август/396d01b7-715b-4bb1-9aba-59816a2296b4.jpg","open")</f>
        <v/>
      </c>
      <c r="C9229" t="inlineStr">
        <is>
          <t>2acfb2da-e3f6-464c-bd17-4b713522c142</t>
        </is>
      </c>
      <c r="D9229" t="n">
        <v>55.87824</v>
      </c>
      <c r="E9229" t="n">
        <v>37.68431</v>
      </c>
      <c r="F9229" t="inlineStr"/>
      <c r="G9229" t="inlineStr"/>
      <c r="H9229" t="inlineStr"/>
    </row>
    <row r="9230">
      <c r="A9230" t="inlineStr">
        <is>
          <t>89fc0f14-a2dc-44af-9c4a-b9b9d264e552.jpg</t>
        </is>
      </c>
      <c r="B9230">
        <f>HYPERLINK("Объекты недвижимости, не соответствующие градостроительным нормам_00-022_Август/89fc0f14-a2dc-44af-9c4a-b9b9d264e552.jpg","open")</f>
        <v/>
      </c>
      <c r="C9230" t="inlineStr">
        <is>
          <t>acedacc2-0d8b-4fc1-9622-25621a89d071</t>
        </is>
      </c>
      <c r="D9230" t="n">
        <v>55.79423</v>
      </c>
      <c r="E9230" t="n">
        <v>37.69165</v>
      </c>
      <c r="F9230" t="inlineStr"/>
      <c r="G9230" t="inlineStr"/>
      <c r="H9230" t="inlineStr"/>
    </row>
    <row r="9231">
      <c r="A9231" t="inlineStr">
        <is>
          <t>65d18791-bf2a-45af-a60b-fb03752e42ed.jpg</t>
        </is>
      </c>
      <c r="B9231">
        <f>HYPERLINK("Объекты недвижимости, не соответствующие градостроительным нормам_00-022_Август/65d18791-bf2a-45af-a60b-fb03752e42ed.jpg","open")</f>
        <v/>
      </c>
      <c r="C9231" t="inlineStr">
        <is>
          <t>61936922-4d4b-458e-80ea-6d4c450aa1d5</t>
        </is>
      </c>
      <c r="D9231" t="n">
        <v>55.70949</v>
      </c>
      <c r="E9231" t="n">
        <v>37.52176</v>
      </c>
      <c r="F9231" t="inlineStr"/>
      <c r="G9231" t="inlineStr"/>
      <c r="H9231" t="inlineStr"/>
    </row>
    <row r="9232">
      <c r="A9232" t="inlineStr">
        <is>
          <t>029658fc-d818-4b86-983a-cbc63dc9e896.jpg</t>
        </is>
      </c>
      <c r="B9232">
        <f>HYPERLINK("Объекты недвижимости, не соответствующие градостроительным нормам_00-022_Август/029658fc-d818-4b86-983a-cbc63dc9e896.jpg","open")</f>
        <v/>
      </c>
      <c r="C9232" t="inlineStr">
        <is>
          <t>57aae8a4-582b-4309-8045-c8127a9f86ae</t>
        </is>
      </c>
      <c r="D9232" t="n">
        <v>55.78183</v>
      </c>
      <c r="E9232" t="n">
        <v>37.69891</v>
      </c>
      <c r="F9232" t="inlineStr"/>
      <c r="G9232" t="inlineStr"/>
      <c r="H9232" t="inlineStr"/>
    </row>
    <row r="9233">
      <c r="A9233" t="inlineStr">
        <is>
          <t>ef437685-4516-4c95-9812-9eaf0e43e328.jpg</t>
        </is>
      </c>
      <c r="B9233">
        <f>HYPERLINK("Объекты недвижимости, не соответствующие градостроительным нормам_00-022_Август/ef437685-4516-4c95-9812-9eaf0e43e328.jpg","open")</f>
        <v/>
      </c>
      <c r="C9233" t="inlineStr">
        <is>
          <t>61936922-4d4b-458e-80ea-6d4c450aa1d5</t>
        </is>
      </c>
      <c r="D9233" t="n">
        <v>55.69584</v>
      </c>
      <c r="E9233" t="n">
        <v>37.55362</v>
      </c>
      <c r="F9233" t="inlineStr"/>
      <c r="G9233" t="inlineStr"/>
      <c r="H9233" t="inlineStr"/>
    </row>
    <row r="9234">
      <c r="A9234" t="inlineStr">
        <is>
          <t>b1f2b1fc-b7cf-4156-8953-b3d634afb022.jpg</t>
        </is>
      </c>
      <c r="B9234">
        <f>HYPERLINK("Объекты недвижимости, не соответствующие градостроительным нормам_00-022_Август/b1f2b1fc-b7cf-4156-8953-b3d634afb022.jpg","open")</f>
        <v/>
      </c>
      <c r="C9234" t="inlineStr">
        <is>
          <t>1a55986c-2c3f-40c0-b3d1-014dce77832e</t>
        </is>
      </c>
      <c r="D9234" t="n">
        <v>55.74819</v>
      </c>
      <c r="E9234" t="n">
        <v>37.69999</v>
      </c>
      <c r="F9234" t="inlineStr"/>
      <c r="G9234" t="inlineStr"/>
      <c r="H9234" t="inlineStr"/>
    </row>
    <row r="9235">
      <c r="A9235" t="inlineStr">
        <is>
          <t>249659fe-ae87-405d-94a8-81e157394d5b.jpg</t>
        </is>
      </c>
      <c r="B9235">
        <f>HYPERLINK("Объекты недвижимости, не соответствующие градостроительным нормам_00-022_Август/249659fe-ae87-405d-94a8-81e157394d5b.jpg","open")</f>
        <v/>
      </c>
      <c r="C9235" t="inlineStr">
        <is>
          <t>036c664f-5408-4fd0-b479-342c00468eeb</t>
        </is>
      </c>
      <c r="D9235" t="n">
        <v>55.74872</v>
      </c>
      <c r="E9235" t="n">
        <v>37.68813</v>
      </c>
      <c r="F9235" t="inlineStr"/>
      <c r="G9235" t="inlineStr"/>
      <c r="H9235" t="inlineStr"/>
    </row>
    <row r="9236">
      <c r="A9236" t="inlineStr">
        <is>
          <t>56396bcf-21bf-4513-a66b-34d00b4b0952.jpg</t>
        </is>
      </c>
      <c r="B9236">
        <f>HYPERLINK("Объекты недвижимости, не соответствующие градостроительным нормам_00-022_Август/56396bcf-21bf-4513-a66b-34d00b4b0952.jpg","open")</f>
        <v/>
      </c>
      <c r="C9236" t="inlineStr">
        <is>
          <t>ed2bf0f1-3a66-4913-896e-4420a9796c0b</t>
        </is>
      </c>
      <c r="D9236" t="n">
        <v>55.74518</v>
      </c>
      <c r="E9236" t="n">
        <v>37.7021</v>
      </c>
      <c r="F9236" t="inlineStr"/>
      <c r="G9236" t="inlineStr"/>
      <c r="H9236" t="inlineStr"/>
    </row>
    <row r="9237">
      <c r="A9237" t="inlineStr">
        <is>
          <t>3e50fc0d-aecf-4ca7-a19a-ad11c6a63f65.jpg</t>
        </is>
      </c>
      <c r="B9237">
        <f>HYPERLINK("Объекты недвижимости, не соответствующие градостроительным нормам_00-022_Август/3e50fc0d-aecf-4ca7-a19a-ad11c6a63f65.jpg","open")</f>
        <v/>
      </c>
      <c r="C9237" t="inlineStr">
        <is>
          <t>ed2bf0f1-3a66-4913-896e-4420a9796c0b</t>
        </is>
      </c>
      <c r="D9237" t="n">
        <v>55.75031</v>
      </c>
      <c r="E9237" t="n">
        <v>37.69794</v>
      </c>
      <c r="F9237" t="inlineStr"/>
      <c r="G9237" t="inlineStr"/>
      <c r="H9237" t="inlineStr"/>
    </row>
    <row r="9238">
      <c r="A9238" t="inlineStr">
        <is>
          <t>33f67453-1947-4653-9367-0864be516f54.jpg</t>
        </is>
      </c>
      <c r="B9238">
        <f>HYPERLINK("Объекты недвижимости, не соответствующие градостроительным нормам_00-022_Август/33f67453-1947-4653-9367-0864be516f54.jpg","open")</f>
        <v/>
      </c>
      <c r="C9238" t="inlineStr">
        <is>
          <t>1a55986c-2c3f-40c0-b3d1-014dce77832e</t>
        </is>
      </c>
      <c r="D9238" t="n">
        <v>55.75553</v>
      </c>
      <c r="E9238" t="n">
        <v>37.69435</v>
      </c>
      <c r="F9238" t="inlineStr"/>
      <c r="G9238" t="inlineStr"/>
      <c r="H9238" t="inlineStr"/>
    </row>
    <row r="9239">
      <c r="A9239" t="inlineStr">
        <is>
          <t>6bf8818c-7651-457f-aff7-79d1146192cf.jpg</t>
        </is>
      </c>
      <c r="B9239">
        <f>HYPERLINK("Объекты недвижимости, не соответствующие градостроительным нормам_00-022_Август/6bf8818c-7651-457f-aff7-79d1146192cf.jpg","open")</f>
        <v/>
      </c>
      <c r="C9239" t="inlineStr">
        <is>
          <t>57aae8a4-582b-4309-8045-c8127a9f86ae</t>
        </is>
      </c>
      <c r="D9239" t="n">
        <v>55.75027</v>
      </c>
      <c r="E9239" t="n">
        <v>37.66868</v>
      </c>
      <c r="F9239" t="inlineStr"/>
      <c r="G9239" t="inlineStr"/>
      <c r="H9239" t="inlineStr"/>
    </row>
    <row r="9240">
      <c r="A9240" t="inlineStr">
        <is>
          <t>07ada647-cd7d-41ba-bd6b-90ac463cb9c5.jpg</t>
        </is>
      </c>
      <c r="B9240">
        <f>HYPERLINK("Объекты недвижимости, не соответствующие градостроительным нормам_00-022_Август/07ada647-cd7d-41ba-bd6b-90ac463cb9c5.jpg","open")</f>
        <v/>
      </c>
      <c r="C9240" t="inlineStr">
        <is>
          <t>61936922-4d4b-458e-80ea-6d4c450aa1d5</t>
        </is>
      </c>
      <c r="D9240" t="n">
        <v>55.6789</v>
      </c>
      <c r="E9240" t="n">
        <v>37.79432</v>
      </c>
      <c r="F9240" t="inlineStr"/>
      <c r="G9240" t="inlineStr"/>
      <c r="H9240" t="inlineStr"/>
    </row>
    <row r="9241">
      <c r="A9241" t="inlineStr">
        <is>
          <t>0ee2c8e9-6e9c-458a-b1d6-39db4c821d54.jpg</t>
        </is>
      </c>
      <c r="B9241">
        <f>HYPERLINK("Объекты недвижимости, не соответствующие градостроительным нормам_00-022_Август/0ee2c8e9-6e9c-458a-b1d6-39db4c821d54.jpg","open")</f>
        <v/>
      </c>
      <c r="C9241" t="inlineStr">
        <is>
          <t>9fb3d110-951f-48da-9d90-cfd7e1b5800d</t>
        </is>
      </c>
      <c r="D9241" t="n">
        <v>55.6789</v>
      </c>
      <c r="E9241" t="n">
        <v>37.79432</v>
      </c>
      <c r="F9241" t="inlineStr"/>
      <c r="G9241" t="inlineStr"/>
      <c r="H9241" t="inlineStr"/>
    </row>
    <row r="9242">
      <c r="A9242" t="inlineStr">
        <is>
          <t>88ccbee4-a734-40c5-a398-9bde5ad6587c.jpg</t>
        </is>
      </c>
      <c r="B9242">
        <f>HYPERLINK("Объекты недвижимости, не соответствующие градостроительным нормам_00-022_Август/88ccbee4-a734-40c5-a398-9bde5ad6587c.jpg","open")</f>
        <v/>
      </c>
      <c r="C9242" t="inlineStr">
        <is>
          <t>8cde1fd0-eca1-4510-86ab-3c743b65fdfc</t>
        </is>
      </c>
      <c r="D9242" t="n">
        <v>55.74815</v>
      </c>
      <c r="E9242" t="n">
        <v>37.70493</v>
      </c>
      <c r="F9242" t="inlineStr"/>
      <c r="G9242" t="inlineStr"/>
      <c r="H9242" t="inlineStr"/>
    </row>
    <row r="9243">
      <c r="A9243" t="inlineStr">
        <is>
          <t>b9915a6f-9f1e-4cbf-b39b-0f71e868a4ef.jpg</t>
        </is>
      </c>
      <c r="B9243">
        <f>HYPERLINK("Объекты недвижимости, не соответствующие градостроительным нормам_00-022_Август/b9915a6f-9f1e-4cbf-b39b-0f71e868a4ef.jpg","open")</f>
        <v/>
      </c>
      <c r="C9243" t="inlineStr">
        <is>
          <t>b0b7ea82-53be-40d0-b992-e2fd18611d5c</t>
        </is>
      </c>
      <c r="D9243" t="n">
        <v>55.74764</v>
      </c>
      <c r="E9243" t="n">
        <v>37.70534</v>
      </c>
      <c r="F9243" t="inlineStr"/>
      <c r="G9243" t="inlineStr"/>
      <c r="H9243" t="inlineStr"/>
    </row>
    <row r="9244">
      <c r="A9244" t="inlineStr">
        <is>
          <t>32a300fb-6e1e-4097-812a-d0d4bd45b20c.jpg</t>
        </is>
      </c>
      <c r="B9244">
        <f>HYPERLINK("Объекты недвижимости, не соответствующие градостроительным нормам_00-022_Август/32a300fb-6e1e-4097-812a-d0d4bd45b20c.jpg","open")</f>
        <v/>
      </c>
      <c r="C9244" t="inlineStr">
        <is>
          <t>b0429a31-0c70-4b9f-8ea5-73929d82f89e</t>
        </is>
      </c>
      <c r="D9244" t="n">
        <v>55.76506</v>
      </c>
      <c r="E9244" t="n">
        <v>37.47417</v>
      </c>
      <c r="F9244" t="inlineStr"/>
      <c r="G9244" t="inlineStr"/>
      <c r="H9244" t="inlineStr"/>
    </row>
    <row r="9245">
      <c r="A9245" t="inlineStr">
        <is>
          <t>f353fee5-e4ca-4a8b-b57f-3030485e1134.jpg</t>
        </is>
      </c>
      <c r="B9245">
        <f>HYPERLINK("Объекты недвижимости, не соответствующие градостроительным нормам_00-022_Август/f353fee5-e4ca-4a8b-b57f-3030485e1134.jpg","open")</f>
        <v/>
      </c>
      <c r="C9245" t="inlineStr">
        <is>
          <t>57812597-37e6-414c-8b11-8c661dbfeb70</t>
        </is>
      </c>
      <c r="D9245" t="n">
        <v>55.73552</v>
      </c>
      <c r="E9245" t="n">
        <v>37.66343</v>
      </c>
      <c r="F9245" t="inlineStr"/>
      <c r="G9245" t="inlineStr"/>
      <c r="H9245" t="inlineStr"/>
    </row>
    <row r="9246">
      <c r="A9246" t="inlineStr">
        <is>
          <t>8056e380-eb42-4dec-bd49-35cc3825b9cd.jpg</t>
        </is>
      </c>
      <c r="B9246">
        <f>HYPERLINK("Объекты недвижимости, не соответствующие градостроительным нормам_00-022_Август/8056e380-eb42-4dec-bd49-35cc3825b9cd.jpg","open")</f>
        <v/>
      </c>
      <c r="C9246" t="inlineStr">
        <is>
          <t>f389b777-2837-46f0-983f-56af24850601</t>
        </is>
      </c>
      <c r="D9246" t="n">
        <v>55.73552</v>
      </c>
      <c r="E9246" t="n">
        <v>37.66343</v>
      </c>
      <c r="F9246" t="inlineStr"/>
      <c r="G9246" t="inlineStr"/>
      <c r="H9246" t="inlineStr"/>
    </row>
    <row r="9247">
      <c r="A9247" t="inlineStr">
        <is>
          <t>4e34ecfb-2fa9-4f69-87bb-ce7263ec6745.jpg</t>
        </is>
      </c>
      <c r="B9247">
        <f>HYPERLINK("Объекты недвижимости, не соответствующие градостроительным нормам_00-022_Август/4e34ecfb-2fa9-4f69-87bb-ce7263ec6745.jpg","open")</f>
        <v/>
      </c>
      <c r="C9247" t="inlineStr">
        <is>
          <t>fb40ed24-21ef-458a-a239-038ab19932cc</t>
        </is>
      </c>
      <c r="D9247" t="n">
        <v>55.81676</v>
      </c>
      <c r="E9247" t="n">
        <v>37.78835</v>
      </c>
      <c r="F9247" t="inlineStr"/>
      <c r="G9247" t="inlineStr"/>
      <c r="H9247" t="inlineStr"/>
    </row>
    <row r="9248">
      <c r="A9248" t="inlineStr">
        <is>
          <t>607c6c4f-25da-4a8a-98db-1e78f7c43910.jpg</t>
        </is>
      </c>
      <c r="B9248">
        <f>HYPERLINK("Объекты недвижимости, не соответствующие градостроительным нормам_00-022_Август/607c6c4f-25da-4a8a-98db-1e78f7c43910.jpg","open")</f>
        <v/>
      </c>
      <c r="C9248" t="inlineStr">
        <is>
          <t>dd48f742-b338-42e2-bbaf-b3a9701b437c</t>
        </is>
      </c>
      <c r="D9248" t="n">
        <v>55.77831</v>
      </c>
      <c r="E9248" t="n">
        <v>37.63224</v>
      </c>
      <c r="F9248" t="inlineStr"/>
      <c r="G9248" t="inlineStr"/>
      <c r="H9248" t="inlineStr"/>
    </row>
    <row r="9249">
      <c r="A9249" t="inlineStr">
        <is>
          <t>8f73e3f6-f4b7-4718-b09e-203845cf8409.jpg</t>
        </is>
      </c>
      <c r="B9249">
        <f>HYPERLINK("Объекты недвижимости, не соответствующие градостроительным нормам_00-022_Август/8f73e3f6-f4b7-4718-b09e-203845cf8409.jpg","open")</f>
        <v/>
      </c>
      <c r="C9249" t="inlineStr">
        <is>
          <t>fb40ed24-21ef-458a-a239-038ab19932cc</t>
        </is>
      </c>
      <c r="D9249" t="n">
        <v>55.81944</v>
      </c>
      <c r="E9249" t="n">
        <v>37.75139</v>
      </c>
      <c r="F9249" t="inlineStr"/>
      <c r="G9249" t="inlineStr"/>
      <c r="H9249" t="inlineStr"/>
    </row>
    <row r="9250">
      <c r="A9250" t="inlineStr">
        <is>
          <t>315eff4a-4b5b-4d39-a48a-53807e6de003.jpg</t>
        </is>
      </c>
      <c r="B9250">
        <f>HYPERLINK("Объекты недвижимости, не соответствующие градостроительным нормам_00-022_Август/315eff4a-4b5b-4d39-a48a-53807e6de003.jpg","open")</f>
        <v/>
      </c>
      <c r="C9250" t="inlineStr">
        <is>
          <t>57812597-37e6-414c-8b11-8c661dbfeb70</t>
        </is>
      </c>
      <c r="D9250" t="n">
        <v>55.71425</v>
      </c>
      <c r="E9250" t="n">
        <v>37.57656</v>
      </c>
      <c r="F9250" t="inlineStr"/>
      <c r="G9250" t="inlineStr"/>
      <c r="H9250" t="inlineStr"/>
    </row>
    <row r="9251">
      <c r="A9251" t="inlineStr">
        <is>
          <t>0662dcb8-3761-4b3e-9399-c2093ecd2f13.jpg</t>
        </is>
      </c>
      <c r="B9251">
        <f>HYPERLINK("Объекты недвижимости, не соответствующие градостроительным нормам_00-022_Август/0662dcb8-3761-4b3e-9399-c2093ecd2f13.jpg","open")</f>
        <v/>
      </c>
      <c r="C9251" t="inlineStr">
        <is>
          <t>6e2567a0-1fb9-40d5-a0e7-0adb480d2965</t>
        </is>
      </c>
      <c r="D9251" t="n">
        <v>55.7346</v>
      </c>
      <c r="E9251" t="n">
        <v>37.53496</v>
      </c>
      <c r="F9251" t="inlineStr"/>
      <c r="G9251" t="inlineStr"/>
      <c r="H9251" t="inlineStr"/>
    </row>
    <row r="9252">
      <c r="A9252" t="inlineStr">
        <is>
          <t>07215c80-2731-4ee2-bba6-9ba9eddad7fc.jpg</t>
        </is>
      </c>
      <c r="B9252">
        <f>HYPERLINK("Объекты недвижимости, не соответствующие градостроительным нормам_00-022_Август/07215c80-2731-4ee2-bba6-9ba9eddad7fc.jpg","open")</f>
        <v/>
      </c>
      <c r="C9252" t="inlineStr">
        <is>
          <t>8996eb30-6497-4318-8a0e-b95314b8172e</t>
        </is>
      </c>
      <c r="D9252" t="n">
        <v>55.72124</v>
      </c>
      <c r="E9252" t="n">
        <v>37.7049</v>
      </c>
      <c r="F9252" t="inlineStr"/>
      <c r="G9252" t="inlineStr"/>
      <c r="H9252" t="inlineStr"/>
    </row>
    <row r="9253">
      <c r="A9253" t="inlineStr">
        <is>
          <t>174258d1-2b1f-49a0-8985-e74dd3821750.jpg</t>
        </is>
      </c>
      <c r="B9253">
        <f>HYPERLINK("Объекты недвижимости, не соответствующие градостроительным нормам_00-022_Август/174258d1-2b1f-49a0-8985-e74dd3821750.jpg","open")</f>
        <v/>
      </c>
      <c r="C9253" t="inlineStr">
        <is>
          <t>ed2bf0f1-3a66-4913-896e-4420a9796c0b</t>
        </is>
      </c>
      <c r="D9253" t="n">
        <v>55.81655</v>
      </c>
      <c r="E9253" t="n">
        <v>37.73911</v>
      </c>
      <c r="F9253" t="inlineStr"/>
      <c r="G9253" t="inlineStr"/>
      <c r="H9253" t="inlineStr"/>
    </row>
    <row r="9254">
      <c r="A9254" t="inlineStr">
        <is>
          <t>89759f94-7394-47d5-93b0-345937305ad8.jpg</t>
        </is>
      </c>
      <c r="B9254">
        <f>HYPERLINK("Объекты недвижимости, не соответствующие градостроительным нормам_00-022_Август/89759f94-7394-47d5-93b0-345937305ad8.jpg","open")</f>
        <v/>
      </c>
      <c r="C9254" t="inlineStr">
        <is>
          <t>2ba4f567-3981-4fd7-ac4a-45e8b3d68429</t>
        </is>
      </c>
      <c r="D9254" t="n">
        <v>55.73094</v>
      </c>
      <c r="E9254" t="n">
        <v>37.54635</v>
      </c>
      <c r="F9254" t="inlineStr"/>
      <c r="G9254" t="inlineStr"/>
      <c r="H9254" t="inlineStr"/>
    </row>
    <row r="9255">
      <c r="A9255" t="inlineStr">
        <is>
          <t>b9cd8f7d-eac1-4601-826d-bf8d957e22ab.jpg</t>
        </is>
      </c>
      <c r="B9255">
        <f>HYPERLINK("Объекты недвижимости, не соответствующие градостроительным нормам_00-022_Август/b9cd8f7d-eac1-4601-826d-bf8d957e22ab.jpg","open")</f>
        <v/>
      </c>
      <c r="C9255" t="inlineStr">
        <is>
          <t>fce890a6-27da-4062-a046-08262a160ee6</t>
        </is>
      </c>
      <c r="D9255" t="n">
        <v>55.77236</v>
      </c>
      <c r="E9255" t="n">
        <v>37.42031</v>
      </c>
      <c r="F9255" t="inlineStr"/>
      <c r="G9255" t="inlineStr"/>
      <c r="H9255" t="inlineStr"/>
    </row>
    <row r="9256">
      <c r="A9256" t="inlineStr">
        <is>
          <t>27bfd4eb-f7c8-4982-bd99-13d73155e5c0.jpg</t>
        </is>
      </c>
      <c r="B9256">
        <f>HYPERLINK("Объекты недвижимости, не соответствующие градостроительным нормам_00-022_Август/27bfd4eb-f7c8-4982-bd99-13d73155e5c0.jpg","open")</f>
        <v/>
      </c>
      <c r="C9256" t="inlineStr">
        <is>
          <t>8b2675e2-7f40-47a9-a462-7c9feecd299c</t>
        </is>
      </c>
      <c r="D9256" t="n">
        <v>55.97874</v>
      </c>
      <c r="E9256" t="n">
        <v>37.40208</v>
      </c>
      <c r="F9256" t="inlineStr"/>
      <c r="G9256" t="inlineStr"/>
      <c r="H9256" t="inlineStr"/>
    </row>
    <row r="9257">
      <c r="A9257" t="inlineStr">
        <is>
          <t>3e518f60-7f59-4b6b-bf36-1fc9dc0fa0d9.jpg</t>
        </is>
      </c>
      <c r="B9257">
        <f>HYPERLINK("Объекты недвижимости, не соответствующие градостроительным нормам_00-022_Август/3e518f60-7f59-4b6b-bf36-1fc9dc0fa0d9.jpg","open")</f>
        <v/>
      </c>
      <c r="C9257" t="inlineStr">
        <is>
          <t>cbf95b01-f708-45a3-9ec0-3603469b538e</t>
        </is>
      </c>
      <c r="D9257" t="n">
        <v>55.72046</v>
      </c>
      <c r="E9257" t="n">
        <v>37.43009</v>
      </c>
      <c r="F9257" t="inlineStr"/>
      <c r="G9257" t="inlineStr"/>
      <c r="H9257" t="inlineStr"/>
    </row>
    <row r="9258">
      <c r="A9258" t="inlineStr">
        <is>
          <t>76a8ab97-f837-4725-80ea-355e4e830235.jpg</t>
        </is>
      </c>
      <c r="B9258">
        <f>HYPERLINK("Объекты недвижимости, не соответствующие градостроительным нормам_00-022_Август/76a8ab97-f837-4725-80ea-355e4e830235.jpg","open")</f>
        <v/>
      </c>
      <c r="C9258" t="inlineStr">
        <is>
          <t>750bf7e4-0f0f-4f1a-96af-607dc8c1f1c9</t>
        </is>
      </c>
      <c r="D9258" t="n">
        <v>55.77708</v>
      </c>
      <c r="E9258" t="n">
        <v>37.66982</v>
      </c>
      <c r="F9258" t="inlineStr"/>
      <c r="G9258" t="inlineStr"/>
      <c r="H9258" t="inlineStr"/>
    </row>
    <row r="9259">
      <c r="A9259" t="inlineStr">
        <is>
          <t>940df304-2f65-445f-b7b0-0d3318f5bb67.jpg</t>
        </is>
      </c>
      <c r="B9259">
        <f>HYPERLINK("Объекты недвижимости, не соответствующие градостроительным нормам_00-022_Август/940df304-2f65-445f-b7b0-0d3318f5bb67.jpg","open")</f>
        <v/>
      </c>
      <c r="C9259" t="inlineStr">
        <is>
          <t>31a713a9-b910-424b-b847-e0eaa2f70c70</t>
        </is>
      </c>
      <c r="D9259" t="n">
        <v>55.77707</v>
      </c>
      <c r="E9259" t="n">
        <v>37.66983</v>
      </c>
      <c r="F9259" t="inlineStr"/>
      <c r="G9259" t="inlineStr"/>
      <c r="H9259" t="inlineStr"/>
    </row>
    <row r="9260">
      <c r="A9260" t="inlineStr">
        <is>
          <t>19002c65-9fd1-400a-af00-f5cd141cc0fb.jpg</t>
        </is>
      </c>
      <c r="B9260">
        <f>HYPERLINK("Объекты недвижимости, не соответствующие градостроительным нормам_00-022_Август/19002c65-9fd1-400a-af00-f5cd141cc0fb.jpg","open")</f>
        <v/>
      </c>
      <c r="C9260" t="inlineStr">
        <is>
          <t>29ad9edb-d533-4272-a986-be24eb004851</t>
        </is>
      </c>
      <c r="D9260" t="n">
        <v>55.96574</v>
      </c>
      <c r="E9260" t="n">
        <v>37.4078</v>
      </c>
      <c r="F9260" t="inlineStr"/>
      <c r="G9260" t="inlineStr"/>
      <c r="H9260" t="inlineStr"/>
    </row>
    <row r="9261">
      <c r="A9261" t="inlineStr">
        <is>
          <t>bd783e46-b3b5-4a2d-8cc4-f5687d893cd4.jpg</t>
        </is>
      </c>
      <c r="B9261">
        <f>HYPERLINK("Объекты недвижимости, не соответствующие градостроительным нормам_00-022_Август/bd783e46-b3b5-4a2d-8cc4-f5687d893cd4.jpg","open")</f>
        <v/>
      </c>
      <c r="C9261" t="inlineStr">
        <is>
          <t>5adecbcf-6742-48b8-951f-8e3abc9509e4</t>
        </is>
      </c>
      <c r="D9261" t="n">
        <v>55.70768</v>
      </c>
      <c r="E9261" t="n">
        <v>37.65829</v>
      </c>
      <c r="F9261" t="inlineStr"/>
      <c r="G9261" t="inlineStr"/>
      <c r="H9261" t="inlineStr"/>
    </row>
    <row r="9262">
      <c r="A9262" t="inlineStr">
        <is>
          <t>8a7adf46-8a95-4fd5-a05e-d586014f2eb3.jpg</t>
        </is>
      </c>
      <c r="B9262">
        <f>HYPERLINK("Объекты недвижимости, не соответствующие градостроительным нормам_00-022_Август/8a7adf46-8a95-4fd5-a05e-d586014f2eb3.jpg","open")</f>
        <v/>
      </c>
      <c r="C9262" t="inlineStr">
        <is>
          <t>5e5b9944-4f9e-4223-bf96-0bc0c8a93dfa</t>
        </is>
      </c>
      <c r="D9262" t="n">
        <v>55.70768</v>
      </c>
      <c r="E9262" t="n">
        <v>37.65829</v>
      </c>
      <c r="F9262" t="inlineStr"/>
      <c r="G9262" t="inlineStr"/>
      <c r="H9262" t="inlineStr"/>
    </row>
    <row r="9263">
      <c r="A9263" t="inlineStr">
        <is>
          <t>a24d009c-9d1b-4460-ab26-0cbd951b5ae6.jpg</t>
        </is>
      </c>
      <c r="B9263">
        <f>HYPERLINK("Объекты недвижимости, не соответствующие градостроительным нормам_00-022_Август/a24d009c-9d1b-4460-ab26-0cbd951b5ae6.jpg","open")</f>
        <v/>
      </c>
      <c r="C9263" t="inlineStr">
        <is>
          <t>12e795ad-2aa7-49de-b2da-2c6aa35a4559</t>
        </is>
      </c>
      <c r="D9263" t="n">
        <v>55.72567</v>
      </c>
      <c r="E9263" t="n">
        <v>37.71126</v>
      </c>
      <c r="F9263" t="inlineStr"/>
      <c r="G9263" t="inlineStr"/>
      <c r="H9263" t="inlineStr"/>
    </row>
    <row r="9264">
      <c r="A9264" t="inlineStr">
        <is>
          <t>caafda9a-c7e9-4499-af38-24faf52eb43c.jpg</t>
        </is>
      </c>
      <c r="B9264">
        <f>HYPERLINK("Объекты недвижимости, не соответствующие градостроительным нормам_00-022_Август/caafda9a-c7e9-4499-af38-24faf52eb43c.jpg","open")</f>
        <v/>
      </c>
      <c r="C9264" t="inlineStr">
        <is>
          <t>a28f597e-d1cd-4d3b-b572-c86d033412e9</t>
        </is>
      </c>
      <c r="D9264" t="n">
        <v>55.74872</v>
      </c>
      <c r="E9264" t="n">
        <v>37.68813</v>
      </c>
      <c r="F9264" t="inlineStr"/>
      <c r="G9264" t="inlineStr"/>
      <c r="H9264" t="inlineStr"/>
    </row>
    <row r="9265">
      <c r="A9265" t="inlineStr">
        <is>
          <t>235da010-1184-4cdb-8a05-5f36e9f7ee09.jpg</t>
        </is>
      </c>
      <c r="B9265">
        <f>HYPERLINK("Объекты недвижимости, не соответствующие градостроительным нормам_00-022_Август/235da010-1184-4cdb-8a05-5f36e9f7ee09.jpg","open")</f>
        <v/>
      </c>
      <c r="C9265" t="inlineStr">
        <is>
          <t>036c664f-5408-4fd0-b479-342c00468eeb</t>
        </is>
      </c>
      <c r="D9265" t="n">
        <v>55.74872</v>
      </c>
      <c r="E9265" t="n">
        <v>37.68813</v>
      </c>
      <c r="F9265" t="inlineStr"/>
      <c r="G9265" t="inlineStr"/>
      <c r="H9265" t="inlineStr"/>
    </row>
    <row r="9266">
      <c r="A9266" t="inlineStr">
        <is>
          <t>9c725134-77ef-4b23-ab8d-d747bdecfd8a.jpg</t>
        </is>
      </c>
      <c r="B9266">
        <f>HYPERLINK("Объекты недвижимости, не соответствующие градостроительным нормам_00-022_Август/9c725134-77ef-4b23-ab8d-d747bdecfd8a.jpg","open")</f>
        <v/>
      </c>
      <c r="C9266" t="inlineStr">
        <is>
          <t>12e795ad-2aa7-49de-b2da-2c6aa35a4559</t>
        </is>
      </c>
      <c r="D9266" t="n">
        <v>55.70344</v>
      </c>
      <c r="E9266" t="n">
        <v>37.65376</v>
      </c>
      <c r="F9266" t="inlineStr"/>
      <c r="G9266" t="inlineStr"/>
      <c r="H9266" t="inlineStr"/>
    </row>
    <row r="9267">
      <c r="A9267" t="inlineStr">
        <is>
          <t>9dff7ba7-158c-430c-9021-83bc2956bd9d.jpg</t>
        </is>
      </c>
      <c r="B9267">
        <f>HYPERLINK("Объекты недвижимости, не соответствующие градостроительным нормам_00-022_Август/9dff7ba7-158c-430c-9021-83bc2956bd9d.jpg","open")</f>
        <v/>
      </c>
      <c r="C9267" t="inlineStr">
        <is>
          <t>036c664f-5408-4fd0-b479-342c00468eeb</t>
        </is>
      </c>
      <c r="D9267" t="n">
        <v>55.74872</v>
      </c>
      <c r="E9267" t="n">
        <v>37.68813</v>
      </c>
      <c r="F9267" t="inlineStr"/>
      <c r="G9267" t="inlineStr"/>
      <c r="H9267" t="inlineStr"/>
    </row>
    <row r="9268">
      <c r="A9268" t="inlineStr">
        <is>
          <t>6491a945-278a-47c0-8251-2844132f5601.jpg</t>
        </is>
      </c>
      <c r="B9268">
        <f>HYPERLINK("Объекты недвижимости, не соответствующие градостроительным нормам_00-022_Август/6491a945-278a-47c0-8251-2844132f5601.jpg","open")</f>
        <v/>
      </c>
      <c r="C9268" t="inlineStr">
        <is>
          <t>036c664f-5408-4fd0-b479-342c00468eeb</t>
        </is>
      </c>
      <c r="D9268" t="n">
        <v>55.74872</v>
      </c>
      <c r="E9268" t="n">
        <v>37.68813</v>
      </c>
      <c r="F9268" t="inlineStr"/>
      <c r="G9268" t="inlineStr"/>
      <c r="H9268" t="inlineStr"/>
    </row>
    <row r="9269">
      <c r="A9269" t="inlineStr">
        <is>
          <t>abb76488-e1f1-479d-b929-55fc626aca8f.jpg</t>
        </is>
      </c>
      <c r="B9269">
        <f>HYPERLINK("Объекты недвижимости, не соответствующие градостроительным нормам_00-022_Август/abb76488-e1f1-479d-b929-55fc626aca8f.jpg","open")</f>
        <v/>
      </c>
      <c r="C9269" t="inlineStr">
        <is>
          <t>57aae8a4-582b-4309-8045-c8127a9f86ae</t>
        </is>
      </c>
      <c r="D9269" t="n">
        <v>55.76832</v>
      </c>
      <c r="E9269" t="n">
        <v>37.69044</v>
      </c>
      <c r="F9269" t="inlineStr"/>
      <c r="G9269" t="inlineStr"/>
      <c r="H9269" t="inlineStr"/>
    </row>
    <row r="9270">
      <c r="A9270" t="inlineStr">
        <is>
          <t>1ae3f0a8-e055-4fdd-80ab-ec5101593c19.jpg</t>
        </is>
      </c>
      <c r="B9270">
        <f>HYPERLINK("Объекты недвижимости, не соответствующие градостроительным нормам_00-022_Август/1ae3f0a8-e055-4fdd-80ab-ec5101593c19.jpg","open")</f>
        <v/>
      </c>
      <c r="C9270" t="inlineStr">
        <is>
          <t>5e5b9944-4f9e-4223-bf96-0bc0c8a93dfa</t>
        </is>
      </c>
      <c r="D9270" t="n">
        <v>55.70768</v>
      </c>
      <c r="E9270" t="n">
        <v>37.65829</v>
      </c>
      <c r="F9270" t="inlineStr"/>
      <c r="G9270" t="inlineStr"/>
      <c r="H9270" t="inlineStr"/>
    </row>
    <row r="9271">
      <c r="A9271" t="inlineStr">
        <is>
          <t>7aa27899-d631-4460-b1f1-be7024a7cf5c.jpg</t>
        </is>
      </c>
      <c r="B9271">
        <f>HYPERLINK("Объекты недвижимости, не соответствующие градостроительным нормам_00-022_Август/7aa27899-d631-4460-b1f1-be7024a7cf5c.jpg","open")</f>
        <v/>
      </c>
      <c r="C9271" t="inlineStr">
        <is>
          <t>9fb3d110-951f-48da-9d90-cfd7e1b5800d</t>
        </is>
      </c>
      <c r="D9271" t="n">
        <v>55.6789</v>
      </c>
      <c r="E9271" t="n">
        <v>37.79432</v>
      </c>
      <c r="F9271" t="inlineStr"/>
      <c r="G9271" t="inlineStr"/>
      <c r="H9271" t="inlineStr"/>
    </row>
    <row r="9272">
      <c r="A9272" t="inlineStr">
        <is>
          <t>3b89dfb7-d7a4-4087-86bb-a5b313eea771.jpg</t>
        </is>
      </c>
      <c r="B9272">
        <f>HYPERLINK("Объекты недвижимости, не соответствующие градостроительным нормам_00-022_Август/3b89dfb7-d7a4-4087-86bb-a5b313eea771.jpg","open")</f>
        <v/>
      </c>
      <c r="C9272" t="inlineStr">
        <is>
          <t>61936922-4d4b-458e-80ea-6d4c450aa1d5</t>
        </is>
      </c>
      <c r="D9272" t="n">
        <v>55.6789</v>
      </c>
      <c r="E9272" t="n">
        <v>37.79432</v>
      </c>
      <c r="F9272" t="inlineStr"/>
      <c r="G9272" t="inlineStr"/>
      <c r="H9272" t="inlineStr"/>
    </row>
    <row r="9273">
      <c r="A9273" t="inlineStr">
        <is>
          <t>cf1335cd-410b-4ad7-b3d1-623e4de7c579.jpg</t>
        </is>
      </c>
      <c r="B9273">
        <f>HYPERLINK("Объекты недвижимости, не соответствующие градостроительным нормам_00-022_Август/cf1335cd-410b-4ad7-b3d1-623e4de7c579.jpg","open")</f>
        <v/>
      </c>
      <c r="C9273" t="inlineStr">
        <is>
          <t>8cde1fd0-eca1-4510-86ab-3c743b65fdfc</t>
        </is>
      </c>
      <c r="D9273" t="n">
        <v>55.74815</v>
      </c>
      <c r="E9273" t="n">
        <v>37.70493</v>
      </c>
      <c r="F9273" t="inlineStr"/>
      <c r="G9273" t="inlineStr"/>
      <c r="H9273" t="inlineStr"/>
    </row>
    <row r="9274">
      <c r="A9274" t="inlineStr">
        <is>
          <t>ddee98fc-df0a-46b8-8d2b-79ed08410a28.jpg</t>
        </is>
      </c>
      <c r="B9274">
        <f>HYPERLINK("Объекты недвижимости, не соответствующие градостроительным нормам_00-022_Август/ddee98fc-df0a-46b8-8d2b-79ed08410a28.jpg","open")</f>
        <v/>
      </c>
      <c r="C9274" t="inlineStr">
        <is>
          <t>9fb3d110-951f-48da-9d90-cfd7e1b5800d</t>
        </is>
      </c>
      <c r="D9274" t="n">
        <v>55.6789</v>
      </c>
      <c r="E9274" t="n">
        <v>37.79432</v>
      </c>
      <c r="F9274" t="inlineStr"/>
      <c r="G9274" t="inlineStr"/>
      <c r="H9274" t="inlineStr"/>
    </row>
    <row r="9275">
      <c r="A9275" t="inlineStr">
        <is>
          <t>c40ce541-4d00-40b4-8e5f-3fbdf8dbeb5e.jpg</t>
        </is>
      </c>
      <c r="B9275">
        <f>HYPERLINK("Объекты недвижимости, не соответствующие градостроительным нормам_00-022_Август/c40ce541-4d00-40b4-8e5f-3fbdf8dbeb5e.jpg","open")</f>
        <v/>
      </c>
      <c r="C9275" t="inlineStr">
        <is>
          <t>61936922-4d4b-458e-80ea-6d4c450aa1d5</t>
        </is>
      </c>
      <c r="D9275" t="n">
        <v>55.6789</v>
      </c>
      <c r="E9275" t="n">
        <v>37.79432</v>
      </c>
      <c r="F9275" t="inlineStr"/>
      <c r="G9275" t="inlineStr"/>
      <c r="H9275" t="inlineStr"/>
    </row>
    <row r="9276">
      <c r="A9276" t="inlineStr">
        <is>
          <t>6cc6426e-fcf5-464e-90ce-3e875763a198.jpg</t>
        </is>
      </c>
      <c r="B9276">
        <f>HYPERLINK("Объекты недвижимости, не соответствующие градостроительным нормам_00-022_Август/6cc6426e-fcf5-464e-90ce-3e875763a198.jpg","open")</f>
        <v/>
      </c>
      <c r="C9276" t="inlineStr">
        <is>
          <t>8cde1fd0-eca1-4510-86ab-3c743b65fdfc</t>
        </is>
      </c>
      <c r="D9276" t="n">
        <v>55.74815</v>
      </c>
      <c r="E9276" t="n">
        <v>37.70493</v>
      </c>
      <c r="F9276" t="inlineStr"/>
      <c r="G9276" t="inlineStr"/>
      <c r="H9276" t="inlineStr"/>
    </row>
    <row r="9277">
      <c r="A9277" t="inlineStr">
        <is>
          <t>71aa9f1e-1a0d-4873-8ca9-9363c4e5e93b.jpg</t>
        </is>
      </c>
      <c r="B9277">
        <f>HYPERLINK("Объекты недвижимости, не соответствующие градостроительным нормам_00-022_Август/71aa9f1e-1a0d-4873-8ca9-9363c4e5e93b.jpg","open")</f>
        <v/>
      </c>
      <c r="C9277" t="inlineStr">
        <is>
          <t>f6f80c84-5569-48fd-b627-6f41ce4c61c4</t>
        </is>
      </c>
      <c r="D9277" t="n">
        <v>55.75276</v>
      </c>
      <c r="E9277" t="n">
        <v>37.6963</v>
      </c>
      <c r="F9277" t="inlineStr"/>
      <c r="G9277" t="inlineStr"/>
      <c r="H9277" t="inlineStr"/>
    </row>
    <row r="9278">
      <c r="A9278" t="inlineStr">
        <is>
          <t>43f48d7a-32ca-4ef1-a86a-5ac606859fd9.jpg</t>
        </is>
      </c>
      <c r="B9278">
        <f>HYPERLINK("Объекты недвижимости, не соответствующие градостроительным нормам_00-022_Август/43f48d7a-32ca-4ef1-a86a-5ac606859fd9.jpg","open")</f>
        <v/>
      </c>
      <c r="C9278" t="inlineStr">
        <is>
          <t>caa4772d-6278-4484-a046-ee25514bf521</t>
        </is>
      </c>
      <c r="D9278" t="n">
        <v>55.75276</v>
      </c>
      <c r="E9278" t="n">
        <v>37.6963</v>
      </c>
      <c r="F9278" t="inlineStr"/>
      <c r="G9278" t="inlineStr"/>
      <c r="H9278" t="inlineStr"/>
    </row>
    <row r="9279">
      <c r="A9279" t="inlineStr">
        <is>
          <t>93364385-1b10-42f0-bb47-cb77739a1984.jpg</t>
        </is>
      </c>
      <c r="B9279">
        <f>HYPERLINK("Объекты недвижимости, не соответствующие градостроительным нормам_00-022_Август/93364385-1b10-42f0-bb47-cb77739a1984.jpg","open")</f>
        <v/>
      </c>
      <c r="C9279" t="inlineStr">
        <is>
          <t>61936922-4d4b-458e-80ea-6d4c450aa1d5</t>
        </is>
      </c>
      <c r="D9279" t="n">
        <v>55.6789</v>
      </c>
      <c r="E9279" t="n">
        <v>37.79432</v>
      </c>
      <c r="F9279" t="inlineStr"/>
      <c r="G9279" t="inlineStr"/>
      <c r="H9279" t="inlineStr"/>
    </row>
    <row r="9280">
      <c r="A9280" t="inlineStr">
        <is>
          <t>6a2a3161-1b3a-4c33-ade3-9b75608e8c52.jpg</t>
        </is>
      </c>
      <c r="B9280">
        <f>HYPERLINK("Объекты недвижимости, не соответствующие градостроительным нормам_00-022_Август/6a2a3161-1b3a-4c33-ade3-9b75608e8c52.jpg","open")</f>
        <v/>
      </c>
      <c r="C9280" t="inlineStr">
        <is>
          <t>57812597-37e6-414c-8b11-8c661dbfeb70</t>
        </is>
      </c>
      <c r="D9280" t="n">
        <v>55.7398</v>
      </c>
      <c r="E9280" t="n">
        <v>37.66394</v>
      </c>
      <c r="F9280" t="inlineStr"/>
      <c r="G9280" t="inlineStr"/>
      <c r="H9280" t="inlineStr"/>
    </row>
    <row r="9281">
      <c r="A9281" t="inlineStr">
        <is>
          <t>c8ce322a-63db-4065-a821-95b845a6d2de.jpg</t>
        </is>
      </c>
      <c r="B9281">
        <f>HYPERLINK("Объекты недвижимости, не соответствующие градостроительным нормам_00-022_Август/c8ce322a-63db-4065-a821-95b845a6d2de.jpg","open")</f>
        <v/>
      </c>
      <c r="C9281" t="inlineStr">
        <is>
          <t>685d9054-b74f-49ab-857b-109fd2cec80d</t>
        </is>
      </c>
      <c r="D9281" t="n">
        <v>55.71056</v>
      </c>
      <c r="E9281" t="n">
        <v>37.6699</v>
      </c>
      <c r="F9281" t="inlineStr"/>
      <c r="G9281" t="inlineStr"/>
      <c r="H9281" t="inlineStr"/>
    </row>
    <row r="9282">
      <c r="A9282" t="inlineStr">
        <is>
          <t>32971a32-3409-42ed-9cf3-ab2b910c00d1.jpg</t>
        </is>
      </c>
      <c r="B9282">
        <f>HYPERLINK("Объекты недвижимости, не соответствующие градостроительным нормам_00-022_Август/32971a32-3409-42ed-9cf3-ab2b910c00d1.jpg","open")</f>
        <v/>
      </c>
      <c r="C9282" t="inlineStr">
        <is>
          <t>1c951e11-4940-43c6-a447-394097e5609a</t>
        </is>
      </c>
      <c r="D9282" t="n">
        <v>55.78723</v>
      </c>
      <c r="E9282" t="n">
        <v>37.70895</v>
      </c>
      <c r="F9282" t="inlineStr"/>
      <c r="G9282" t="inlineStr"/>
      <c r="H9282" t="inlineStr"/>
    </row>
    <row r="9283">
      <c r="A9283" t="inlineStr">
        <is>
          <t>78c4f712-5a05-45a9-bb47-c9ad6440797c.jpg</t>
        </is>
      </c>
      <c r="B9283">
        <f>HYPERLINK("Объекты недвижимости, не соответствующие градостроительным нормам_00-022_Август/78c4f712-5a05-45a9-bb47-c9ad6440797c.jpg","open")</f>
        <v/>
      </c>
      <c r="C9283" t="inlineStr">
        <is>
          <t>31a713a9-b910-424b-b847-e0eaa2f70c70</t>
        </is>
      </c>
      <c r="D9283" t="n">
        <v>55.68203</v>
      </c>
      <c r="E9283" t="n">
        <v>37.53615</v>
      </c>
      <c r="F9283" t="inlineStr"/>
      <c r="G9283" t="inlineStr"/>
      <c r="H9283" t="inlineStr"/>
    </row>
    <row r="9284">
      <c r="A9284" t="inlineStr">
        <is>
          <t>c724d8de-1866-4174-a336-06b1cbbe3c91.jpg</t>
        </is>
      </c>
      <c r="B9284">
        <f>HYPERLINK("Объекты недвижимости, не соответствующие градостроительным нормам_00-022_Август/c724d8de-1866-4174-a336-06b1cbbe3c91.jpg","open")</f>
        <v/>
      </c>
      <c r="C9284" t="inlineStr">
        <is>
          <t>61936922-4d4b-458e-80ea-6d4c450aa1d5</t>
        </is>
      </c>
      <c r="D9284" t="n">
        <v>55.6789</v>
      </c>
      <c r="E9284" t="n">
        <v>37.79432</v>
      </c>
      <c r="F9284" t="inlineStr"/>
      <c r="G9284" t="inlineStr"/>
      <c r="H9284" t="inlineStr"/>
    </row>
    <row r="9285">
      <c r="A9285" t="inlineStr">
        <is>
          <t>9cce2623-f974-4162-80da-3e3500971b49.jpg</t>
        </is>
      </c>
      <c r="B9285">
        <f>HYPERLINK("Объекты недвижимости, не соответствующие градостроительным нормам_00-022_Август/9cce2623-f974-4162-80da-3e3500971b49.jpg","open")</f>
        <v/>
      </c>
      <c r="C9285" t="inlineStr">
        <is>
          <t>e26f5fc2-1353-4f29-85f3-87c56419161c</t>
        </is>
      </c>
      <c r="D9285" t="n">
        <v>55.77905</v>
      </c>
      <c r="E9285" t="n">
        <v>37.62205</v>
      </c>
      <c r="F9285" t="inlineStr"/>
      <c r="G9285" t="inlineStr"/>
      <c r="H9285" t="inlineStr"/>
    </row>
    <row r="9286">
      <c r="A9286" t="inlineStr">
        <is>
          <t>039dd2f3-5a11-47b2-9ee9-38ce3304e76b.jpg</t>
        </is>
      </c>
      <c r="B9286">
        <f>HYPERLINK("Объекты недвижимости, не соответствующие градостроительным нормам_00-022_Август/039dd2f3-5a11-47b2-9ee9-38ce3304e76b.jpg","open")</f>
        <v/>
      </c>
      <c r="C9286" t="inlineStr">
        <is>
          <t>1c951e11-4940-43c6-a447-394097e5609a</t>
        </is>
      </c>
      <c r="D9286" t="n">
        <v>55.78968</v>
      </c>
      <c r="E9286" t="n">
        <v>37.71011</v>
      </c>
      <c r="F9286" t="inlineStr"/>
      <c r="G9286" t="inlineStr"/>
      <c r="H9286" t="inlineStr"/>
    </row>
    <row r="9287">
      <c r="A9287" t="inlineStr">
        <is>
          <t>3d43c2ab-00a7-4e92-89ff-03e3ed75eff6.jpg</t>
        </is>
      </c>
      <c r="B9287">
        <f>HYPERLINK("Объекты недвижимости, не соответствующие градостроительным нормам_00-022_Август/3d43c2ab-00a7-4e92-89ff-03e3ed75eff6.jpg","open")</f>
        <v/>
      </c>
      <c r="C9287" t="inlineStr">
        <is>
          <t>8cde1fd0-eca1-4510-86ab-3c743b65fdfc</t>
        </is>
      </c>
      <c r="D9287" t="n">
        <v>55.78968</v>
      </c>
      <c r="E9287" t="n">
        <v>37.71011</v>
      </c>
      <c r="F9287" t="inlineStr"/>
      <c r="G9287" t="inlineStr"/>
      <c r="H9287" t="inlineStr"/>
    </row>
    <row r="9288">
      <c r="A9288" t="inlineStr">
        <is>
          <t>0110c1b9-540a-4fb5-97f3-5d2f1c24b142.jpg</t>
        </is>
      </c>
      <c r="B9288">
        <f>HYPERLINK("Объекты недвижимости, не соответствующие градостроительным нормам_00-022_Август/0110c1b9-540a-4fb5-97f3-5d2f1c24b142.jpg","open")</f>
        <v/>
      </c>
      <c r="C9288" t="inlineStr">
        <is>
          <t>ed2bf0f1-3a66-4913-896e-4420a9796c0b</t>
        </is>
      </c>
      <c r="D9288" t="n">
        <v>55.84772</v>
      </c>
      <c r="E9288" t="n">
        <v>37.60535</v>
      </c>
      <c r="F9288" t="inlineStr"/>
      <c r="G9288" t="inlineStr"/>
      <c r="H9288" t="inlineStr"/>
    </row>
    <row r="9289">
      <c r="A9289" t="inlineStr">
        <is>
          <t>07426324-afc5-40d9-9767-de91ae843820.jpg</t>
        </is>
      </c>
      <c r="B9289">
        <f>HYPERLINK("Объекты недвижимости, не соответствующие градостроительным нормам_00-022_Август/07426324-afc5-40d9-9767-de91ae843820.jpg","open")</f>
        <v/>
      </c>
      <c r="C9289" t="inlineStr">
        <is>
          <t>ed2bf0f1-3a66-4913-896e-4420a9796c0b</t>
        </is>
      </c>
      <c r="D9289" t="n">
        <v>55.84772</v>
      </c>
      <c r="E9289" t="n">
        <v>37.60535</v>
      </c>
      <c r="F9289" t="inlineStr"/>
      <c r="G9289" t="inlineStr"/>
      <c r="H9289" t="inlineStr"/>
    </row>
    <row r="9290">
      <c r="A9290" t="inlineStr">
        <is>
          <t>9f099d98-250f-4c82-b7de-9de2b2b4181f.jpg</t>
        </is>
      </c>
      <c r="B9290">
        <f>HYPERLINK("Объекты недвижимости, не соответствующие градостроительным нормам_00-022_Август/9f099d98-250f-4c82-b7de-9de2b2b4181f.jpg","open")</f>
        <v/>
      </c>
      <c r="C9290" t="inlineStr">
        <is>
          <t>5e5b9944-4f9e-4223-bf96-0bc0c8a93dfa</t>
        </is>
      </c>
      <c r="D9290" t="n">
        <v>55.70768</v>
      </c>
      <c r="E9290" t="n">
        <v>37.65829</v>
      </c>
      <c r="F9290" t="inlineStr"/>
      <c r="G9290" t="inlineStr"/>
      <c r="H9290" t="inlineStr"/>
    </row>
    <row r="9291">
      <c r="A9291" t="inlineStr">
        <is>
          <t>d231219e-6be0-441b-b4ce-4670868cc73d.jpg</t>
        </is>
      </c>
      <c r="B9291">
        <f>HYPERLINK("Объекты недвижимости, не соответствующие градостроительным нормам_00-022_Август/d231219e-6be0-441b-b4ce-4670868cc73d.jpg","open")</f>
        <v/>
      </c>
      <c r="C9291" t="inlineStr">
        <is>
          <t>1231bbc5-e64c-4dc7-9acc-77710f47607a</t>
        </is>
      </c>
      <c r="D9291" t="n">
        <v>55.66314</v>
      </c>
      <c r="E9291" t="n">
        <v>37.62354</v>
      </c>
      <c r="F9291" t="inlineStr"/>
      <c r="G9291" t="inlineStr"/>
      <c r="H9291" t="inlineStr"/>
    </row>
    <row r="9292">
      <c r="A9292" t="inlineStr">
        <is>
          <t>07cd956a-86cc-4156-97b7-029050b80e78.jpg</t>
        </is>
      </c>
      <c r="B9292">
        <f>HYPERLINK("Объекты недвижимости, не соответствующие градостроительным нормам_00-022_Август/07cd956a-86cc-4156-97b7-029050b80e78.jpg","open")</f>
        <v/>
      </c>
      <c r="C9292" t="inlineStr">
        <is>
          <t>8cde1fd0-eca1-4510-86ab-3c743b65fdfc</t>
        </is>
      </c>
      <c r="D9292" t="n">
        <v>55.78481</v>
      </c>
      <c r="E9292" t="n">
        <v>37.71013</v>
      </c>
      <c r="F9292" t="inlineStr"/>
      <c r="G9292" t="inlineStr"/>
      <c r="H9292" t="inlineStr"/>
    </row>
    <row r="9293">
      <c r="A9293" t="inlineStr">
        <is>
          <t>013875da-1784-4311-a27f-df744a2e2c81.jpg</t>
        </is>
      </c>
      <c r="B9293">
        <f>HYPERLINK("Объекты недвижимости, не соответствующие градостроительным нормам_00-022_Август/013875da-1784-4311-a27f-df744a2e2c81.jpg","open")</f>
        <v/>
      </c>
      <c r="C9293" t="inlineStr">
        <is>
          <t>8cde1fd0-eca1-4510-86ab-3c743b65fdfc</t>
        </is>
      </c>
      <c r="D9293" t="n">
        <v>55.7845</v>
      </c>
      <c r="E9293" t="n">
        <v>37.70691</v>
      </c>
      <c r="F9293" t="inlineStr"/>
      <c r="G9293" t="inlineStr"/>
      <c r="H9293" t="inlineStr"/>
    </row>
    <row r="9294">
      <c r="A9294" t="inlineStr">
        <is>
          <t>2284e9f5-5f5f-42dc-8ec0-e25dfd0c9ad4.jpg</t>
        </is>
      </c>
      <c r="B9294">
        <f>HYPERLINK("Объекты недвижимости, не соответствующие градостроительным нормам_00-022_Август/2284e9f5-5f5f-42dc-8ec0-e25dfd0c9ad4.jpg","open")</f>
        <v/>
      </c>
      <c r="C9294" t="inlineStr">
        <is>
          <t>1c951e11-4940-43c6-a447-394097e5609a</t>
        </is>
      </c>
      <c r="D9294" t="n">
        <v>55.78451</v>
      </c>
      <c r="E9294" t="n">
        <v>37.7066</v>
      </c>
      <c r="F9294" t="inlineStr"/>
      <c r="G9294" t="inlineStr"/>
      <c r="H9294" t="inlineStr"/>
    </row>
    <row r="9295">
      <c r="A9295" t="inlineStr">
        <is>
          <t>feeb57e6-bd7d-49f0-ab51-16f415086797.jpg</t>
        </is>
      </c>
      <c r="B9295">
        <f>HYPERLINK("Объекты недвижимости, не соответствующие градостроительным нормам_00-022_Август/feeb57e6-bd7d-49f0-ab51-16f415086797.jpg","open")</f>
        <v/>
      </c>
      <c r="C9295" t="inlineStr">
        <is>
          <t>5adecbcf-6742-48b8-951f-8e3abc9509e4</t>
        </is>
      </c>
      <c r="D9295" t="n">
        <v>55.70768</v>
      </c>
      <c r="E9295" t="n">
        <v>37.65829</v>
      </c>
      <c r="F9295" t="inlineStr"/>
      <c r="G9295" t="inlineStr"/>
      <c r="H9295" t="inlineStr"/>
    </row>
    <row r="9296">
      <c r="A9296" t="inlineStr">
        <is>
          <t>0948bf98-5b68-4b68-bc51-3c128fa2a6cb.jpg</t>
        </is>
      </c>
      <c r="B9296">
        <f>HYPERLINK("Объекты недвижимости, не соответствующие градостроительным нормам_00-022_Август/0948bf98-5b68-4b68-bc51-3c128fa2a6cb.jpg","open")</f>
        <v/>
      </c>
      <c r="C9296" t="inlineStr">
        <is>
          <t>5adecbcf-6742-48b8-951f-8e3abc9509e4</t>
        </is>
      </c>
      <c r="D9296" t="n">
        <v>55.70768</v>
      </c>
      <c r="E9296" t="n">
        <v>37.65829</v>
      </c>
      <c r="F9296" t="inlineStr"/>
      <c r="G9296" t="inlineStr"/>
      <c r="H9296" t="inlineStr"/>
    </row>
    <row r="9297">
      <c r="A9297" t="inlineStr">
        <is>
          <t>2a28d99c-4fe5-4138-9795-5931ab4d8ee6.jpg</t>
        </is>
      </c>
      <c r="B9297">
        <f>HYPERLINK("Объекты недвижимости, не соответствующие градостроительным нормам_00-022_Август/2a28d99c-4fe5-4138-9795-5931ab4d8ee6.jpg","open")</f>
        <v/>
      </c>
      <c r="C9297" t="inlineStr">
        <is>
          <t>5e5b9944-4f9e-4223-bf96-0bc0c8a93dfa</t>
        </is>
      </c>
      <c r="D9297" t="n">
        <v>55.70768</v>
      </c>
      <c r="E9297" t="n">
        <v>37.65829</v>
      </c>
      <c r="F9297" t="inlineStr"/>
      <c r="G9297" t="inlineStr"/>
      <c r="H9297" t="inlineStr"/>
    </row>
    <row r="9298">
      <c r="A9298" t="inlineStr">
        <is>
          <t>6be2cec0-1701-49d9-9959-0a1847a1fce9.jpg</t>
        </is>
      </c>
      <c r="B9298">
        <f>HYPERLINK("Объекты недвижимости, не соответствующие градостроительным нормам_00-022_Август/6be2cec0-1701-49d9-9959-0a1847a1fce9.jpg","open")</f>
        <v/>
      </c>
      <c r="C9298" t="inlineStr">
        <is>
          <t>f6f80c84-5569-48fd-b627-6f41ce4c61c4</t>
        </is>
      </c>
      <c r="D9298" t="n">
        <v>55.80923</v>
      </c>
      <c r="E9298" t="n">
        <v>37.49374</v>
      </c>
      <c r="F9298" t="inlineStr"/>
      <c r="G9298" t="inlineStr"/>
      <c r="H9298" t="inlineStr"/>
    </row>
    <row r="9299">
      <c r="A9299" t="inlineStr">
        <is>
          <t>ecd97528-ff7c-4e20-a062-c356abfaef2f.jpg</t>
        </is>
      </c>
      <c r="B9299">
        <f>HYPERLINK("Объекты недвижимости, не соответствующие градостроительным нормам_00-022_Август/ecd97528-ff7c-4e20-a062-c356abfaef2f.jpg","open")</f>
        <v/>
      </c>
      <c r="C9299" t="inlineStr">
        <is>
          <t>57aae8a4-582b-4309-8045-c8127a9f86ae</t>
        </is>
      </c>
      <c r="D9299" t="n">
        <v>55.79677</v>
      </c>
      <c r="E9299" t="n">
        <v>37.69583</v>
      </c>
      <c r="F9299" t="inlineStr"/>
      <c r="G9299" t="inlineStr"/>
      <c r="H9299" t="inlineStr"/>
    </row>
    <row r="9300">
      <c r="A9300" t="inlineStr">
        <is>
          <t>5ae1bd19-ac42-48d1-8950-21123ff9a578.jpg</t>
        </is>
      </c>
      <c r="B9300">
        <f>HYPERLINK("Объекты недвижимости, не соответствующие градостроительным нормам_00-022_Август/5ae1bd19-ac42-48d1-8950-21123ff9a578.jpg","open")</f>
        <v/>
      </c>
      <c r="C9300" t="inlineStr">
        <is>
          <t>acedacc2-0d8b-4fc1-9622-25621a89d071</t>
        </is>
      </c>
      <c r="D9300" t="n">
        <v>55.79678</v>
      </c>
      <c r="E9300" t="n">
        <v>37.69583</v>
      </c>
      <c r="F9300" t="inlineStr"/>
      <c r="G9300" t="inlineStr"/>
      <c r="H9300" t="inlineStr"/>
    </row>
    <row r="9301">
      <c r="A9301" t="inlineStr">
        <is>
          <t>8f1f6955-add5-48f8-974d-b9f1f621991d.jpg</t>
        </is>
      </c>
      <c r="B9301">
        <f>HYPERLINK("Объекты недвижимости, не соответствующие градостроительным нормам_00-022_Август/8f1f6955-add5-48f8-974d-b9f1f621991d.jpg","open")</f>
        <v/>
      </c>
      <c r="C9301" t="inlineStr">
        <is>
          <t>a28f597e-d1cd-4d3b-b572-c86d033412e9</t>
        </is>
      </c>
      <c r="D9301" t="n">
        <v>55.71637</v>
      </c>
      <c r="E9301" t="n">
        <v>37.39238</v>
      </c>
      <c r="F9301" t="inlineStr"/>
      <c r="G9301" t="inlineStr"/>
      <c r="H9301" t="inlineStr"/>
    </row>
    <row r="9302">
      <c r="A9302" t="inlineStr">
        <is>
          <t>6f1cb739-dbec-411f-a787-4bf20fe24bd0.jpg</t>
        </is>
      </c>
      <c r="B9302">
        <f>HYPERLINK("Объекты недвижимости, не соответствующие градостроительным нормам_00-022_Август/6f1cb739-dbec-411f-a787-4bf20fe24bd0.jpg","open")</f>
        <v/>
      </c>
      <c r="C9302" t="inlineStr">
        <is>
          <t>91248771-2c4d-44f3-b3cf-d536bd4ae73c</t>
        </is>
      </c>
      <c r="D9302" t="n">
        <v>55.76429</v>
      </c>
      <c r="E9302" t="n">
        <v>37.73332</v>
      </c>
      <c r="F9302" t="inlineStr"/>
      <c r="G9302" t="inlineStr"/>
      <c r="H9302" t="inlineStr"/>
    </row>
    <row r="9303">
      <c r="A9303" t="inlineStr">
        <is>
          <t>2ca959ba-ee37-481d-953c-17852caf1f10.jpg</t>
        </is>
      </c>
      <c r="B9303">
        <f>HYPERLINK("Объекты недвижимости, не соответствующие градостроительным нормам_00-022_Август/2ca959ba-ee37-481d-953c-17852caf1f10.jpg","open")</f>
        <v/>
      </c>
      <c r="C9303" t="inlineStr">
        <is>
          <t>685d9054-b74f-49ab-857b-109fd2cec80d</t>
        </is>
      </c>
      <c r="D9303" t="n">
        <v>55.6498</v>
      </c>
      <c r="E9303" t="n">
        <v>37.57093</v>
      </c>
      <c r="F9303" t="inlineStr"/>
      <c r="G9303" t="inlineStr"/>
      <c r="H9303" t="inlineStr"/>
    </row>
    <row r="9304">
      <c r="A9304" t="inlineStr">
        <is>
          <t>e198e280-d4e0-4f96-a202-6291c1846ac7.jpg</t>
        </is>
      </c>
      <c r="B9304">
        <f>HYPERLINK("Объекты недвижимости, не соответствующие градостроительным нормам_00-022_Август/e198e280-d4e0-4f96-a202-6291c1846ac7.jpg","open")</f>
        <v/>
      </c>
      <c r="C9304" t="inlineStr">
        <is>
          <t>91248771-2c4d-44f3-b3cf-d536bd4ae73c</t>
        </is>
      </c>
      <c r="D9304" t="n">
        <v>55.76197</v>
      </c>
      <c r="E9304" t="n">
        <v>37.73541</v>
      </c>
      <c r="F9304" t="inlineStr"/>
      <c r="G9304" t="inlineStr"/>
      <c r="H9304" t="inlineStr"/>
    </row>
    <row r="9305">
      <c r="A9305" t="inlineStr">
        <is>
          <t>73b5df8b-e37f-4b0e-b5d3-9aebb116a0d9.jpg</t>
        </is>
      </c>
      <c r="B9305">
        <f>HYPERLINK("Объекты недвижимости, не соответствующие градостроительным нормам_00-022_Август/73b5df8b-e37f-4b0e-b5d3-9aebb116a0d9.jpg","open")</f>
        <v/>
      </c>
      <c r="C9305" t="inlineStr">
        <is>
          <t>1c951e11-4940-43c6-a447-394097e5609a</t>
        </is>
      </c>
      <c r="D9305" t="n">
        <v>55.79168</v>
      </c>
      <c r="E9305" t="n">
        <v>37.71623</v>
      </c>
      <c r="F9305" t="inlineStr"/>
      <c r="G9305" t="inlineStr"/>
      <c r="H9305" t="inlineStr"/>
    </row>
    <row r="9306">
      <c r="A9306" t="inlineStr">
        <is>
          <t>5afb5c09-03a8-489d-affb-ba670cab9b98.jpg</t>
        </is>
      </c>
      <c r="B9306">
        <f>HYPERLINK("Объекты недвижимости, не соответствующие градостроительным нормам_00-022_Август/5afb5c09-03a8-489d-affb-ba670cab9b98.jpg","open")</f>
        <v/>
      </c>
      <c r="C9306" t="inlineStr">
        <is>
          <t>8cde1fd0-eca1-4510-86ab-3c743b65fdfc</t>
        </is>
      </c>
      <c r="D9306" t="n">
        <v>55.79168</v>
      </c>
      <c r="E9306" t="n">
        <v>37.71617</v>
      </c>
      <c r="F9306" t="inlineStr"/>
      <c r="G9306" t="inlineStr"/>
      <c r="H9306" t="inlineStr"/>
    </row>
    <row r="9307">
      <c r="A9307" t="inlineStr">
        <is>
          <t>f12b810c-cb95-49ab-92a9-fafe25f81560.jpg</t>
        </is>
      </c>
      <c r="B9307">
        <f>HYPERLINK("Объекты недвижимости, не соответствующие градостроительным нормам_00-022_Август/f12b810c-cb95-49ab-92a9-fafe25f81560.jpg","open")</f>
        <v/>
      </c>
      <c r="C9307" t="inlineStr">
        <is>
          <t>57aae8a4-582b-4309-8045-c8127a9f86ae</t>
        </is>
      </c>
      <c r="D9307" t="n">
        <v>55.79554</v>
      </c>
      <c r="E9307" t="n">
        <v>37.69833</v>
      </c>
      <c r="F9307" t="inlineStr"/>
      <c r="G9307" t="inlineStr"/>
      <c r="H9307" t="inlineStr"/>
    </row>
    <row r="9308">
      <c r="A9308" t="inlineStr">
        <is>
          <t>07bcf1d0-3d5c-439e-bf51-81186b2448e7.jpg</t>
        </is>
      </c>
      <c r="B9308">
        <f>HYPERLINK("Объекты недвижимости, не соответствующие градостроительным нормам_00-022_Август/07bcf1d0-3d5c-439e-bf51-81186b2448e7.jpg","open")</f>
        <v/>
      </c>
      <c r="C9308" t="inlineStr">
        <is>
          <t>ed2bf0f1-3a66-4913-896e-4420a9796c0b</t>
        </is>
      </c>
      <c r="D9308" t="n">
        <v>55.86968</v>
      </c>
      <c r="E9308" t="n">
        <v>37.57212</v>
      </c>
      <c r="F9308" t="inlineStr"/>
      <c r="G9308" t="inlineStr"/>
      <c r="H9308" t="inlineStr"/>
    </row>
    <row r="9309">
      <c r="A9309" t="inlineStr">
        <is>
          <t>49ff4689-bb4f-4591-b9b5-f33758f48bb8.jpg</t>
        </is>
      </c>
      <c r="B9309">
        <f>HYPERLINK("Объекты недвижимости, не соответствующие градостроительным нормам_00-022_Август/49ff4689-bb4f-4591-b9b5-f33758f48bb8.jpg","open")</f>
        <v/>
      </c>
      <c r="C9309" t="inlineStr">
        <is>
          <t>ed2bf0f1-3a66-4913-896e-4420a9796c0b</t>
        </is>
      </c>
      <c r="D9309" t="n">
        <v>55.86993</v>
      </c>
      <c r="E9309" t="n">
        <v>37.57201</v>
      </c>
      <c r="F9309" t="inlineStr"/>
      <c r="G9309" t="inlineStr"/>
      <c r="H9309" t="inlineStr"/>
    </row>
    <row r="9310">
      <c r="A9310" t="inlineStr">
        <is>
          <t>5c03e987-16e4-4805-addb-981a28020984.jpg</t>
        </is>
      </c>
      <c r="B9310">
        <f>HYPERLINK("Объекты недвижимости, не соответствующие градостроительным нормам_00-022_Август/5c03e987-16e4-4805-addb-981a28020984.jpg","open")</f>
        <v/>
      </c>
      <c r="C9310" t="inlineStr">
        <is>
          <t>1a55986c-2c3f-40c0-b3d1-014dce77832e</t>
        </is>
      </c>
      <c r="D9310" t="n">
        <v>55.87089</v>
      </c>
      <c r="E9310" t="n">
        <v>37.57153</v>
      </c>
      <c r="F9310" t="inlineStr"/>
      <c r="G9310" t="inlineStr"/>
      <c r="H9310" t="inlineStr"/>
    </row>
    <row r="9311">
      <c r="A9311" t="inlineStr">
        <is>
          <t>ebd61b3a-2474-48d0-bd3d-c054c72921f9.jpg</t>
        </is>
      </c>
      <c r="B9311">
        <f>HYPERLINK("Объекты недвижимости, не соответствующие градостроительным нормам_00-022_Август/ebd61b3a-2474-48d0-bd3d-c054c72921f9.jpg","open")</f>
        <v/>
      </c>
      <c r="C9311" t="inlineStr">
        <is>
          <t>ed2bf0f1-3a66-4913-896e-4420a9796c0b</t>
        </is>
      </c>
      <c r="D9311" t="n">
        <v>55.87106</v>
      </c>
      <c r="E9311" t="n">
        <v>37.57203</v>
      </c>
      <c r="F9311" t="inlineStr"/>
      <c r="G9311" t="inlineStr"/>
      <c r="H9311" t="inlineStr"/>
    </row>
    <row r="9312">
      <c r="A9312" t="inlineStr">
        <is>
          <t>79f6ab4f-b099-4cc1-85f5-bb8818da4fad.jpg</t>
        </is>
      </c>
      <c r="B9312">
        <f>HYPERLINK("Объекты недвижимости, не соответствующие градостроительным нормам_00-022_Август/79f6ab4f-b099-4cc1-85f5-bb8818da4fad.jpg","open")</f>
        <v/>
      </c>
      <c r="C9312" t="inlineStr">
        <is>
          <t>1a55986c-2c3f-40c0-b3d1-014dce77832e</t>
        </is>
      </c>
      <c r="D9312" t="n">
        <v>55.87099</v>
      </c>
      <c r="E9312" t="n">
        <v>37.57166</v>
      </c>
      <c r="F9312" t="inlineStr"/>
      <c r="G9312" t="inlineStr"/>
      <c r="H9312" t="inlineStr"/>
    </row>
    <row r="9313">
      <c r="A9313" t="inlineStr">
        <is>
          <t>c5a00331-165c-49e5-a4e2-0d74c9b9eedc.jpg</t>
        </is>
      </c>
      <c r="B9313">
        <f>HYPERLINK("Объекты недвижимости, не соответствующие градостроительным нормам_00-022_Август/c5a00331-165c-49e5-a4e2-0d74c9b9eedc.jpg","open")</f>
        <v/>
      </c>
      <c r="C9313" t="inlineStr">
        <is>
          <t>0ae6fd20-177f-4af7-9257-efb3c784b357</t>
        </is>
      </c>
      <c r="D9313" t="n">
        <v>55.79259</v>
      </c>
      <c r="E9313" t="n">
        <v>37.5983</v>
      </c>
      <c r="F9313" t="inlineStr"/>
      <c r="G9313" t="inlineStr"/>
      <c r="H9313" t="inlineStr"/>
    </row>
    <row r="9314">
      <c r="A9314" t="inlineStr">
        <is>
          <t>c28f1473-6893-44bd-a91a-f34bf5c53674.jpg</t>
        </is>
      </c>
      <c r="B9314">
        <f>HYPERLINK("Объекты недвижимости, не соответствующие градостроительным нормам_00-022_Август/c28f1473-6893-44bd-a91a-f34bf5c53674.jpg","open")</f>
        <v/>
      </c>
      <c r="C9314" t="inlineStr">
        <is>
          <t>8cde1fd0-eca1-4510-86ab-3c743b65fdfc</t>
        </is>
      </c>
      <c r="D9314" t="n">
        <v>55.79418</v>
      </c>
      <c r="E9314" t="n">
        <v>37.7244</v>
      </c>
      <c r="F9314" t="inlineStr"/>
      <c r="G9314" t="inlineStr"/>
      <c r="H9314" t="inlineStr"/>
    </row>
    <row r="9315">
      <c r="A9315" t="inlineStr">
        <is>
          <t>a6025bf5-892f-48b8-92cd-d9b208a9cefb.jpg</t>
        </is>
      </c>
      <c r="B9315">
        <f>HYPERLINK("Объекты недвижимости, не соответствующие градостроительным нормам_00-022_Август/a6025bf5-892f-48b8-92cd-d9b208a9cefb.jpg","open")</f>
        <v/>
      </c>
      <c r="C9315" t="inlineStr">
        <is>
          <t>e85aff3b-73e8-4856-827e-477ccc0aea77</t>
        </is>
      </c>
      <c r="D9315" t="n">
        <v>55.79259</v>
      </c>
      <c r="E9315" t="n">
        <v>37.5983</v>
      </c>
      <c r="F9315" t="inlineStr"/>
      <c r="G9315" t="inlineStr"/>
      <c r="H9315" t="inlineStr"/>
    </row>
    <row r="9316">
      <c r="A9316" t="inlineStr">
        <is>
          <t>4253a8b6-61b5-4589-9f89-c50ff2e3243e.jpg</t>
        </is>
      </c>
      <c r="B9316">
        <f>HYPERLINK("Объекты недвижимости, не соответствующие градостроительным нормам_00-022_Август/4253a8b6-61b5-4589-9f89-c50ff2e3243e.jpg","open")</f>
        <v/>
      </c>
      <c r="C9316" t="inlineStr">
        <is>
          <t>0ae6fd20-177f-4af7-9257-efb3c784b357</t>
        </is>
      </c>
      <c r="D9316" t="n">
        <v>55.79259</v>
      </c>
      <c r="E9316" t="n">
        <v>37.5983</v>
      </c>
      <c r="F9316" t="inlineStr"/>
      <c r="G9316" t="inlineStr"/>
      <c r="H9316" t="inlineStr"/>
    </row>
    <row r="9317">
      <c r="A9317" t="inlineStr">
        <is>
          <t>db1a07bb-ae59-4dd4-9b20-dcc363c26a86.jpg</t>
        </is>
      </c>
      <c r="B9317">
        <f>HYPERLINK("Объекты недвижимости, не соответствующие градостроительным нормам_00-022_Август/db1a07bb-ae59-4dd4-9b20-dcc363c26a86.jpg","open")</f>
        <v/>
      </c>
      <c r="C9317" t="inlineStr">
        <is>
          <t>e85aff3b-73e8-4856-827e-477ccc0aea77</t>
        </is>
      </c>
      <c r="D9317" t="n">
        <v>55.79259</v>
      </c>
      <c r="E9317" t="n">
        <v>37.5983</v>
      </c>
      <c r="F9317" t="inlineStr"/>
      <c r="G9317" t="inlineStr"/>
      <c r="H9317" t="inlineStr"/>
    </row>
    <row r="9318">
      <c r="A9318" t="inlineStr">
        <is>
          <t>aba31bbc-c5bd-487e-af6f-599dbb3eb2dc.jpg</t>
        </is>
      </c>
      <c r="B9318">
        <f>HYPERLINK("Объекты недвижимости, не соответствующие градостроительным нормам_00-022_Август/aba31bbc-c5bd-487e-af6f-599dbb3eb2dc.jpg","open")</f>
        <v/>
      </c>
      <c r="C9318" t="inlineStr">
        <is>
          <t>5e5b9944-4f9e-4223-bf96-0bc0c8a93dfa</t>
        </is>
      </c>
      <c r="D9318" t="n">
        <v>55.97506</v>
      </c>
      <c r="E9318" t="n">
        <v>37.39917</v>
      </c>
      <c r="F9318" t="inlineStr"/>
      <c r="G9318" t="inlineStr"/>
      <c r="H9318" t="inlineStr"/>
    </row>
    <row r="9319">
      <c r="A9319" t="inlineStr">
        <is>
          <t>ffb398e3-ce12-4a22-b7d6-55d4554521dd.jpg</t>
        </is>
      </c>
      <c r="B9319">
        <f>HYPERLINK("Объекты недвижимости, не соответствующие градостроительным нормам_00-022_Август/ffb398e3-ce12-4a22-b7d6-55d4554521dd.jpg","open")</f>
        <v/>
      </c>
      <c r="C9319" t="inlineStr">
        <is>
          <t>31a713a9-b910-424b-b847-e0eaa2f70c70</t>
        </is>
      </c>
      <c r="D9319" t="n">
        <v>55.63403</v>
      </c>
      <c r="E9319" t="n">
        <v>37.52691</v>
      </c>
      <c r="F9319" t="inlineStr"/>
      <c r="G9319" t="inlineStr"/>
      <c r="H9319" t="inlineStr"/>
    </row>
    <row r="9320">
      <c r="A9320" t="inlineStr">
        <is>
          <t>0ee727b8-9f96-4974-beaa-6d74d42f4d4a.jpg</t>
        </is>
      </c>
      <c r="B9320">
        <f>HYPERLINK("Объекты недвижимости, не соответствующие градостроительным нормам_00-022_Август/0ee727b8-9f96-4974-beaa-6d74d42f4d4a.jpg","open")</f>
        <v/>
      </c>
      <c r="C9320" t="inlineStr">
        <is>
          <t>5e5b9944-4f9e-4223-bf96-0bc0c8a93dfa</t>
        </is>
      </c>
      <c r="D9320" t="n">
        <v>55.97506</v>
      </c>
      <c r="E9320" t="n">
        <v>37.39917</v>
      </c>
      <c r="F9320" t="inlineStr"/>
      <c r="G9320" t="inlineStr"/>
      <c r="H9320" t="inlineStr"/>
    </row>
    <row r="9321">
      <c r="A9321" t="inlineStr">
        <is>
          <t>b9b3c3c4-8d79-41dc-b06a-17f1726bcf8c.jpg</t>
        </is>
      </c>
      <c r="B9321">
        <f>HYPERLINK("Объекты недвижимости, не соответствующие градостроительным нормам_00-022_Август/b9b3c3c4-8d79-41dc-b06a-17f1726bcf8c.jpg","open")</f>
        <v/>
      </c>
      <c r="C9321" t="inlineStr">
        <is>
          <t>e85aff3b-73e8-4856-827e-477ccc0aea77</t>
        </is>
      </c>
      <c r="D9321" t="n">
        <v>55.96547</v>
      </c>
      <c r="E9321" t="n">
        <v>37.42421</v>
      </c>
      <c r="F9321" t="inlineStr"/>
      <c r="G9321" t="inlineStr"/>
      <c r="H9321" t="inlineStr"/>
    </row>
    <row r="9322">
      <c r="A9322" t="inlineStr">
        <is>
          <t>823f3c76-d160-43dc-b360-5b4a2d12e382.jpg</t>
        </is>
      </c>
      <c r="B9322">
        <f>HYPERLINK("Объекты недвижимости, не соответствующие градостроительным нормам_00-022_Август/823f3c76-d160-43dc-b360-5b4a2d12e382.jpg","open")</f>
        <v/>
      </c>
      <c r="C9322" t="inlineStr">
        <is>
          <t>99ad831f-cb97-41d7-860c-2a48cf549c05</t>
        </is>
      </c>
      <c r="D9322" t="n">
        <v>55.87336</v>
      </c>
      <c r="E9322" t="n">
        <v>37.50811</v>
      </c>
      <c r="F9322" t="inlineStr"/>
      <c r="G9322" t="inlineStr"/>
      <c r="H9322" t="inlineStr"/>
    </row>
    <row r="9323">
      <c r="A9323" t="inlineStr">
        <is>
          <t>2a00d9b3-4d61-49a9-a1a1-353cb69790f2.jpg</t>
        </is>
      </c>
      <c r="B9323">
        <f>HYPERLINK("Объекты недвижимости, не соответствующие градостроительным нормам_00-022_Август/2a00d9b3-4d61-49a9-a1a1-353cb69790f2.jpg","open")</f>
        <v/>
      </c>
      <c r="C9323" t="inlineStr">
        <is>
          <t>8b2675e2-7f40-47a9-a462-7c9feecd299c</t>
        </is>
      </c>
      <c r="D9323" t="n">
        <v>55.81538</v>
      </c>
      <c r="E9323" t="n">
        <v>37.74108</v>
      </c>
      <c r="F9323" t="inlineStr"/>
      <c r="G9323" t="inlineStr"/>
      <c r="H9323" t="inlineStr"/>
    </row>
    <row r="9324">
      <c r="A9324" t="inlineStr">
        <is>
          <t>6952a3e3-36bb-4b55-b6bc-2b48ab986922.jpg</t>
        </is>
      </c>
      <c r="B9324">
        <f>HYPERLINK("Объекты недвижимости, не соответствующие градостроительным нормам_00-022_Август/6952a3e3-36bb-4b55-b6bc-2b48ab986922.jpg","open")</f>
        <v/>
      </c>
      <c r="C9324" t="inlineStr">
        <is>
          <t>29ad9edb-d533-4272-a986-be24eb004851</t>
        </is>
      </c>
      <c r="D9324" t="n">
        <v>55.78238</v>
      </c>
      <c r="E9324" t="n">
        <v>37.66833</v>
      </c>
      <c r="F9324" t="inlineStr"/>
      <c r="G9324" t="inlineStr"/>
      <c r="H9324" t="inlineStr"/>
    </row>
    <row r="9325">
      <c r="A9325" t="inlineStr">
        <is>
          <t>733358da-5d71-4571-b261-c7191e789b14.jpg</t>
        </is>
      </c>
      <c r="B9325">
        <f>HYPERLINK("Объекты недвижимости, не соответствующие градостроительным нормам_00-022_Август/733358da-5d71-4571-b261-c7191e789b14.jpg","open")</f>
        <v/>
      </c>
      <c r="C9325" t="inlineStr">
        <is>
          <t>93848fc8-17e7-4748-9ebc-c7e379e11d2f</t>
        </is>
      </c>
      <c r="D9325" t="n">
        <v>55.5538</v>
      </c>
      <c r="E9325" t="n">
        <v>37.34613</v>
      </c>
      <c r="F9325" t="inlineStr"/>
      <c r="G9325" t="inlineStr"/>
      <c r="H9325" t="inlineStr"/>
    </row>
    <row r="9326">
      <c r="A9326" t="inlineStr">
        <is>
          <t>dcaa0c94-4e7c-41d0-b578-363b1f305eb5.jpg</t>
        </is>
      </c>
      <c r="B9326">
        <f>HYPERLINK("Объекты недвижимости, не соответствующие градостроительным нормам_00-022_Август/dcaa0c94-4e7c-41d0-b578-363b1f305eb5.jpg","open")</f>
        <v/>
      </c>
      <c r="C9326" t="inlineStr">
        <is>
          <t>caa4772d-6278-4484-a046-ee25514bf521</t>
        </is>
      </c>
      <c r="D9326" t="n">
        <v>55.84166</v>
      </c>
      <c r="E9326" t="n">
        <v>37.43728</v>
      </c>
      <c r="F9326" t="inlineStr"/>
      <c r="G9326" t="inlineStr"/>
      <c r="H9326" t="inlineStr"/>
    </row>
    <row r="9327">
      <c r="A9327" t="inlineStr">
        <is>
          <t>351054a5-bfa5-4276-a5aa-4a7a4c55e3dd.jpg</t>
        </is>
      </c>
      <c r="B9327">
        <f>HYPERLINK("Объекты недвижимости, не соответствующие градостроительным нормам_00-022_Август/351054a5-bfa5-4276-a5aa-4a7a4c55e3dd.jpg","open")</f>
        <v/>
      </c>
      <c r="C9327" t="inlineStr">
        <is>
          <t>29ad9edb-d533-4272-a986-be24eb004851</t>
        </is>
      </c>
      <c r="D9327" t="n">
        <v>55.78447</v>
      </c>
      <c r="E9327" t="n">
        <v>37.66136</v>
      </c>
      <c r="F9327" t="inlineStr"/>
      <c r="G9327" t="inlineStr"/>
      <c r="H9327" t="inlineStr"/>
    </row>
    <row r="9328">
      <c r="A9328" t="inlineStr">
        <is>
          <t>0c347b7e-5753-4281-b1c5-1127c6690e2c.jpg</t>
        </is>
      </c>
      <c r="B9328">
        <f>HYPERLINK("Объекты недвижимости, не соответствующие градостроительным нормам_00-022_Август/0c347b7e-5753-4281-b1c5-1127c6690e2c.jpg","open")</f>
        <v/>
      </c>
      <c r="C9328" t="inlineStr">
        <is>
          <t>030e8755-17c1-44eb-9530-707d0d3121cb</t>
        </is>
      </c>
      <c r="D9328" t="n">
        <v>55.71529</v>
      </c>
      <c r="E9328" t="n">
        <v>37.68069</v>
      </c>
      <c r="F9328" t="inlineStr"/>
      <c r="G9328" t="inlineStr"/>
      <c r="H9328" t="inlineStr"/>
    </row>
    <row r="9329">
      <c r="A9329" t="inlineStr">
        <is>
          <t>3fd13b5c-22f4-4319-b66d-fff5d20069ee.jpg</t>
        </is>
      </c>
      <c r="B9329">
        <f>HYPERLINK("Объекты недвижимости, не соответствующие градостроительным нормам_00-022_Август/3fd13b5c-22f4-4319-b66d-fff5d20069ee.jpg","open")</f>
        <v/>
      </c>
      <c r="C9329" t="inlineStr">
        <is>
          <t>8cde1fd0-eca1-4510-86ab-3c743b65fdfc</t>
        </is>
      </c>
      <c r="D9329" t="n">
        <v>55.79757</v>
      </c>
      <c r="E9329" t="n">
        <v>37.74561</v>
      </c>
      <c r="F9329" t="inlineStr"/>
      <c r="G9329" t="inlineStr"/>
      <c r="H9329" t="inlineStr"/>
    </row>
    <row r="9330">
      <c r="A9330" t="inlineStr">
        <is>
          <t>a946e9f3-e6ca-48f7-bc69-0f7c059fa3a2.jpg</t>
        </is>
      </c>
      <c r="B9330">
        <f>HYPERLINK("Объекты недвижимости, не соответствующие градостроительным нормам_00-022_Август/a946e9f3-e6ca-48f7-bc69-0f7c059fa3a2.jpg","open")</f>
        <v/>
      </c>
      <c r="C9330" t="inlineStr">
        <is>
          <t>db8b536c-32f2-4d9a-ae08-679d227e61f1</t>
        </is>
      </c>
      <c r="D9330" t="n">
        <v>55.68209</v>
      </c>
      <c r="E9330" t="n">
        <v>37.56931</v>
      </c>
      <c r="F9330" t="inlineStr"/>
      <c r="G9330" t="inlineStr"/>
      <c r="H9330" t="inlineStr"/>
    </row>
    <row r="9331">
      <c r="A9331" t="inlineStr">
        <is>
          <t>f4042c18-5f83-42d2-97f3-7bf2789efcdc.jpg</t>
        </is>
      </c>
      <c r="B9331">
        <f>HYPERLINK("Объекты недвижимости, не соответствующие градостроительным нормам_00-022_Август/f4042c18-5f83-42d2-97f3-7bf2789efcdc.jpg","open")</f>
        <v/>
      </c>
      <c r="C9331" t="inlineStr">
        <is>
          <t>50e4626c-a80e-42ab-b999-b5092c2c063f</t>
        </is>
      </c>
      <c r="D9331" t="n">
        <v>55.74294</v>
      </c>
      <c r="E9331" t="n">
        <v>37.81687</v>
      </c>
      <c r="F9331" t="inlineStr"/>
      <c r="G9331" t="inlineStr"/>
      <c r="H9331" t="inlineStr"/>
    </row>
    <row r="9332">
      <c r="A9332" t="inlineStr">
        <is>
          <t>dce4dfdc-ca41-4e65-9cb7-9c13207c2ffb.jpg</t>
        </is>
      </c>
      <c r="B9332">
        <f>HYPERLINK("Объекты недвижимости, не соответствующие градостроительным нормам_00-022_Август/dce4dfdc-ca41-4e65-9cb7-9c13207c2ffb.jpg","open")</f>
        <v/>
      </c>
      <c r="C9332" t="inlineStr">
        <is>
          <t>55da50d9-6d31-4c29-a85b-6a228578c6de</t>
        </is>
      </c>
      <c r="D9332" t="n">
        <v>55.87586</v>
      </c>
      <c r="E9332" t="n">
        <v>37.49419</v>
      </c>
      <c r="F9332" t="inlineStr"/>
      <c r="G9332" t="inlineStr"/>
      <c r="H9332" t="inlineStr"/>
    </row>
    <row r="9333">
      <c r="A9333" t="inlineStr">
        <is>
          <t>d60b1482-da88-41ae-9690-11a38fa578f7.jpg</t>
        </is>
      </c>
      <c r="B9333">
        <f>HYPERLINK("Объекты недвижимости, не соответствующие градостроительным нормам_00-022_Август/d60b1482-da88-41ae-9690-11a38fa578f7.jpg","open")</f>
        <v/>
      </c>
      <c r="C9333" t="inlineStr">
        <is>
          <t>57aae8a4-582b-4309-8045-c8127a9f86ae</t>
        </is>
      </c>
      <c r="D9333" t="n">
        <v>55.78619</v>
      </c>
      <c r="E9333" t="n">
        <v>37.68756</v>
      </c>
      <c r="F9333" t="inlineStr"/>
      <c r="G9333" t="inlineStr"/>
      <c r="H9333" t="inlineStr"/>
    </row>
    <row r="9334">
      <c r="A9334" t="inlineStr">
        <is>
          <t>58a48ecd-de80-4bc0-b0ac-bc6a9da7319d.jpg</t>
        </is>
      </c>
      <c r="B9334">
        <f>HYPERLINK("Объекты недвижимости, не соответствующие градостроительным нормам_00-022_Август/58a48ecd-de80-4bc0-b0ac-bc6a9da7319d.jpg","open")</f>
        <v/>
      </c>
      <c r="C9334" t="inlineStr">
        <is>
          <t>acedacc2-0d8b-4fc1-9622-25621a89d071</t>
        </is>
      </c>
      <c r="D9334" t="n">
        <v>55.78619</v>
      </c>
      <c r="E9334" t="n">
        <v>37.68758</v>
      </c>
      <c r="F9334" t="inlineStr"/>
      <c r="G9334" t="inlineStr"/>
      <c r="H9334" t="inlineStr"/>
    </row>
    <row r="9335">
      <c r="A9335" t="inlineStr">
        <is>
          <t>f17247ff-3892-4f2d-b07f-494680fe84ae.jpg</t>
        </is>
      </c>
      <c r="B9335">
        <f>HYPERLINK("Объекты недвижимости, не соответствующие градостроительным нормам_00-022_Август/f17247ff-3892-4f2d-b07f-494680fe84ae.jpg","open")</f>
        <v/>
      </c>
      <c r="C9335" t="inlineStr">
        <is>
          <t>685d9054-b74f-49ab-857b-109fd2cec80d</t>
        </is>
      </c>
      <c r="D9335" t="n">
        <v>55.65047</v>
      </c>
      <c r="E9335" t="n">
        <v>37.57412</v>
      </c>
      <c r="F9335" t="inlineStr"/>
      <c r="G9335" t="inlineStr"/>
      <c r="H9335" t="inlineStr"/>
    </row>
    <row r="9336">
      <c r="A9336" t="inlineStr">
        <is>
          <t>bfaa5e33-4785-40ac-82f7-e4c31811f78d.jpg</t>
        </is>
      </c>
      <c r="B9336">
        <f>HYPERLINK("Объекты недвижимости, не соответствующие градостроительным нормам_00-022_Август/bfaa5e33-4785-40ac-82f7-e4c31811f78d.jpg","open")</f>
        <v/>
      </c>
      <c r="C9336" t="inlineStr">
        <is>
          <t>685d9054-b74f-49ab-857b-109fd2cec80d</t>
        </is>
      </c>
      <c r="D9336" t="n">
        <v>55.65057</v>
      </c>
      <c r="E9336" t="n">
        <v>37.57612</v>
      </c>
      <c r="F9336" t="inlineStr"/>
      <c r="G9336" t="inlineStr"/>
      <c r="H9336" t="inlineStr"/>
    </row>
    <row r="9337">
      <c r="A9337" t="inlineStr">
        <is>
          <t>d153a5f0-7293-4bae-9692-d59a0e920d41.jpg</t>
        </is>
      </c>
      <c r="B9337">
        <f>HYPERLINK("Объекты недвижимости, не соответствующие градостроительным нормам_00-022_Август/d153a5f0-7293-4bae-9692-d59a0e920d41.jpg","open")</f>
        <v/>
      </c>
      <c r="C9337" t="inlineStr">
        <is>
          <t>685d9054-b74f-49ab-857b-109fd2cec80d</t>
        </is>
      </c>
      <c r="D9337" t="n">
        <v>55.65068</v>
      </c>
      <c r="E9337" t="n">
        <v>37.57626</v>
      </c>
      <c r="F9337" t="inlineStr"/>
      <c r="G9337" t="inlineStr"/>
      <c r="H9337" t="inlineStr"/>
    </row>
    <row r="9338">
      <c r="A9338" t="inlineStr">
        <is>
          <t>d98d18b1-d4f8-485a-9569-1c764b83a828.jpg</t>
        </is>
      </c>
      <c r="B9338">
        <f>HYPERLINK("Объекты недвижимости, не соответствующие градостроительным нормам_00-022_Август/d98d18b1-d4f8-485a-9569-1c764b83a828.jpg","open")</f>
        <v/>
      </c>
      <c r="C9338" t="inlineStr">
        <is>
          <t>8cde1fd0-eca1-4510-86ab-3c743b65fdfc</t>
        </is>
      </c>
      <c r="D9338" t="n">
        <v>55.80292</v>
      </c>
      <c r="E9338" t="n">
        <v>37.74524</v>
      </c>
      <c r="F9338" t="inlineStr"/>
      <c r="G9338" t="inlineStr"/>
      <c r="H9338" t="inlineStr"/>
    </row>
    <row r="9339">
      <c r="A9339" t="inlineStr">
        <is>
          <t>472a400f-20d6-4ed0-a33d-b22f98a447f4.jpg</t>
        </is>
      </c>
      <c r="B9339">
        <f>HYPERLINK("Объекты недвижимости, не соответствующие градостроительным нормам_00-022_Август/472a400f-20d6-4ed0-a33d-b22f98a447f4.jpg","open")</f>
        <v/>
      </c>
      <c r="C9339" t="inlineStr">
        <is>
          <t>1c951e11-4940-43c6-a447-394097e5609a</t>
        </is>
      </c>
      <c r="D9339" t="n">
        <v>55.80292</v>
      </c>
      <c r="E9339" t="n">
        <v>37.74524</v>
      </c>
      <c r="F9339" t="inlineStr"/>
      <c r="G9339" t="inlineStr"/>
      <c r="H9339" t="inlineStr"/>
    </row>
    <row r="9340">
      <c r="A9340" t="inlineStr">
        <is>
          <t>69f40626-ca0e-47fc-84ff-a86b2dde35cf.jpg</t>
        </is>
      </c>
      <c r="B9340">
        <f>HYPERLINK("Объекты недвижимости, не соответствующие градостроительным нормам_00-022_Август/69f40626-ca0e-47fc-84ff-a86b2dde35cf.jpg","open")</f>
        <v/>
      </c>
      <c r="C9340" t="inlineStr">
        <is>
          <t>797901ad-53b1-41b8-99d1-d59d59c863d5</t>
        </is>
      </c>
      <c r="D9340" t="n">
        <v>55.81898</v>
      </c>
      <c r="E9340" t="n">
        <v>37.77958</v>
      </c>
      <c r="F9340" t="inlineStr"/>
      <c r="G9340" t="inlineStr"/>
      <c r="H9340" t="inlineStr"/>
    </row>
    <row r="9341">
      <c r="A9341" t="inlineStr">
        <is>
          <t>47f2e744-9dca-4346-81e8-d39784bfb135.jpg</t>
        </is>
      </c>
      <c r="B9341">
        <f>HYPERLINK("Объекты недвижимости, не соответствующие градостроительным нормам_00-022_Август/47f2e744-9dca-4346-81e8-d39784bfb135.jpg","open")</f>
        <v/>
      </c>
      <c r="C9341" t="inlineStr">
        <is>
          <t>b0429a31-0c70-4b9f-8ea5-73929d82f89e</t>
        </is>
      </c>
      <c r="D9341" t="n">
        <v>55.61552</v>
      </c>
      <c r="E9341" t="n">
        <v>37.72186</v>
      </c>
      <c r="F9341" t="inlineStr"/>
      <c r="G9341" t="inlineStr"/>
      <c r="H9341" t="inlineStr"/>
    </row>
    <row r="9342">
      <c r="A9342" t="inlineStr">
        <is>
          <t>c3e18d26-85f5-4b58-8faf-f0b76f054ff0.jpg</t>
        </is>
      </c>
      <c r="B9342">
        <f>HYPERLINK("Объекты недвижимости, не соответствующие градостроительным нормам_00-022_Август/c3e18d26-85f5-4b58-8faf-f0b76f054ff0.jpg","open")</f>
        <v/>
      </c>
      <c r="C9342" t="inlineStr">
        <is>
          <t>1231bbc5-e64c-4dc7-9acc-77710f47607a</t>
        </is>
      </c>
      <c r="D9342" t="n">
        <v>55.65141</v>
      </c>
      <c r="E9342" t="n">
        <v>37.57949</v>
      </c>
      <c r="F9342" t="inlineStr"/>
      <c r="G9342" t="inlineStr"/>
      <c r="H9342" t="inlineStr"/>
    </row>
    <row r="9343">
      <c r="A9343" t="inlineStr">
        <is>
          <t>2491c277-7363-4752-94bb-9aac54e83601.jpg</t>
        </is>
      </c>
      <c r="B9343">
        <f>HYPERLINK("Объекты недвижимости, не соответствующие градостроительным нормам_00-022_Август/2491c277-7363-4752-94bb-9aac54e83601.jpg","open")</f>
        <v/>
      </c>
      <c r="C9343" t="inlineStr">
        <is>
          <t>036c664f-5408-4fd0-b479-342c00468eeb</t>
        </is>
      </c>
      <c r="D9343" t="n">
        <v>55.71119</v>
      </c>
      <c r="E9343" t="n">
        <v>37.39647</v>
      </c>
      <c r="F9343" t="inlineStr"/>
      <c r="G9343" t="inlineStr"/>
      <c r="H9343" t="inlineStr"/>
    </row>
    <row r="9344">
      <c r="A9344" t="inlineStr">
        <is>
          <t>b1f1e61a-e5a4-4715-9da6-5e460fb96562.jpg</t>
        </is>
      </c>
      <c r="B9344">
        <f>HYPERLINK("Объекты недвижимости, не соответствующие градостроительным нормам_00-022_Август/b1f1e61a-e5a4-4715-9da6-5e460fb96562.jpg","open")</f>
        <v/>
      </c>
      <c r="C9344" t="inlineStr">
        <is>
          <t>789f6c51-64ee-4078-b7bd-443af8b8b68a</t>
        </is>
      </c>
      <c r="D9344" t="n">
        <v>55.88155</v>
      </c>
      <c r="E9344" t="n">
        <v>37.70987</v>
      </c>
      <c r="F9344" t="inlineStr"/>
      <c r="G9344" t="inlineStr"/>
      <c r="H9344" t="inlineStr"/>
    </row>
    <row r="9345">
      <c r="A9345" t="inlineStr">
        <is>
          <t>071da715-e944-4ea5-9559-53a7621d6b4d.jpg</t>
        </is>
      </c>
      <c r="B9345">
        <f>HYPERLINK("Объекты недвижимости, не соответствующие градостроительным нормам_00-022_Август/071da715-e944-4ea5-9559-53a7621d6b4d.jpg","open")</f>
        <v/>
      </c>
      <c r="C9345" t="inlineStr">
        <is>
          <t>a28f597e-d1cd-4d3b-b572-c86d033412e9</t>
        </is>
      </c>
      <c r="D9345" t="n">
        <v>55.71117</v>
      </c>
      <c r="E9345" t="n">
        <v>37.39657</v>
      </c>
      <c r="F9345" t="inlineStr"/>
      <c r="G9345" t="inlineStr"/>
      <c r="H9345" t="inlineStr"/>
    </row>
    <row r="9346">
      <c r="A9346" t="inlineStr">
        <is>
          <t>1e8aaa4b-42c6-4f6a-8ea6-f18d8dafde55.jpg</t>
        </is>
      </c>
      <c r="B9346">
        <f>HYPERLINK("Объекты недвижимости, не соответствующие градостроительным нормам_00-022_Август/1e8aaa4b-42c6-4f6a-8ea6-f18d8dafde55.jpg","open")</f>
        <v/>
      </c>
      <c r="C9346" t="inlineStr">
        <is>
          <t>2acfb2da-e3f6-464c-bd17-4b713522c142</t>
        </is>
      </c>
      <c r="D9346" t="n">
        <v>55.88166</v>
      </c>
      <c r="E9346" t="n">
        <v>37.70984</v>
      </c>
      <c r="F9346" t="inlineStr"/>
      <c r="G9346" t="inlineStr"/>
      <c r="H9346" t="inlineStr"/>
    </row>
    <row r="9347">
      <c r="A9347" t="inlineStr">
        <is>
          <t>15414ac9-4a07-4e08-b705-4be301a100a7.jpg</t>
        </is>
      </c>
      <c r="B9347">
        <f>HYPERLINK("Объекты недвижимости, не соответствующие градостроительным нормам_00-022_Август/15414ac9-4a07-4e08-b705-4be301a100a7.jpg","open")</f>
        <v/>
      </c>
      <c r="C9347" t="inlineStr">
        <is>
          <t>99f3abba-c55b-49f0-9de5-9f88e9597cc0</t>
        </is>
      </c>
      <c r="D9347" t="n">
        <v>55.61517</v>
      </c>
      <c r="E9347" t="n">
        <v>37.72202</v>
      </c>
      <c r="F9347" t="inlineStr"/>
      <c r="G9347" t="inlineStr"/>
      <c r="H9347" t="inlineStr"/>
    </row>
    <row r="9348">
      <c r="A9348" t="inlineStr">
        <is>
          <t>aa061577-9657-4484-8ef5-c53a6669cec6.jpg</t>
        </is>
      </c>
      <c r="B9348">
        <f>HYPERLINK("Объекты недвижимости, не соответствующие градостроительным нормам_00-022_Август/aa061577-9657-4484-8ef5-c53a6669cec6.jpg","open")</f>
        <v/>
      </c>
      <c r="C9348" t="inlineStr">
        <is>
          <t>936502dd-24a4-4256-9fdf-0d8fb72af3ed</t>
        </is>
      </c>
      <c r="D9348" t="n">
        <v>55.61336</v>
      </c>
      <c r="E9348" t="n">
        <v>37.6612</v>
      </c>
      <c r="F9348" t="inlineStr"/>
      <c r="G9348" t="inlineStr"/>
      <c r="H9348" t="inlineStr"/>
    </row>
    <row r="9349">
      <c r="A9349" t="inlineStr">
        <is>
          <t>89d2a5e0-fe16-49f0-88b1-59ad9e8831dc.jpg</t>
        </is>
      </c>
      <c r="B9349">
        <f>HYPERLINK("Объекты недвижимости, не соответствующие градостроительным нормам_00-022_Август/89d2a5e0-fe16-49f0-88b1-59ad9e8831dc.jpg","open")</f>
        <v/>
      </c>
      <c r="C9349" t="inlineStr">
        <is>
          <t>e85aff3b-73e8-4856-827e-477ccc0aea77</t>
        </is>
      </c>
      <c r="D9349" t="n">
        <v>55.97661</v>
      </c>
      <c r="E9349" t="n">
        <v>37.3997</v>
      </c>
      <c r="F9349" t="inlineStr"/>
      <c r="G9349" t="inlineStr"/>
      <c r="H9349" t="inlineStr"/>
    </row>
    <row r="9350">
      <c r="A9350" t="inlineStr">
        <is>
          <t>10354a13-61a2-412d-a496-1282b00b9abc.jpg</t>
        </is>
      </c>
      <c r="B9350">
        <f>HYPERLINK("Объекты недвижимости, не соответствующие градостроительным нормам_00-022_Август/10354a13-61a2-412d-a496-1282b00b9abc.jpg","open")</f>
        <v/>
      </c>
      <c r="C9350" t="inlineStr">
        <is>
          <t>50e4626c-a80e-42ab-b999-b5092c2c063f</t>
        </is>
      </c>
      <c r="D9350" t="n">
        <v>55.76713</v>
      </c>
      <c r="E9350" t="n">
        <v>37.74755</v>
      </c>
      <c r="F9350" t="inlineStr"/>
      <c r="G9350" t="inlineStr"/>
      <c r="H9350" t="inlineStr"/>
    </row>
    <row r="9351">
      <c r="A9351" t="inlineStr">
        <is>
          <t>9bc8e0eb-ee96-41a9-9f65-7a3def99dc34.jpg</t>
        </is>
      </c>
      <c r="B9351">
        <f>HYPERLINK("Объекты недвижимости, не соответствующие градостроительным нормам_00-022_Август/9bc8e0eb-ee96-41a9-9f65-7a3def99dc34.jpg","open")</f>
        <v/>
      </c>
      <c r="C9351" t="inlineStr">
        <is>
          <t>db8b536c-32f2-4d9a-ae08-679d227e61f1</t>
        </is>
      </c>
      <c r="D9351" t="n">
        <v>55.68209</v>
      </c>
      <c r="E9351" t="n">
        <v>37.56931</v>
      </c>
      <c r="F9351" t="inlineStr"/>
      <c r="G9351" t="inlineStr"/>
      <c r="H9351" t="inlineStr"/>
    </row>
    <row r="9352">
      <c r="A9352" t="inlineStr">
        <is>
          <t>dc4f113b-8193-46ed-91ff-9dceb3fc153f.jpg</t>
        </is>
      </c>
      <c r="B9352">
        <f>HYPERLINK("Объекты недвижимости, не соответствующие градостроительным нормам_00-022_Август/dc4f113b-8193-46ed-91ff-9dceb3fc153f.jpg","open")</f>
        <v/>
      </c>
      <c r="C9352" t="inlineStr">
        <is>
          <t>8996eb30-6497-4318-8a0e-b95314b8172e</t>
        </is>
      </c>
      <c r="D9352" t="n">
        <v>55.68332</v>
      </c>
      <c r="E9352" t="n">
        <v>37.32663</v>
      </c>
      <c r="F9352" t="inlineStr"/>
      <c r="G9352" t="inlineStr"/>
      <c r="H9352" t="inlineStr"/>
    </row>
    <row r="9353">
      <c r="A9353" t="inlineStr">
        <is>
          <t>c40dcccd-e769-47fa-9edf-8a9d76cb1e81.jpg</t>
        </is>
      </c>
      <c r="B9353">
        <f>HYPERLINK("Объекты недвижимости, не соответствующие градостроительным нормам_00-022_Август/c40dcccd-e769-47fa-9edf-8a9d76cb1e81.jpg","open")</f>
        <v/>
      </c>
      <c r="C9353" t="inlineStr">
        <is>
          <t>a28f597e-d1cd-4d3b-b572-c86d033412e9</t>
        </is>
      </c>
      <c r="D9353" t="n">
        <v>55.71337</v>
      </c>
      <c r="E9353" t="n">
        <v>37.39462</v>
      </c>
      <c r="F9353" t="inlineStr"/>
      <c r="G9353" t="inlineStr"/>
      <c r="H9353" t="inlineStr"/>
    </row>
    <row r="9354">
      <c r="A9354" t="inlineStr">
        <is>
          <t>cbd00fd7-b030-4b66-8924-5aa91e8cdf06.jpg</t>
        </is>
      </c>
      <c r="B9354">
        <f>HYPERLINK("Объекты недвижимости, не соответствующие градостроительным нормам_00-022_Август/cbd00fd7-b030-4b66-8924-5aa91e8cdf06.jpg","open")</f>
        <v/>
      </c>
      <c r="C9354" t="inlineStr">
        <is>
          <t>9c930d0e-e445-452d-a046-325646b21ab7</t>
        </is>
      </c>
      <c r="D9354" t="n">
        <v>55.77844</v>
      </c>
      <c r="E9354" t="n">
        <v>37.63199</v>
      </c>
      <c r="F9354" t="inlineStr"/>
      <c r="G9354" t="inlineStr"/>
      <c r="H9354" t="inlineStr"/>
    </row>
    <row r="9355">
      <c r="A9355" t="inlineStr">
        <is>
          <t>f32ac81d-b588-4a2e-ab15-dc9ed3354dd7.jpg</t>
        </is>
      </c>
      <c r="B9355">
        <f>HYPERLINK("Объекты недвижимости, не соответствующие градостроительным нормам_00-022_Август/f32ac81d-b588-4a2e-ab15-dc9ed3354dd7.jpg","open")</f>
        <v/>
      </c>
      <c r="C9355" t="inlineStr">
        <is>
          <t>e85aff3b-73e8-4856-827e-477ccc0aea77</t>
        </is>
      </c>
      <c r="D9355" t="n">
        <v>55.97892</v>
      </c>
      <c r="E9355" t="n">
        <v>37.43134</v>
      </c>
      <c r="F9355" t="inlineStr"/>
      <c r="G9355" t="inlineStr"/>
      <c r="H9355" t="inlineStr"/>
    </row>
    <row r="9356">
      <c r="A9356" t="inlineStr">
        <is>
          <t>d5cdeb5e-b541-49a7-99e9-b0b114ccbe74.jpg</t>
        </is>
      </c>
      <c r="B9356">
        <f>HYPERLINK("Объекты недвижимости, не соответствующие градостроительным нормам_00-022_Август/d5cdeb5e-b541-49a7-99e9-b0b114ccbe74.jpg","open")</f>
        <v/>
      </c>
      <c r="C9356" t="inlineStr">
        <is>
          <t>dd48f742-b338-42e2-bbaf-b3a9701b437c</t>
        </is>
      </c>
      <c r="D9356" t="n">
        <v>55.77534</v>
      </c>
      <c r="E9356" t="n">
        <v>37.63086</v>
      </c>
      <c r="F9356" t="inlineStr"/>
      <c r="G9356" t="inlineStr"/>
      <c r="H9356" t="inlineStr"/>
    </row>
    <row r="9357">
      <c r="A9357" t="inlineStr">
        <is>
          <t>564275de-c3a5-4244-a914-7ea250aa275a.jpg</t>
        </is>
      </c>
      <c r="B9357">
        <f>HYPERLINK("Объекты недвижимости, не соответствующие градостроительным нормам_00-022_Август/564275de-c3a5-4244-a914-7ea250aa275a.jpg","open")</f>
        <v/>
      </c>
      <c r="C9357" t="inlineStr">
        <is>
          <t>dd48f742-b338-42e2-bbaf-b3a9701b437c</t>
        </is>
      </c>
      <c r="D9357" t="n">
        <v>55.77507</v>
      </c>
      <c r="E9357" t="n">
        <v>37.63074</v>
      </c>
      <c r="F9357" t="inlineStr"/>
      <c r="G9357" t="inlineStr"/>
      <c r="H9357" t="inlineStr"/>
    </row>
    <row r="9358">
      <c r="A9358" t="inlineStr">
        <is>
          <t>a26e1e22-c638-436a-82a5-dcb004845805.jpg</t>
        </is>
      </c>
      <c r="B9358">
        <f>HYPERLINK("Объекты недвижимости, не соответствующие градостроительным нормам_00-022_Август/a26e1e22-c638-436a-82a5-dcb004845805.jpg","open")</f>
        <v/>
      </c>
      <c r="C9358" t="inlineStr">
        <is>
          <t>9c930d0e-e445-452d-a046-325646b21ab7</t>
        </is>
      </c>
      <c r="D9358" t="n">
        <v>55.77502</v>
      </c>
      <c r="E9358" t="n">
        <v>37.63076</v>
      </c>
      <c r="F9358" t="inlineStr"/>
      <c r="G9358" t="inlineStr"/>
      <c r="H9358" t="inlineStr"/>
    </row>
    <row r="9359">
      <c r="A9359" t="inlineStr">
        <is>
          <t>acb91379-4cc7-4d3e-a185-95e613e76391.jpg</t>
        </is>
      </c>
      <c r="B9359">
        <f>HYPERLINK("Объекты недвижимости, не соответствующие градостроительным нормам_00-022_Август/acb91379-4cc7-4d3e-a185-95e613e76391.jpg","open")</f>
        <v/>
      </c>
      <c r="C9359" t="inlineStr">
        <is>
          <t>9c930d0e-e445-452d-a046-325646b21ab7</t>
        </is>
      </c>
      <c r="D9359" t="n">
        <v>55.77505</v>
      </c>
      <c r="E9359" t="n">
        <v>37.63071</v>
      </c>
      <c r="F9359" t="inlineStr"/>
      <c r="G9359" t="inlineStr"/>
      <c r="H9359" t="inlineStr"/>
    </row>
    <row r="9360">
      <c r="A9360" t="inlineStr">
        <is>
          <t>dc2517c4-a0c7-4414-9967-087bef744040.jpg</t>
        </is>
      </c>
      <c r="B9360">
        <f>HYPERLINK("Объекты недвижимости, не соответствующие градостроительным нормам_00-022_Август/dc2517c4-a0c7-4414-9967-087bef744040.jpg","open")</f>
        <v/>
      </c>
      <c r="C9360" t="inlineStr">
        <is>
          <t>cbf95b01-f708-45a3-9ec0-3603469b538e</t>
        </is>
      </c>
      <c r="D9360" t="n">
        <v>55.73049</v>
      </c>
      <c r="E9360" t="n">
        <v>37.63153</v>
      </c>
      <c r="F9360" t="inlineStr"/>
      <c r="G9360" t="inlineStr"/>
      <c r="H9360" t="inlineStr"/>
    </row>
    <row r="9361">
      <c r="A9361" t="inlineStr">
        <is>
          <t>3a103078-f124-419a-a7a1-3fe2f1b0b6f4.jpg</t>
        </is>
      </c>
      <c r="B9361">
        <f>HYPERLINK("Объекты недвижимости, не соответствующие градостроительным нормам_00-022_Август/3a103078-f124-419a-a7a1-3fe2f1b0b6f4.jpg","open")</f>
        <v/>
      </c>
      <c r="C9361" t="inlineStr">
        <is>
          <t>a1a9db89-3f74-42ef-8fad-ad69705102cd</t>
        </is>
      </c>
      <c r="D9361" t="n">
        <v>55.73049</v>
      </c>
      <c r="E9361" t="n">
        <v>37.63153</v>
      </c>
      <c r="F9361" t="inlineStr"/>
      <c r="G9361" t="inlineStr"/>
      <c r="H9361" t="inlineStr"/>
    </row>
    <row r="9362">
      <c r="A9362" t="inlineStr">
        <is>
          <t>be18ef0e-8591-41c4-a2bf-d363b55d5042.jpg</t>
        </is>
      </c>
      <c r="B9362">
        <f>HYPERLINK("Объекты недвижимости, не соответствующие градостроительным нормам_00-022_Август/be18ef0e-8591-41c4-a2bf-d363b55d5042.jpg","open")</f>
        <v/>
      </c>
      <c r="C9362" t="inlineStr">
        <is>
          <t>cbf95b01-f708-45a3-9ec0-3603469b538e</t>
        </is>
      </c>
      <c r="D9362" t="n">
        <v>55.73049</v>
      </c>
      <c r="E9362" t="n">
        <v>37.63153</v>
      </c>
      <c r="F9362" t="inlineStr"/>
      <c r="G9362" t="inlineStr"/>
      <c r="H9362" t="inlineStr"/>
    </row>
    <row r="9363">
      <c r="A9363" t="inlineStr">
        <is>
          <t>362a0b2d-1e7b-43ec-969a-cc718dddfc25.jpg</t>
        </is>
      </c>
      <c r="B9363">
        <f>HYPERLINK("Объекты недвижимости, не соответствующие градостроительным нормам_00-022_Август/362a0b2d-1e7b-43ec-969a-cc718dddfc25.jpg","open")</f>
        <v/>
      </c>
      <c r="C9363" t="inlineStr">
        <is>
          <t>789f6c51-64ee-4078-b7bd-443af8b8b68a</t>
        </is>
      </c>
      <c r="D9363" t="n">
        <v>55.88006</v>
      </c>
      <c r="E9363" t="n">
        <v>37.70847</v>
      </c>
      <c r="F9363" t="inlineStr"/>
      <c r="G9363" t="inlineStr"/>
      <c r="H9363" t="inlineStr"/>
    </row>
    <row r="9364">
      <c r="A9364" t="inlineStr">
        <is>
          <t>d9e97f7c-93f2-4a76-9d41-68af88819b67.jpg</t>
        </is>
      </c>
      <c r="B9364">
        <f>HYPERLINK("Объекты недвижимости, не соответствующие градостроительным нормам_00-022_Август/d9e97f7c-93f2-4a76-9d41-68af88819b67.jpg","open")</f>
        <v/>
      </c>
      <c r="C9364" t="inlineStr">
        <is>
          <t>57aae8a4-582b-4309-8045-c8127a9f86ae</t>
        </is>
      </c>
      <c r="D9364" t="n">
        <v>55.79155</v>
      </c>
      <c r="E9364" t="n">
        <v>37.69487</v>
      </c>
      <c r="F9364" t="inlineStr"/>
      <c r="G9364" t="inlineStr"/>
      <c r="H9364" t="inlineStr"/>
    </row>
    <row r="9365">
      <c r="A9365" t="inlineStr">
        <is>
          <t>35d4cbc3-bff9-4599-ad64-36b3180753c7.jpg</t>
        </is>
      </c>
      <c r="B9365">
        <f>HYPERLINK("Объекты недвижимости, не соответствующие градостроительным нормам_00-022_Август/35d4cbc3-bff9-4599-ad64-36b3180753c7.jpg","open")</f>
        <v/>
      </c>
      <c r="C9365" t="inlineStr">
        <is>
          <t>030e8755-17c1-44eb-9530-707d0d3121cb</t>
        </is>
      </c>
      <c r="D9365" t="n">
        <v>55.59912</v>
      </c>
      <c r="E9365" t="n">
        <v>37.67017</v>
      </c>
      <c r="F9365" t="inlineStr"/>
      <c r="G9365" t="inlineStr"/>
      <c r="H9365" t="inlineStr"/>
    </row>
    <row r="9366">
      <c r="A9366" t="inlineStr">
        <is>
          <t>a646536b-99d1-4f75-9b8b-0b21b5372e4c.jpg</t>
        </is>
      </c>
      <c r="B9366">
        <f>HYPERLINK("Объекты недвижимости, не соответствующие градостроительным нормам_00-022_Август/a646536b-99d1-4f75-9b8b-0b21b5372e4c.jpg","open")</f>
        <v/>
      </c>
      <c r="C9366" t="inlineStr">
        <is>
          <t>f20fbc2b-b369-4734-bb66-92af02fbb0d1</t>
        </is>
      </c>
      <c r="D9366" t="n">
        <v>55.7264</v>
      </c>
      <c r="E9366" t="n">
        <v>37.76797</v>
      </c>
      <c r="F9366" t="inlineStr"/>
      <c r="G9366" t="inlineStr"/>
      <c r="H9366" t="inlineStr"/>
    </row>
    <row r="9367">
      <c r="A9367" t="inlineStr">
        <is>
          <t>889ccffb-d7a5-4786-aa84-16cc1f4b19fd.jpg</t>
        </is>
      </c>
      <c r="B9367">
        <f>HYPERLINK("Объекты недвижимости, не соответствующие градостроительным нормам_00-022_Август/889ccffb-d7a5-4786-aa84-16cc1f4b19fd.jpg","open")</f>
        <v/>
      </c>
      <c r="C9367" t="inlineStr">
        <is>
          <t>b0b7ea82-53be-40d0-b992-e2fd18611d5c</t>
        </is>
      </c>
      <c r="D9367" t="n">
        <v>55.72639</v>
      </c>
      <c r="E9367" t="n">
        <v>37.76798</v>
      </c>
      <c r="F9367" t="inlineStr"/>
      <c r="G9367" t="inlineStr"/>
      <c r="H9367" t="inlineStr"/>
    </row>
    <row r="9368">
      <c r="A9368" t="inlineStr">
        <is>
          <t>ce8ad609-3d5e-4675-ba2b-c33c641514f7.jpg</t>
        </is>
      </c>
      <c r="B9368">
        <f>HYPERLINK("Объекты недвижимости, не соответствующие градостроительным нормам_00-022_Август/ce8ad609-3d5e-4675-ba2b-c33c641514f7.jpg","open")</f>
        <v/>
      </c>
      <c r="C9368" t="inlineStr">
        <is>
          <t>0dd30d74-4dbc-46a8-b638-91e1431bb398</t>
        </is>
      </c>
      <c r="D9368" t="n">
        <v>55.5241</v>
      </c>
      <c r="E9368" t="n">
        <v>37.3747</v>
      </c>
      <c r="F9368" t="inlineStr"/>
      <c r="G9368" t="inlineStr"/>
      <c r="H9368" t="inlineStr"/>
    </row>
    <row r="9369">
      <c r="A9369" t="inlineStr">
        <is>
          <t>661b1d6d-9d5c-41d8-8d7e-8b8611867e8d.jpg</t>
        </is>
      </c>
      <c r="B9369">
        <f>HYPERLINK("Объекты недвижимости, не соответствующие градостроительным нормам_00-022_Август/661b1d6d-9d5c-41d8-8d7e-8b8611867e8d.jpg","open")</f>
        <v/>
      </c>
      <c r="C9369" t="inlineStr">
        <is>
          <t>2acfb2da-e3f6-464c-bd17-4b713522c142</t>
        </is>
      </c>
      <c r="D9369" t="n">
        <v>55.87941</v>
      </c>
      <c r="E9369" t="n">
        <v>37.70735</v>
      </c>
      <c r="F9369" t="inlineStr"/>
      <c r="G9369" t="inlineStr"/>
      <c r="H9369" t="inlineStr"/>
    </row>
    <row r="9370">
      <c r="A9370" t="inlineStr">
        <is>
          <t>47b001b4-ab92-4ada-bc30-23845b913a9f.jpg</t>
        </is>
      </c>
      <c r="B9370">
        <f>HYPERLINK("Объекты недвижимости, не соответствующие градостроительным нормам_00-022_Август/47b001b4-ab92-4ada-bc30-23845b913a9f.jpg","open")</f>
        <v/>
      </c>
      <c r="C9370" t="inlineStr">
        <is>
          <t>2acfb2da-e3f6-464c-bd17-4b713522c142</t>
        </is>
      </c>
      <c r="D9370" t="n">
        <v>55.87956</v>
      </c>
      <c r="E9370" t="n">
        <v>37.70701</v>
      </c>
      <c r="F9370" t="inlineStr"/>
      <c r="G9370" t="inlineStr"/>
      <c r="H9370" t="inlineStr"/>
    </row>
    <row r="9371">
      <c r="A9371" t="inlineStr">
        <is>
          <t>1dcdf7b7-091b-420b-b2a7-3cc342b20aba.jpg</t>
        </is>
      </c>
      <c r="B9371">
        <f>HYPERLINK("Объекты недвижимости, не соответствующие градостроительным нормам_00-022_Август/1dcdf7b7-091b-420b-b2a7-3cc342b20aba.jpg","open")</f>
        <v/>
      </c>
      <c r="C9371" t="inlineStr">
        <is>
          <t>57aae8a4-582b-4309-8045-c8127a9f86ae</t>
        </is>
      </c>
      <c r="D9371" t="n">
        <v>55.79119</v>
      </c>
      <c r="E9371" t="n">
        <v>37.69565</v>
      </c>
      <c r="F9371" t="inlineStr"/>
      <c r="G9371" t="inlineStr"/>
      <c r="H9371" t="inlineStr"/>
    </row>
    <row r="9372">
      <c r="A9372" t="inlineStr">
        <is>
          <t>0cb576d8-652d-4757-8d10-1d8a2b5f7581.jpg</t>
        </is>
      </c>
      <c r="B9372">
        <f>HYPERLINK("Объекты недвижимости, не соответствующие градостроительным нормам_00-022_Август/0cb576d8-652d-4757-8d10-1d8a2b5f7581.jpg","open")</f>
        <v/>
      </c>
      <c r="C9372" t="inlineStr">
        <is>
          <t>acedacc2-0d8b-4fc1-9622-25621a89d071</t>
        </is>
      </c>
      <c r="D9372" t="n">
        <v>55.79116</v>
      </c>
      <c r="E9372" t="n">
        <v>37.69569</v>
      </c>
      <c r="F9372" t="inlineStr"/>
      <c r="G9372" t="inlineStr"/>
      <c r="H9372" t="inlineStr"/>
    </row>
    <row r="9373">
      <c r="A9373" t="inlineStr">
        <is>
          <t>bba5d6db-c2dd-4633-944c-3f1ff83240d9.jpg</t>
        </is>
      </c>
      <c r="B9373">
        <f>HYPERLINK("Объекты недвижимости, не соответствующие градостроительным нормам_00-022_Август/bba5d6db-c2dd-4633-944c-3f1ff83240d9.jpg","open")</f>
        <v/>
      </c>
      <c r="C9373" t="inlineStr">
        <is>
          <t>57aae8a4-582b-4309-8045-c8127a9f86ae</t>
        </is>
      </c>
      <c r="D9373" t="n">
        <v>55.79037</v>
      </c>
      <c r="E9373" t="n">
        <v>37.69503</v>
      </c>
      <c r="F9373" t="inlineStr"/>
      <c r="G9373" t="inlineStr"/>
      <c r="H9373" t="inlineStr"/>
    </row>
    <row r="9374">
      <c r="A9374" t="inlineStr">
        <is>
          <t>7fbfd38a-8c20-486a-a1a0-277816fa6f1e.jpg</t>
        </is>
      </c>
      <c r="B9374">
        <f>HYPERLINK("Объекты недвижимости, не соответствующие градостроительным нормам_00-022_Август/7fbfd38a-8c20-486a-a1a0-277816fa6f1e.jpg","open")</f>
        <v/>
      </c>
      <c r="C9374" t="inlineStr">
        <is>
          <t>29ad9edb-d533-4272-a986-be24eb004851</t>
        </is>
      </c>
      <c r="D9374" t="n">
        <v>55.75382</v>
      </c>
      <c r="E9374" t="n">
        <v>37.53194</v>
      </c>
      <c r="F9374" t="inlineStr"/>
      <c r="G9374" t="inlineStr"/>
      <c r="H9374" t="inlineStr"/>
    </row>
    <row r="9375">
      <c r="A9375" t="inlineStr">
        <is>
          <t>0682bd65-0e0b-4383-87ed-eb2d69e99a5c.jpg</t>
        </is>
      </c>
      <c r="B9375">
        <f>HYPERLINK("Объекты недвижимости, не соответствующие градостроительным нормам_00-022_Август/0682bd65-0e0b-4383-87ed-eb2d69e99a5c.jpg","open")</f>
        <v/>
      </c>
      <c r="C9375" t="inlineStr">
        <is>
          <t>cbf95b01-f708-45a3-9ec0-3603469b538e</t>
        </is>
      </c>
      <c r="D9375" t="n">
        <v>55.73481</v>
      </c>
      <c r="E9375" t="n">
        <v>37.66684</v>
      </c>
      <c r="F9375" t="inlineStr"/>
      <c r="G9375" t="inlineStr"/>
      <c r="H9375" t="inlineStr"/>
    </row>
    <row r="9376">
      <c r="A9376" t="inlineStr">
        <is>
          <t>a8124aa3-fa88-463f-a2b7-716a281e5b6d.jpg</t>
        </is>
      </c>
      <c r="B9376">
        <f>HYPERLINK("Объекты недвижимости, не соответствующие градостроительным нормам_00-022_Август/a8124aa3-fa88-463f-a2b7-716a281e5b6d.jpg","open")</f>
        <v/>
      </c>
      <c r="C9376" t="inlineStr">
        <is>
          <t>55da50d9-6d31-4c29-a85b-6a228578c6de</t>
        </is>
      </c>
      <c r="D9376" t="n">
        <v>55.98092</v>
      </c>
      <c r="E9376" t="n">
        <v>37.42421</v>
      </c>
      <c r="F9376" t="inlineStr"/>
      <c r="G9376" t="inlineStr"/>
      <c r="H9376" t="inlineStr"/>
    </row>
    <row r="9377">
      <c r="A9377" t="inlineStr">
        <is>
          <t>341f7036-f183-4579-93fb-d73d4abec311.jpg</t>
        </is>
      </c>
      <c r="B9377">
        <f>HYPERLINK("Объекты недвижимости, не соответствующие градостроительным нормам_00-022_Август/341f7036-f183-4579-93fb-d73d4abec311.jpg","open")</f>
        <v/>
      </c>
      <c r="C9377" t="inlineStr">
        <is>
          <t>8b2675e2-7f40-47a9-a462-7c9feecd299c</t>
        </is>
      </c>
      <c r="D9377" t="n">
        <v>55.98092</v>
      </c>
      <c r="E9377" t="n">
        <v>37.42421</v>
      </c>
      <c r="F9377" t="inlineStr"/>
      <c r="G9377" t="inlineStr"/>
      <c r="H9377" t="inlineStr"/>
    </row>
    <row r="9378">
      <c r="A9378" t="inlineStr">
        <is>
          <t>22b8eb13-e524-4a54-b2d2-4fab0f32c728.jpg</t>
        </is>
      </c>
      <c r="B9378">
        <f>HYPERLINK("Объекты недвижимости, не соответствующие градостроительным нормам_00-022_Август/22b8eb13-e524-4a54-b2d2-4fab0f32c728.jpg","open")</f>
        <v/>
      </c>
      <c r="C9378" t="inlineStr">
        <is>
          <t>db8b536c-32f2-4d9a-ae08-679d227e61f1</t>
        </is>
      </c>
      <c r="D9378" t="n">
        <v>55.68209</v>
      </c>
      <c r="E9378" t="n">
        <v>37.56931</v>
      </c>
      <c r="F9378" t="inlineStr"/>
      <c r="G9378" t="inlineStr"/>
      <c r="H9378" t="inlineStr"/>
    </row>
    <row r="9379">
      <c r="A9379" t="inlineStr">
        <is>
          <t>20a98dd5-96d8-4519-906b-0aedf2a3e420.jpg</t>
        </is>
      </c>
      <c r="B9379">
        <f>HYPERLINK("Объекты недвижимости, не соответствующие градостроительным нормам_00-022_Август/20a98dd5-96d8-4519-906b-0aedf2a3e420.jpg","open")</f>
        <v/>
      </c>
      <c r="C9379" t="inlineStr">
        <is>
          <t>1a55986c-2c3f-40c0-b3d1-014dce77832e</t>
        </is>
      </c>
      <c r="D9379" t="n">
        <v>55.85506</v>
      </c>
      <c r="E9379" t="n">
        <v>37.5738</v>
      </c>
      <c r="F9379" t="inlineStr"/>
      <c r="G9379" t="inlineStr"/>
      <c r="H9379" t="inlineStr"/>
    </row>
    <row r="9380">
      <c r="A9380" t="inlineStr">
        <is>
          <t>e0505179-20ea-4963-9b33-aeef3d77a70f.jpg</t>
        </is>
      </c>
      <c r="B9380">
        <f>HYPERLINK("Объекты недвижимости, не соответствующие градостроительным нормам_00-022_Август/e0505179-20ea-4963-9b33-aeef3d77a70f.jpg","open")</f>
        <v/>
      </c>
      <c r="C9380" t="inlineStr">
        <is>
          <t>db8b536c-32f2-4d9a-ae08-679d227e61f1</t>
        </is>
      </c>
      <c r="D9380" t="n">
        <v>55.68209</v>
      </c>
      <c r="E9380" t="n">
        <v>37.56931</v>
      </c>
      <c r="F9380" t="inlineStr"/>
      <c r="G9380" t="inlineStr"/>
      <c r="H9380" t="inlineStr"/>
    </row>
    <row r="9381">
      <c r="A9381" t="inlineStr">
        <is>
          <t>3a5315e9-be9b-45d0-a336-101da2d5f623.jpg</t>
        </is>
      </c>
      <c r="B9381">
        <f>HYPERLINK("Объекты недвижимости, не соответствующие градостроительным нормам_00-022_Август/3a5315e9-be9b-45d0-a336-101da2d5f623.jpg","open")</f>
        <v/>
      </c>
      <c r="C9381" t="inlineStr">
        <is>
          <t>31a713a9-b910-424b-b847-e0eaa2f70c70</t>
        </is>
      </c>
      <c r="D9381" t="n">
        <v>55.61406</v>
      </c>
      <c r="E9381" t="n">
        <v>37.54435</v>
      </c>
      <c r="F9381" t="inlineStr"/>
      <c r="G9381" t="inlineStr"/>
      <c r="H9381" t="inlineStr"/>
    </row>
    <row r="9382">
      <c r="A9382" t="inlineStr">
        <is>
          <t>2c7a5295-6e63-4d41-946c-c0db23b66edb.jpg</t>
        </is>
      </c>
      <c r="B9382">
        <f>HYPERLINK("Объекты недвижимости, не соответствующие градостроительным нормам_00-022_Август/2c7a5295-6e63-4d41-946c-c0db23b66edb.jpg","open")</f>
        <v/>
      </c>
      <c r="C9382" t="inlineStr">
        <is>
          <t>b0b7ea82-53be-40d0-b992-e2fd18611d5c</t>
        </is>
      </c>
      <c r="D9382" t="n">
        <v>55.7264</v>
      </c>
      <c r="E9382" t="n">
        <v>37.76228</v>
      </c>
      <c r="F9382" t="inlineStr"/>
      <c r="G9382" t="inlineStr"/>
      <c r="H9382" t="inlineStr"/>
    </row>
    <row r="9383">
      <c r="A9383" t="inlineStr">
        <is>
          <t>49c2a9e6-0cd5-43ac-8f12-e09d7ae541f7.jpg</t>
        </is>
      </c>
      <c r="B9383">
        <f>HYPERLINK("Объекты недвижимости, не соответствующие градостроительным нормам_00-022_Август/49c2a9e6-0cd5-43ac-8f12-e09d7ae541f7.jpg","open")</f>
        <v/>
      </c>
      <c r="C9383" t="inlineStr">
        <is>
          <t>8cde1fd0-eca1-4510-86ab-3c743b65fdfc</t>
        </is>
      </c>
      <c r="D9383" t="n">
        <v>55.80126</v>
      </c>
      <c r="E9383" t="n">
        <v>37.70845</v>
      </c>
      <c r="F9383" t="inlineStr"/>
      <c r="G9383" t="inlineStr"/>
      <c r="H9383" t="inlineStr"/>
    </row>
    <row r="9384">
      <c r="A9384" t="inlineStr">
        <is>
          <t>7d0c7cff-5dc3-4dde-b028-adc7c269fbe5.jpg</t>
        </is>
      </c>
      <c r="B9384">
        <f>HYPERLINK("Объекты недвижимости, не соответствующие градостроительным нормам_00-022_Август/7d0c7cff-5dc3-4dde-b028-adc7c269fbe5.jpg","open")</f>
        <v/>
      </c>
      <c r="C9384" t="inlineStr">
        <is>
          <t>29ad9edb-d533-4272-a986-be24eb004851</t>
        </is>
      </c>
      <c r="D9384" t="n">
        <v>55.68335</v>
      </c>
      <c r="E9384" t="n">
        <v>37.41634</v>
      </c>
      <c r="F9384" t="inlineStr"/>
      <c r="G9384" t="inlineStr"/>
      <c r="H9384" t="inlineStr"/>
    </row>
    <row r="9385">
      <c r="A9385" t="inlineStr">
        <is>
          <t>864acbe5-b6ce-4f17-b663-06f024184eac.jpg</t>
        </is>
      </c>
      <c r="B9385">
        <f>HYPERLINK("Объекты недвижимости, не соответствующие градостроительным нормам_00-022_Август/864acbe5-b6ce-4f17-b663-06f024184eac.jpg","open")</f>
        <v/>
      </c>
      <c r="C9385" t="inlineStr">
        <is>
          <t>fb9a37cc-57a6-447c-98bb-0b299f09c809</t>
        </is>
      </c>
      <c r="D9385" t="n">
        <v>55.72172</v>
      </c>
      <c r="E9385" t="n">
        <v>37.70515</v>
      </c>
      <c r="F9385" t="inlineStr"/>
      <c r="G9385" t="inlineStr"/>
      <c r="H9385" t="inlineStr"/>
    </row>
    <row r="9386">
      <c r="A9386" t="inlineStr">
        <is>
          <t>c8a736f1-96c2-4976-9056-94d997a2f84d.jpg</t>
        </is>
      </c>
      <c r="B9386">
        <f>HYPERLINK("Объекты недвижимости, не соответствующие градостроительным нормам_00-022_Август/c8a736f1-96c2-4976-9056-94d997a2f84d.jpg","open")</f>
        <v/>
      </c>
      <c r="C9386" t="inlineStr">
        <is>
          <t>ffd931da-542f-43e9-979f-5552b17fe3dc</t>
        </is>
      </c>
      <c r="D9386" t="n">
        <v>55.77216</v>
      </c>
      <c r="E9386" t="n">
        <v>37.82006</v>
      </c>
      <c r="F9386" t="inlineStr"/>
      <c r="G9386" t="inlineStr"/>
      <c r="H9386" t="inlineStr"/>
    </row>
    <row r="9387">
      <c r="A9387" t="inlineStr">
        <is>
          <t>57f08c5c-82e7-4f31-8db3-a9ab3a2d3e59.jpg</t>
        </is>
      </c>
      <c r="B9387">
        <f>HYPERLINK("Объекты недвижимости, не соответствующие градостроительным нормам_00-022_Август/57f08c5c-82e7-4f31-8db3-a9ab3a2d3e59.jpg","open")</f>
        <v/>
      </c>
      <c r="C9387" t="inlineStr">
        <is>
          <t>fb40ed24-21ef-458a-a239-038ab19932cc</t>
        </is>
      </c>
      <c r="D9387" t="n">
        <v>55.79409</v>
      </c>
      <c r="E9387" t="n">
        <v>37.79937</v>
      </c>
      <c r="F9387" t="inlineStr"/>
      <c r="G9387" t="inlineStr"/>
      <c r="H9387" t="inlineStr"/>
    </row>
    <row r="9388">
      <c r="A9388" t="inlineStr">
        <is>
          <t>9ad4f064-d24b-4fbc-b497-2ad40634097e.jpg</t>
        </is>
      </c>
      <c r="B9388">
        <f>HYPERLINK("Объекты недвижимости, не соответствующие градостроительным нормам_00-022_Август/9ad4f064-d24b-4fbc-b497-2ad40634097e.jpg","open")</f>
        <v/>
      </c>
      <c r="C9388" t="inlineStr">
        <is>
          <t>ffd931da-542f-43e9-979f-5552b17fe3dc</t>
        </is>
      </c>
      <c r="D9388" t="n">
        <v>55.77723</v>
      </c>
      <c r="E9388" t="n">
        <v>37.81947</v>
      </c>
      <c r="F9388" t="inlineStr"/>
      <c r="G9388" t="inlineStr"/>
      <c r="H9388" t="inlineStr"/>
    </row>
    <row r="9389">
      <c r="A9389" t="inlineStr">
        <is>
          <t>2c1c96ad-5e8f-42ba-9775-8c0863c25827.jpg</t>
        </is>
      </c>
      <c r="B9389">
        <f>HYPERLINK("Объекты недвижимости, не соответствующие градостроительным нормам_00-022_Август/2c1c96ad-5e8f-42ba-9775-8c0863c25827.jpg","open")</f>
        <v/>
      </c>
      <c r="C9389" t="inlineStr">
        <is>
          <t>f60286ac-55e7-4099-85bd-cc599a7a0c65</t>
        </is>
      </c>
      <c r="D9389" t="n">
        <v>55.77725</v>
      </c>
      <c r="E9389" t="n">
        <v>37.81949</v>
      </c>
      <c r="F9389" t="inlineStr"/>
      <c r="G9389" t="inlineStr"/>
      <c r="H9389" t="inlineStr"/>
    </row>
    <row r="9390">
      <c r="A9390" t="inlineStr">
        <is>
          <t>6d8d638d-c0ef-4619-89d6-75a550e3b864.jpg</t>
        </is>
      </c>
      <c r="B9390">
        <f>HYPERLINK("Объекты недвижимости, не соответствующие градостроительным нормам_00-022_Август/6d8d638d-c0ef-4619-89d6-75a550e3b864.jpg","open")</f>
        <v/>
      </c>
      <c r="C9390" t="inlineStr">
        <is>
          <t>db8b536c-32f2-4d9a-ae08-679d227e61f1</t>
        </is>
      </c>
      <c r="D9390" t="n">
        <v>55.68209</v>
      </c>
      <c r="E9390" t="n">
        <v>37.56931</v>
      </c>
      <c r="F9390" t="inlineStr"/>
      <c r="G9390" t="inlineStr"/>
      <c r="H9390" t="inlineStr"/>
    </row>
    <row r="9391">
      <c r="A9391" t="inlineStr">
        <is>
          <t>04607026-37b5-4fda-8bff-dc57c630547b.jpg</t>
        </is>
      </c>
      <c r="B9391">
        <f>HYPERLINK("Объекты недвижимости, не соответствующие градостроительным нормам_00-022_Август/04607026-37b5-4fda-8bff-dc57c630547b.jpg","open")</f>
        <v/>
      </c>
      <c r="C9391" t="inlineStr">
        <is>
          <t>f389b777-2837-46f0-983f-56af24850601</t>
        </is>
      </c>
      <c r="D9391" t="n">
        <v>55.772</v>
      </c>
      <c r="E9391" t="n">
        <v>37.61335</v>
      </c>
      <c r="F9391" t="inlineStr"/>
      <c r="G9391" t="inlineStr"/>
      <c r="H9391" t="inlineStr"/>
    </row>
    <row r="9392">
      <c r="A9392" t="inlineStr">
        <is>
          <t>280085bd-046d-4d25-b22e-da0efe22d593.jpg</t>
        </is>
      </c>
      <c r="B9392">
        <f>HYPERLINK("Объекты недвижимости, не соответствующие градостроительным нормам_00-022_Август/280085bd-046d-4d25-b22e-da0efe22d593.jpg","open")</f>
        <v/>
      </c>
      <c r="C9392" t="inlineStr">
        <is>
          <t>b0b7ea82-53be-40d0-b992-e2fd18611d5c</t>
        </is>
      </c>
      <c r="D9392" t="n">
        <v>55.74321</v>
      </c>
      <c r="E9392" t="n">
        <v>37.70779</v>
      </c>
      <c r="F9392" t="inlineStr"/>
      <c r="G9392" t="inlineStr"/>
      <c r="H9392" t="inlineStr"/>
    </row>
    <row r="9393">
      <c r="A9393" t="inlineStr">
        <is>
          <t>783be20d-1ab9-4a9a-804e-01fcf5bc3162.jpg</t>
        </is>
      </c>
      <c r="B9393">
        <f>HYPERLINK("Объекты недвижимости, не соответствующие градостроительным нормам_00-022_Август/783be20d-1ab9-4a9a-804e-01fcf5bc3162.jpg","open")</f>
        <v/>
      </c>
      <c r="C9393" t="inlineStr">
        <is>
          <t>93848fc8-17e7-4748-9ebc-c7e379e11d2f</t>
        </is>
      </c>
      <c r="D9393" t="n">
        <v>55.52351</v>
      </c>
      <c r="E9393" t="n">
        <v>37.36612</v>
      </c>
      <c r="F9393" t="inlineStr"/>
      <c r="G9393" t="inlineStr"/>
      <c r="H9393" t="inlineStr"/>
    </row>
    <row r="9394">
      <c r="A9394" t="inlineStr">
        <is>
          <t>c46c1dd3-5bfe-4bb3-bb46-511e1576c833.jpg</t>
        </is>
      </c>
      <c r="B9394">
        <f>HYPERLINK("Объекты недвижимости, не соответствующие градостроительным нормам_00-022_Август/c46c1dd3-5bfe-4bb3-bb46-511e1576c833.jpg","open")</f>
        <v/>
      </c>
      <c r="C9394" t="inlineStr">
        <is>
          <t>caa4772d-6278-4484-a046-ee25514bf521</t>
        </is>
      </c>
      <c r="D9394" t="n">
        <v>55.82248</v>
      </c>
      <c r="E9394" t="n">
        <v>37.45048</v>
      </c>
      <c r="F9394" t="inlineStr"/>
      <c r="G9394" t="inlineStr"/>
      <c r="H9394" t="inlineStr"/>
    </row>
    <row r="9395">
      <c r="A9395" t="inlineStr">
        <is>
          <t>4ef379cd-8353-4614-843e-e8a75aa7f442.jpg</t>
        </is>
      </c>
      <c r="B9395">
        <f>HYPERLINK("Объекты недвижимости, не соответствующие градостроительным нормам_00-022_Август/4ef379cd-8353-4614-843e-e8a75aa7f442.jpg","open")</f>
        <v/>
      </c>
      <c r="C9395" t="inlineStr">
        <is>
          <t>cbf95b01-f708-45a3-9ec0-3603469b538e</t>
        </is>
      </c>
      <c r="D9395" t="n">
        <v>55.73481</v>
      </c>
      <c r="E9395" t="n">
        <v>37.66684</v>
      </c>
      <c r="F9395" t="inlineStr"/>
      <c r="G9395" t="inlineStr"/>
      <c r="H9395" t="inlineStr"/>
    </row>
    <row r="9396">
      <c r="A9396" t="inlineStr">
        <is>
          <t>0e762d2a-2154-47d6-a438-72a6dcf69291.jpg</t>
        </is>
      </c>
      <c r="B9396">
        <f>HYPERLINK("Объекты недвижимости, не соответствующие градостроительным нормам_00-022_Август/0e762d2a-2154-47d6-a438-72a6dcf69291.jpg","open")</f>
        <v/>
      </c>
      <c r="C9396" t="inlineStr">
        <is>
          <t>750bf7e4-0f0f-4f1a-96af-607dc8c1f1c9</t>
        </is>
      </c>
      <c r="D9396" t="n">
        <v>55.61205</v>
      </c>
      <c r="E9396" t="n">
        <v>37.55362</v>
      </c>
      <c r="F9396" t="inlineStr"/>
      <c r="G9396" t="inlineStr"/>
      <c r="H9396" t="inlineStr"/>
    </row>
    <row r="9397">
      <c r="A9397" t="inlineStr">
        <is>
          <t>694289e4-892c-46c2-857f-b55f62f9f0a6.jpg</t>
        </is>
      </c>
      <c r="B9397">
        <f>HYPERLINK("Объекты недвижимости, не соответствующие градостроительным нормам_00-022_Август/694289e4-892c-46c2-857f-b55f62f9f0a6.jpg","open")</f>
        <v/>
      </c>
      <c r="C9397" t="inlineStr">
        <is>
          <t>31a713a9-b910-424b-b847-e0eaa2f70c70</t>
        </is>
      </c>
      <c r="D9397" t="n">
        <v>55.61208</v>
      </c>
      <c r="E9397" t="n">
        <v>37.5536</v>
      </c>
      <c r="F9397" t="inlineStr"/>
      <c r="G9397" t="inlineStr"/>
      <c r="H9397" t="inlineStr"/>
    </row>
    <row r="9398">
      <c r="A9398" t="inlineStr">
        <is>
          <t>e9ca02a5-9c47-41c5-8b3c-c74c65128316.jpg</t>
        </is>
      </c>
      <c r="B9398">
        <f>HYPERLINK("Объекты недвижимости, не соответствующие градостроительным нормам_00-022_Август/e9ca02a5-9c47-41c5-8b3c-c74c65128316.jpg","open")</f>
        <v/>
      </c>
      <c r="C9398" t="inlineStr">
        <is>
          <t>750bf7e4-0f0f-4f1a-96af-607dc8c1f1c9</t>
        </is>
      </c>
      <c r="D9398" t="n">
        <v>55.61208</v>
      </c>
      <c r="E9398" t="n">
        <v>37.55362</v>
      </c>
      <c r="F9398" t="inlineStr"/>
      <c r="G9398" t="inlineStr"/>
      <c r="H9398" t="inlineStr"/>
    </row>
    <row r="9399">
      <c r="A9399" t="inlineStr">
        <is>
          <t>40c4db20-7d9a-4880-9a64-2dcf9aeee9f5.jpg</t>
        </is>
      </c>
      <c r="B9399">
        <f>HYPERLINK("Объекты недвижимости, не соответствующие градостроительным нормам_00-022_Август/40c4db20-7d9a-4880-9a64-2dcf9aeee9f5.jpg","open")</f>
        <v/>
      </c>
      <c r="C9399" t="inlineStr">
        <is>
          <t>db8b536c-32f2-4d9a-ae08-679d227e61f1</t>
        </is>
      </c>
      <c r="D9399" t="n">
        <v>55.68209</v>
      </c>
      <c r="E9399" t="n">
        <v>37.56931</v>
      </c>
      <c r="F9399" t="inlineStr"/>
      <c r="G9399" t="inlineStr"/>
      <c r="H9399" t="inlineStr"/>
    </row>
    <row r="9400">
      <c r="A9400" t="inlineStr">
        <is>
          <t>9a044ce1-883f-40a7-8829-e01225832830.jpg</t>
        </is>
      </c>
      <c r="B9400">
        <f>HYPERLINK("Объекты недвижимости, не соответствующие градостроительным нормам_00-022_Август/9a044ce1-883f-40a7-8829-e01225832830.jpg","open")</f>
        <v/>
      </c>
      <c r="C9400" t="inlineStr">
        <is>
          <t>036c664f-5408-4fd0-b479-342c00468eeb</t>
        </is>
      </c>
      <c r="D9400" t="n">
        <v>55.71422</v>
      </c>
      <c r="E9400" t="n">
        <v>37.40615</v>
      </c>
      <c r="F9400" t="inlineStr"/>
      <c r="G9400" t="inlineStr"/>
      <c r="H9400" t="inlineStr"/>
    </row>
    <row r="9401">
      <c r="A9401" t="inlineStr">
        <is>
          <t>b2339dcc-2e49-4676-adf3-f942e10e08bd.jpg</t>
        </is>
      </c>
      <c r="B9401">
        <f>HYPERLINK("Объекты недвижимости, не соответствующие градостроительным нормам_00-022_Август/b2339dcc-2e49-4676-adf3-f942e10e08bd.jpg","open")</f>
        <v/>
      </c>
      <c r="C9401" t="inlineStr">
        <is>
          <t>8996eb30-6497-4318-8a0e-b95314b8172e</t>
        </is>
      </c>
      <c r="D9401" t="n">
        <v>55.65761</v>
      </c>
      <c r="E9401" t="n">
        <v>37.35906</v>
      </c>
      <c r="F9401" t="inlineStr"/>
      <c r="G9401" t="inlineStr"/>
      <c r="H9401" t="inlineStr"/>
    </row>
    <row r="9402">
      <c r="A9402" t="inlineStr">
        <is>
          <t>c08e3c5b-2141-4802-83c9-27035e8c5000.jpg</t>
        </is>
      </c>
      <c r="B9402">
        <f>HYPERLINK("Объекты недвижимости, не соответствующие градостроительным нормам_00-022_Август/c08e3c5b-2141-4802-83c9-27035e8c5000.jpg","open")</f>
        <v/>
      </c>
      <c r="C9402" t="inlineStr">
        <is>
          <t>93848fc8-17e7-4748-9ebc-c7e379e11d2f</t>
        </is>
      </c>
      <c r="D9402" t="n">
        <v>55.52345</v>
      </c>
      <c r="E9402" t="n">
        <v>37.36612</v>
      </c>
      <c r="F9402" t="inlineStr"/>
      <c r="G9402" t="inlineStr"/>
      <c r="H9402" t="inlineStr"/>
    </row>
    <row r="9403">
      <c r="A9403" t="inlineStr">
        <is>
          <t>91c8a30b-63d4-4c8e-bd2a-1dfa35b70456.jpg</t>
        </is>
      </c>
      <c r="B9403">
        <f>HYPERLINK("Объекты недвижимости, не соответствующие градостроительным нормам_00-022_Август/91c8a30b-63d4-4c8e-bd2a-1dfa35b70456.jpg","open")</f>
        <v/>
      </c>
      <c r="C9403" t="inlineStr">
        <is>
          <t>1a55986c-2c3f-40c0-b3d1-014dce77832e</t>
        </is>
      </c>
      <c r="D9403" t="n">
        <v>55.85505</v>
      </c>
      <c r="E9403" t="n">
        <v>37.57385</v>
      </c>
      <c r="F9403" t="inlineStr"/>
      <c r="G9403" t="inlineStr"/>
      <c r="H9403" t="inlineStr"/>
    </row>
    <row r="9404">
      <c r="A9404" t="inlineStr">
        <is>
          <t>3bf698c5-0627-4d4e-b8f6-c5f3560697f1.jpg</t>
        </is>
      </c>
      <c r="B9404">
        <f>HYPERLINK("Объекты недвижимости, не соответствующие градостроительным нормам_00-022_Август/3bf698c5-0627-4d4e-b8f6-c5f3560697f1.jpg","open")</f>
        <v/>
      </c>
      <c r="C9404" t="inlineStr">
        <is>
          <t>50e4626c-a80e-42ab-b999-b5092c2c063f</t>
        </is>
      </c>
      <c r="D9404" t="n">
        <v>55.80164</v>
      </c>
      <c r="E9404" t="n">
        <v>37.74537</v>
      </c>
      <c r="F9404" t="inlineStr"/>
      <c r="G9404" t="inlineStr"/>
      <c r="H9404" t="inlineStr"/>
    </row>
    <row r="9405">
      <c r="A9405" t="inlineStr">
        <is>
          <t>f3237ad1-455c-4b4a-b725-df671d8ea1f1.jpg</t>
        </is>
      </c>
      <c r="B9405">
        <f>HYPERLINK("Объекты недвижимости, не соответствующие градостроительным нормам_00-022_Август/f3237ad1-455c-4b4a-b725-df671d8ea1f1.jpg","open")</f>
        <v/>
      </c>
      <c r="C9405" t="inlineStr">
        <is>
          <t>a1a9db89-3f74-42ef-8fad-ad69705102cd</t>
        </is>
      </c>
      <c r="D9405" t="n">
        <v>55.73481</v>
      </c>
      <c r="E9405" t="n">
        <v>37.66684</v>
      </c>
      <c r="F9405" t="inlineStr"/>
      <c r="G9405" t="inlineStr"/>
      <c r="H9405" t="inlineStr"/>
    </row>
    <row r="9406">
      <c r="A9406" t="inlineStr">
        <is>
          <t>7443cd82-1854-41be-8a7b-6cb921382ac4.jpg</t>
        </is>
      </c>
      <c r="B9406">
        <f>HYPERLINK("Объекты недвижимости, не соответствующие градостроительным нормам_00-022_Август/7443cd82-1854-41be-8a7b-6cb921382ac4.jpg","open")</f>
        <v/>
      </c>
      <c r="C9406" t="inlineStr">
        <is>
          <t>685d9054-b74f-49ab-857b-109fd2cec80d</t>
        </is>
      </c>
      <c r="D9406" t="n">
        <v>55.6584</v>
      </c>
      <c r="E9406" t="n">
        <v>37.57778</v>
      </c>
      <c r="F9406" t="inlineStr"/>
      <c r="G9406" t="inlineStr"/>
      <c r="H9406" t="inlineStr"/>
    </row>
    <row r="9407">
      <c r="A9407" t="inlineStr">
        <is>
          <t>f3584ef4-bed3-4e7b-82cc-7e0e96c98c12.jpg</t>
        </is>
      </c>
      <c r="B9407">
        <f>HYPERLINK("Объекты недвижимости, не соответствующие градостроительным нормам_00-022_Август/f3584ef4-bed3-4e7b-82cc-7e0e96c98c12.jpg","open")</f>
        <v/>
      </c>
      <c r="C9407" t="inlineStr">
        <is>
          <t>57aae8a4-582b-4309-8045-c8127a9f86ae</t>
        </is>
      </c>
      <c r="D9407" t="n">
        <v>55.82</v>
      </c>
      <c r="E9407" t="n">
        <v>37.75689</v>
      </c>
      <c r="F9407" t="inlineStr"/>
      <c r="G9407" t="inlineStr"/>
      <c r="H9407" t="inlineStr"/>
    </row>
    <row r="9408">
      <c r="A9408" t="inlineStr">
        <is>
          <t>17a32ab2-fc91-4a3d-9765-d84f196ed760.jpg</t>
        </is>
      </c>
      <c r="B9408">
        <f>HYPERLINK("Объекты недвижимости, не соответствующие градостроительным нормам_00-022_Август/17a32ab2-fc91-4a3d-9765-d84f196ed760.jpg","open")</f>
        <v/>
      </c>
      <c r="C9408" t="inlineStr">
        <is>
          <t>93848fc8-17e7-4748-9ebc-c7e379e11d2f</t>
        </is>
      </c>
      <c r="D9408" t="n">
        <v>55.51974</v>
      </c>
      <c r="E9408" t="n">
        <v>37.37594</v>
      </c>
      <c r="F9408" t="inlineStr"/>
      <c r="G9408" t="inlineStr"/>
      <c r="H9408" t="inlineStr"/>
    </row>
    <row r="9409">
      <c r="A9409" t="inlineStr">
        <is>
          <t>706691d0-b126-411f-9dd9-afba10f4bf6d.jpg</t>
        </is>
      </c>
      <c r="B9409">
        <f>HYPERLINK("Объекты недвижимости, не соответствующие градостроительным нормам_00-022_Август/706691d0-b126-411f-9dd9-afba10f4bf6d.jpg","open")</f>
        <v/>
      </c>
      <c r="C9409" t="inlineStr">
        <is>
          <t>fb9a37cc-57a6-447c-98bb-0b299f09c809</t>
        </is>
      </c>
      <c r="D9409" t="n">
        <v>55.59021</v>
      </c>
      <c r="E9409" t="n">
        <v>37.72451</v>
      </c>
      <c r="F9409" t="inlineStr"/>
      <c r="G9409" t="inlineStr"/>
      <c r="H9409" t="inlineStr"/>
    </row>
    <row r="9410">
      <c r="A9410" t="inlineStr">
        <is>
          <t>178f1d0c-9a64-440f-b795-4dce72727422.jpg</t>
        </is>
      </c>
      <c r="B9410">
        <f>HYPERLINK("Объекты недвижимости, не соответствующие градостроительным нормам_00-022_Август/178f1d0c-9a64-440f-b795-4dce72727422.jpg","open")</f>
        <v/>
      </c>
      <c r="C9410" t="inlineStr">
        <is>
          <t>acedacc2-0d8b-4fc1-9622-25621a89d071</t>
        </is>
      </c>
      <c r="D9410" t="n">
        <v>55.82176</v>
      </c>
      <c r="E9410" t="n">
        <v>37.75883</v>
      </c>
      <c r="F9410" t="inlineStr"/>
      <c r="G9410" t="inlineStr"/>
      <c r="H9410" t="inlineStr"/>
    </row>
    <row r="9411">
      <c r="A9411" t="inlineStr">
        <is>
          <t>95ff6957-7fae-4438-940f-ebebc2aa6276.jpg</t>
        </is>
      </c>
      <c r="B9411">
        <f>HYPERLINK("Объекты недвижимости, не соответствующие градостроительным нормам_00-022_Август/95ff6957-7fae-4438-940f-ebebc2aa6276.jpg","open")</f>
        <v/>
      </c>
      <c r="C9411" t="inlineStr">
        <is>
          <t>57aae8a4-582b-4309-8045-c8127a9f86ae</t>
        </is>
      </c>
      <c r="D9411" t="n">
        <v>55.82177</v>
      </c>
      <c r="E9411" t="n">
        <v>37.75885</v>
      </c>
      <c r="F9411" t="inlineStr"/>
      <c r="G9411" t="inlineStr"/>
      <c r="H9411" t="inlineStr"/>
    </row>
    <row r="9412">
      <c r="A9412" t="inlineStr">
        <is>
          <t>d0258714-4193-40ce-b346-0066e1ef7790.jpg</t>
        </is>
      </c>
      <c r="B9412">
        <f>HYPERLINK("Объекты недвижимости, не соответствующие градостроительным нормам_00-022_Август/d0258714-4193-40ce-b346-0066e1ef7790.jpg","open")</f>
        <v/>
      </c>
      <c r="C9412" t="inlineStr">
        <is>
          <t>685d9054-b74f-49ab-857b-109fd2cec80d</t>
        </is>
      </c>
      <c r="D9412" t="n">
        <v>55.6559</v>
      </c>
      <c r="E9412" t="n">
        <v>37.5825</v>
      </c>
      <c r="F9412" t="inlineStr"/>
      <c r="G9412" t="inlineStr"/>
      <c r="H9412" t="inlineStr"/>
    </row>
    <row r="9413">
      <c r="A9413" t="inlineStr">
        <is>
          <t>a235d9a2-b7fa-4773-a4e1-14907ccb2f46.jpg</t>
        </is>
      </c>
      <c r="B9413">
        <f>HYPERLINK("Объекты недвижимости, не соответствующие градостроительным нормам_00-022_Август/a235d9a2-b7fa-4773-a4e1-14907ccb2f46.jpg","open")</f>
        <v/>
      </c>
      <c r="C9413" t="inlineStr">
        <is>
          <t>18a5c468-d9e6-4814-8477-1caf4a2e1fe9</t>
        </is>
      </c>
      <c r="D9413" t="n">
        <v>55.74843</v>
      </c>
      <c r="E9413" t="n">
        <v>37.70095</v>
      </c>
      <c r="F9413" t="inlineStr"/>
      <c r="G9413" t="inlineStr"/>
      <c r="H9413" t="inlineStr"/>
    </row>
    <row r="9414">
      <c r="A9414" t="inlineStr">
        <is>
          <t>1f15c409-9269-4400-ba21-f3a1fccb41cd.jpg</t>
        </is>
      </c>
      <c r="B9414">
        <f>HYPERLINK("Объекты недвижимости, не соответствующие градостроительным нормам_00-022_Август/1f15c409-9269-4400-ba21-f3a1fccb41cd.jpg","open")</f>
        <v/>
      </c>
      <c r="C9414" t="inlineStr">
        <is>
          <t>18a5c468-d9e6-4814-8477-1caf4a2e1fe9</t>
        </is>
      </c>
      <c r="D9414" t="n">
        <v>55.74843</v>
      </c>
      <c r="E9414" t="n">
        <v>37.70095</v>
      </c>
      <c r="F9414" t="inlineStr"/>
      <c r="G9414" t="inlineStr"/>
      <c r="H9414" t="inlineStr"/>
    </row>
    <row r="9415">
      <c r="A9415" t="inlineStr">
        <is>
          <t>8aa8b891-5b69-4bb5-a440-40808ad42a28.jpg</t>
        </is>
      </c>
      <c r="B9415">
        <f>HYPERLINK("Объекты недвижимости, не соответствующие градостроительным нормам_00-022_Август/8aa8b891-5b69-4bb5-a440-40808ad42a28.jpg","open")</f>
        <v/>
      </c>
      <c r="C9415" t="inlineStr">
        <is>
          <t>cbf95b01-f708-45a3-9ec0-3603469b538e</t>
        </is>
      </c>
      <c r="D9415" t="n">
        <v>55.73481</v>
      </c>
      <c r="E9415" t="n">
        <v>37.66684</v>
      </c>
      <c r="F9415" t="inlineStr"/>
      <c r="G9415" t="inlineStr"/>
      <c r="H9415" t="inlineStr"/>
    </row>
    <row r="9416">
      <c r="A9416" t="inlineStr">
        <is>
          <t>4f3f7df2-47ce-4dc2-b287-15f35100f791.jpg</t>
        </is>
      </c>
      <c r="B9416">
        <f>HYPERLINK("Объекты недвижимости, не соответствующие градостроительным нормам_00-022_Август/4f3f7df2-47ce-4dc2-b287-15f35100f791.jpg","open")</f>
        <v/>
      </c>
      <c r="C9416" t="inlineStr">
        <is>
          <t>cbf95b01-f708-45a3-9ec0-3603469b538e</t>
        </is>
      </c>
      <c r="D9416" t="n">
        <v>55.73481</v>
      </c>
      <c r="E9416" t="n">
        <v>37.66684</v>
      </c>
      <c r="F9416" t="inlineStr"/>
      <c r="G9416" t="inlineStr"/>
      <c r="H9416" t="inlineStr"/>
    </row>
    <row r="9417">
      <c r="A9417" t="inlineStr">
        <is>
          <t>68bc0cc1-8307-4fd8-b792-9ad9e54bdb8b.jpg</t>
        </is>
      </c>
      <c r="B9417">
        <f>HYPERLINK("Объекты недвижимости, не соответствующие градостроительным нормам_00-022_Август/68bc0cc1-8307-4fd8-b792-9ad9e54bdb8b.jpg","open")</f>
        <v/>
      </c>
      <c r="C9417" t="inlineStr">
        <is>
          <t>fb9a37cc-57a6-447c-98bb-0b299f09c809</t>
        </is>
      </c>
      <c r="D9417" t="n">
        <v>55.59221</v>
      </c>
      <c r="E9417" t="n">
        <v>37.72351</v>
      </c>
      <c r="F9417" t="inlineStr"/>
      <c r="G9417" t="inlineStr"/>
      <c r="H9417" t="inlineStr"/>
    </row>
    <row r="9418">
      <c r="A9418" t="inlineStr">
        <is>
          <t>ba74d499-6660-43f7-a76b-df1c5dee7a79.jpg</t>
        </is>
      </c>
      <c r="B9418">
        <f>HYPERLINK("Объекты недвижимости, не соответствующие градостроительным нормам_00-022_Август/ba74d499-6660-43f7-a76b-df1c5dee7a79.jpg","open")</f>
        <v/>
      </c>
      <c r="C9418" t="inlineStr">
        <is>
          <t>b0b7ea82-53be-40d0-b992-e2fd18611d5c</t>
        </is>
      </c>
      <c r="D9418" t="n">
        <v>55.74744</v>
      </c>
      <c r="E9418" t="n">
        <v>37.70491</v>
      </c>
      <c r="F9418" t="inlineStr"/>
      <c r="G9418" t="inlineStr"/>
      <c r="H9418" t="inlineStr"/>
    </row>
    <row r="9419">
      <c r="A9419" t="inlineStr">
        <is>
          <t>c3e4b286-c1e5-4c5e-a6e4-e0b36e47e7c9.jpg</t>
        </is>
      </c>
      <c r="B9419">
        <f>HYPERLINK("Объекты недвижимости, не соответствующие градостроительным нормам_00-022_Август/c3e4b286-c1e5-4c5e-a6e4-e0b36e47e7c9.jpg","open")</f>
        <v/>
      </c>
      <c r="C9419" t="inlineStr">
        <is>
          <t>936502dd-24a4-4256-9fdf-0d8fb72af3ed</t>
        </is>
      </c>
      <c r="D9419" t="n">
        <v>55.59604</v>
      </c>
      <c r="E9419" t="n">
        <v>37.65908</v>
      </c>
      <c r="F9419" t="inlineStr"/>
      <c r="G9419" t="inlineStr"/>
      <c r="H9419" t="inlineStr"/>
    </row>
    <row r="9420">
      <c r="A9420" t="inlineStr">
        <is>
          <t>4f5cc821-a71e-4fc9-94b2-e392ef9995bf.jpg</t>
        </is>
      </c>
      <c r="B9420">
        <f>HYPERLINK("Объекты недвижимости, не соответствующие градостроительным нормам_00-022_Август/4f5cc821-a71e-4fc9-94b2-e392ef9995bf.jpg","open")</f>
        <v/>
      </c>
      <c r="C9420" t="inlineStr">
        <is>
          <t>8cde1fd0-eca1-4510-86ab-3c743b65fdfc</t>
        </is>
      </c>
      <c r="D9420" t="n">
        <v>55.78014</v>
      </c>
      <c r="E9420" t="n">
        <v>37.69502</v>
      </c>
      <c r="F9420" t="inlineStr"/>
      <c r="G9420" t="inlineStr"/>
      <c r="H9420" t="inlineStr"/>
    </row>
    <row r="9421">
      <c r="A9421" t="inlineStr">
        <is>
          <t>da124aff-a7ae-4e1b-a27c-2161958081d7.jpg</t>
        </is>
      </c>
      <c r="B9421">
        <f>HYPERLINK("Объекты недвижимости, не соответствующие градостроительным нормам_00-022_Август/da124aff-a7ae-4e1b-a27c-2161958081d7.jpg","open")</f>
        <v/>
      </c>
      <c r="C9421" t="inlineStr">
        <is>
          <t>8cde1fd0-eca1-4510-86ab-3c743b65fdfc</t>
        </is>
      </c>
      <c r="D9421" t="n">
        <v>55.78191</v>
      </c>
      <c r="E9421" t="n">
        <v>37.69664</v>
      </c>
      <c r="F9421" t="inlineStr"/>
      <c r="G9421" t="inlineStr"/>
      <c r="H9421" t="inlineStr"/>
    </row>
    <row r="9422">
      <c r="A9422" t="inlineStr">
        <is>
          <t>7734e4fe-2da9-407e-8ec8-f1c29d40a128.jpg</t>
        </is>
      </c>
      <c r="B9422">
        <f>HYPERLINK("Объекты недвижимости, не соответствующие градостроительным нормам_00-022_Август/7734e4fe-2da9-407e-8ec8-f1c29d40a128.jpg","open")</f>
        <v/>
      </c>
      <c r="C9422" t="inlineStr">
        <is>
          <t>8cde1fd0-eca1-4510-86ab-3c743b65fdfc</t>
        </is>
      </c>
      <c r="D9422" t="n">
        <v>55.78675</v>
      </c>
      <c r="E9422" t="n">
        <v>37.69249</v>
      </c>
      <c r="F9422" t="inlineStr"/>
      <c r="G9422" t="inlineStr"/>
      <c r="H9422" t="inlineStr"/>
    </row>
    <row r="9423">
      <c r="A9423" t="inlineStr">
        <is>
          <t>c911e0b1-6659-4c9c-b857-3612eb437bf2.jpg</t>
        </is>
      </c>
      <c r="B9423">
        <f>HYPERLINK("Объекты недвижимости, не соответствующие градостроительным нормам_00-022_Август/c911e0b1-6659-4c9c-b857-3612eb437bf2.jpg","open")</f>
        <v/>
      </c>
      <c r="C9423" t="inlineStr">
        <is>
          <t>caa4772d-6278-4484-a046-ee25514bf521</t>
        </is>
      </c>
      <c r="D9423" t="n">
        <v>55.7681</v>
      </c>
      <c r="E9423" t="n">
        <v>37.52297</v>
      </c>
      <c r="F9423" t="inlineStr"/>
      <c r="G9423" t="inlineStr"/>
      <c r="H9423" t="inlineStr"/>
    </row>
    <row r="9424">
      <c r="A9424" t="inlineStr">
        <is>
          <t>739dffa6-d679-4754-a41d-710a048f9291.jpg</t>
        </is>
      </c>
      <c r="B9424">
        <f>HYPERLINK("Объекты недвижимости, не соответствующие градостроительным нормам_00-022_Август/739dffa6-d679-4754-a41d-710a048f9291.jpg","open")</f>
        <v/>
      </c>
      <c r="C9424" t="inlineStr">
        <is>
          <t>f20fbc2b-b369-4734-bb66-92af02fbb0d1</t>
        </is>
      </c>
      <c r="D9424" t="n">
        <v>55.74744</v>
      </c>
      <c r="E9424" t="n">
        <v>37.70491</v>
      </c>
      <c r="F9424" t="inlineStr"/>
      <c r="G9424" t="inlineStr"/>
      <c r="H9424" t="inlineStr"/>
    </row>
    <row r="9425">
      <c r="A9425" t="inlineStr">
        <is>
          <t>5eeec932-8da6-4bcd-a0ca-b84891347a96.jpg</t>
        </is>
      </c>
      <c r="B9425">
        <f>HYPERLINK("Объекты недвижимости, не соответствующие градостроительным нормам_00-022_Август/5eeec932-8da6-4bcd-a0ca-b84891347a96.jpg","open")</f>
        <v/>
      </c>
      <c r="C9425" t="inlineStr">
        <is>
          <t>12e795ad-2aa7-49de-b2da-2c6aa35a4559</t>
        </is>
      </c>
      <c r="D9425" t="n">
        <v>55.68292</v>
      </c>
      <c r="E9425" t="n">
        <v>37.57128</v>
      </c>
      <c r="F9425" t="inlineStr"/>
      <c r="G9425" t="inlineStr"/>
      <c r="H9425" t="inlineStr"/>
    </row>
    <row r="9426">
      <c r="A9426" t="inlineStr">
        <is>
          <t>0d8add35-4a5e-4cf3-8f23-a0bbd21dd5a2.jpg</t>
        </is>
      </c>
      <c r="B9426">
        <f>HYPERLINK("Объекты недвижимости, не соответствующие градостроительным нормам_00-022_Август/0d8add35-4a5e-4cf3-8f23-a0bbd21dd5a2.jpg","open")</f>
        <v/>
      </c>
      <c r="C9426" t="inlineStr">
        <is>
          <t>fce890a6-27da-4062-a046-08262a160ee6</t>
        </is>
      </c>
      <c r="D9426" t="n">
        <v>55.97631</v>
      </c>
      <c r="E9426" t="n">
        <v>37.43079</v>
      </c>
      <c r="F9426" t="inlineStr"/>
      <c r="G9426" t="inlineStr"/>
      <c r="H9426" t="inlineStr"/>
    </row>
    <row r="9427">
      <c r="A9427" t="inlineStr">
        <is>
          <t>06f6cbbc-c30d-48a0-b044-bbfae097e6db.jpg</t>
        </is>
      </c>
      <c r="B9427">
        <f>HYPERLINK("Объекты недвижимости, не соответствующие градостроительным нормам_00-022_Август/06f6cbbc-c30d-48a0-b044-bbfae097e6db.jpg","open")</f>
        <v/>
      </c>
      <c r="C9427" t="inlineStr">
        <is>
          <t>e26f5fc2-1353-4f29-85f3-87c56419161c</t>
        </is>
      </c>
      <c r="D9427" t="n">
        <v>55.86483</v>
      </c>
      <c r="E9427" t="n">
        <v>37.62739</v>
      </c>
      <c r="F9427" t="inlineStr"/>
      <c r="G9427" t="inlineStr"/>
      <c r="H9427" t="inlineStr"/>
    </row>
    <row r="9428">
      <c r="A9428" t="inlineStr">
        <is>
          <t>581f941a-1225-4550-85af-16442a108c11.jpg</t>
        </is>
      </c>
      <c r="B9428">
        <f>HYPERLINK("Объекты недвижимости, не соответствующие градостроительным нормам_00-022_Август/581f941a-1225-4550-85af-16442a108c11.jpg","open")</f>
        <v/>
      </c>
      <c r="C9428" t="inlineStr">
        <is>
          <t>cbf95b01-f708-45a3-9ec0-3603469b538e</t>
        </is>
      </c>
      <c r="D9428" t="n">
        <v>55.73097</v>
      </c>
      <c r="E9428" t="n">
        <v>37.5577</v>
      </c>
      <c r="F9428" t="inlineStr"/>
      <c r="G9428" t="inlineStr"/>
      <c r="H9428" t="inlineStr"/>
    </row>
    <row r="9429">
      <c r="A9429" t="inlineStr">
        <is>
          <t>ae0ea9ed-9425-477d-ab92-59b674ee2b46.jpg</t>
        </is>
      </c>
      <c r="B9429">
        <f>HYPERLINK("Объекты недвижимости, не соответствующие градостроительным нормам_00-022_Август/ae0ea9ed-9425-477d-ab92-59b674ee2b46.jpg","open")</f>
        <v/>
      </c>
      <c r="C9429" t="inlineStr">
        <is>
          <t>036c664f-5408-4fd0-b479-342c00468eeb</t>
        </is>
      </c>
      <c r="D9429" t="n">
        <v>55.71706</v>
      </c>
      <c r="E9429" t="n">
        <v>37.41562</v>
      </c>
      <c r="F9429" t="inlineStr"/>
      <c r="G9429" t="inlineStr"/>
      <c r="H9429" t="inlineStr"/>
    </row>
    <row r="9430">
      <c r="A9430" t="inlineStr">
        <is>
          <t>d407a8e0-6b08-4bbb-bb40-e4d7a3cab569.jpg</t>
        </is>
      </c>
      <c r="B9430">
        <f>HYPERLINK("Объекты недвижимости, не соответствующие градостроительным нормам_00-022_Август/d407a8e0-6b08-4bbb-bb40-e4d7a3cab569.jpg","open")</f>
        <v/>
      </c>
      <c r="C9430" t="inlineStr">
        <is>
          <t>9c930d0e-e445-452d-a046-325646b21ab7</t>
        </is>
      </c>
      <c r="D9430" t="n">
        <v>55.84461</v>
      </c>
      <c r="E9430" t="n">
        <v>37.66966</v>
      </c>
      <c r="F9430" t="inlineStr"/>
      <c r="G9430" t="inlineStr"/>
      <c r="H9430" t="inlineStr"/>
    </row>
    <row r="9431">
      <c r="A9431" t="inlineStr">
        <is>
          <t>b153d335-4106-4ef3-abb1-15f777a8581a.jpg</t>
        </is>
      </c>
      <c r="B9431">
        <f>HYPERLINK("Объекты недвижимости, не соответствующие градостроительным нормам_00-022_Август/b153d335-4106-4ef3-abb1-15f777a8581a.jpg","open")</f>
        <v/>
      </c>
      <c r="C9431" t="inlineStr">
        <is>
          <t>9fb3d110-951f-48da-9d90-cfd7e1b5800d</t>
        </is>
      </c>
      <c r="D9431" t="n">
        <v>55.689</v>
      </c>
      <c r="E9431" t="n">
        <v>37.49396</v>
      </c>
      <c r="F9431" t="inlineStr"/>
      <c r="G9431" t="inlineStr"/>
      <c r="H9431" t="inlineStr"/>
    </row>
    <row r="9432">
      <c r="A9432" t="inlineStr">
        <is>
          <t>bdc44630-ce92-45f1-996d-ad22f00bdfb3.jpg</t>
        </is>
      </c>
      <c r="B9432">
        <f>HYPERLINK("Объекты недвижимости, не соответствующие градостроительным нормам_00-022_Август/bdc44630-ce92-45f1-996d-ad22f00bdfb3.jpg","open")</f>
        <v/>
      </c>
      <c r="C9432" t="inlineStr">
        <is>
          <t>61936922-4d4b-458e-80ea-6d4c450aa1d5</t>
        </is>
      </c>
      <c r="D9432" t="n">
        <v>55.68894</v>
      </c>
      <c r="E9432" t="n">
        <v>37.49421</v>
      </c>
      <c r="F9432" t="inlineStr"/>
      <c r="G9432" t="inlineStr"/>
      <c r="H9432" t="inlineStr"/>
    </row>
    <row r="9433">
      <c r="A9433" t="inlineStr">
        <is>
          <t>c2c8dd91-f995-4f08-a190-b55ba329c3e4.jpg</t>
        </is>
      </c>
      <c r="B9433">
        <f>HYPERLINK("Объекты недвижимости, не соответствующие градостроительным нормам_00-022_Август/c2c8dd91-f995-4f08-a190-b55ba329c3e4.jpg","open")</f>
        <v/>
      </c>
      <c r="C9433" t="inlineStr">
        <is>
          <t>dd48f742-b338-42e2-bbaf-b3a9701b437c</t>
        </is>
      </c>
      <c r="D9433" t="n">
        <v>55.85295</v>
      </c>
      <c r="E9433" t="n">
        <v>37.66778</v>
      </c>
      <c r="F9433" t="inlineStr"/>
      <c r="G9433" t="inlineStr"/>
      <c r="H9433" t="inlineStr"/>
    </row>
    <row r="9434">
      <c r="A9434" t="inlineStr">
        <is>
          <t>35b61565-2409-4aee-9c21-7591db979041.jpg</t>
        </is>
      </c>
      <c r="B9434">
        <f>HYPERLINK("Объекты недвижимости, не соответствующие градостроительным нормам_00-022_Август/35b61565-2409-4aee-9c21-7591db979041.jpg","open")</f>
        <v/>
      </c>
      <c r="C9434" t="inlineStr">
        <is>
          <t>9c930d0e-e445-452d-a046-325646b21ab7</t>
        </is>
      </c>
      <c r="D9434" t="n">
        <v>55.85295</v>
      </c>
      <c r="E9434" t="n">
        <v>37.66778</v>
      </c>
      <c r="F9434" t="inlineStr"/>
      <c r="G9434" t="inlineStr"/>
      <c r="H9434" t="inlineStr"/>
    </row>
    <row r="9435">
      <c r="A9435" t="inlineStr">
        <is>
          <t>fae2a5b9-ad92-44e4-ba08-d1893b7cb1a2.jpg</t>
        </is>
      </c>
      <c r="B9435">
        <f>HYPERLINK("Объекты недвижимости, не соответствующие градостроительным нормам_00-022_Август/fae2a5b9-ad92-44e4-ba08-d1893b7cb1a2.jpg","open")</f>
        <v/>
      </c>
      <c r="C9435" t="inlineStr">
        <is>
          <t>9fb3d110-951f-48da-9d90-cfd7e1b5800d</t>
        </is>
      </c>
      <c r="D9435" t="n">
        <v>55.68891</v>
      </c>
      <c r="E9435" t="n">
        <v>37.4939</v>
      </c>
      <c r="F9435" t="inlineStr"/>
      <c r="G9435" t="inlineStr"/>
      <c r="H9435" t="inlineStr"/>
    </row>
    <row r="9436">
      <c r="A9436" t="inlineStr">
        <is>
          <t>83f52fe2-96f3-4ecb-909f-5903943a75fa.jpg</t>
        </is>
      </c>
      <c r="B9436">
        <f>HYPERLINK("Объекты недвижимости, не соответствующие градостроительным нормам_00-022_Август/83f52fe2-96f3-4ecb-909f-5903943a75fa.jpg","open")</f>
        <v/>
      </c>
      <c r="C9436" t="inlineStr">
        <is>
          <t>61936922-4d4b-458e-80ea-6d4c450aa1d5</t>
        </is>
      </c>
      <c r="D9436" t="n">
        <v>55.6889</v>
      </c>
      <c r="E9436" t="n">
        <v>37.49402</v>
      </c>
      <c r="F9436" t="inlineStr"/>
      <c r="G9436" t="inlineStr"/>
      <c r="H9436" t="inlineStr"/>
    </row>
    <row r="9437">
      <c r="A9437" t="inlineStr">
        <is>
          <t>a7fe78d8-2a78-4b0c-88c7-1c277b24a474.jpg</t>
        </is>
      </c>
      <c r="B9437">
        <f>HYPERLINK("Объекты недвижимости, не соответствующие градостроительным нормам_00-022_Август/a7fe78d8-2a78-4b0c-88c7-1c277b24a474.jpg","open")</f>
        <v/>
      </c>
      <c r="C9437" t="inlineStr">
        <is>
          <t>caa4772d-6278-4484-a046-ee25514bf521</t>
        </is>
      </c>
      <c r="D9437" t="n">
        <v>55.76572</v>
      </c>
      <c r="E9437" t="n">
        <v>37.51268</v>
      </c>
      <c r="F9437" t="inlineStr"/>
      <c r="G9437" t="inlineStr"/>
      <c r="H9437" t="inlineStr"/>
    </row>
    <row r="9438">
      <c r="A9438" t="inlineStr">
        <is>
          <t>7c6bb07c-1c94-4954-8f65-bd8f68625ce4.jpg</t>
        </is>
      </c>
      <c r="B9438">
        <f>HYPERLINK("Объекты недвижимости, не соответствующие градостроительным нормам_00-022_Август/7c6bb07c-1c94-4954-8f65-bd8f68625ce4.jpg","open")</f>
        <v/>
      </c>
      <c r="C9438" t="inlineStr">
        <is>
          <t>e90a3ac0-5b70-4ede-abeb-382371713306</t>
        </is>
      </c>
      <c r="D9438" t="n">
        <v>55.68813</v>
      </c>
      <c r="E9438" t="n">
        <v>37.57341</v>
      </c>
      <c r="F9438" t="inlineStr"/>
      <c r="G9438" t="inlineStr"/>
      <c r="H9438" t="inlineStr"/>
    </row>
    <row r="9439">
      <c r="A9439" t="inlineStr">
        <is>
          <t>333dc010-6749-4085-942e-6f6179937a50.jpg</t>
        </is>
      </c>
      <c r="B9439">
        <f>HYPERLINK("Объекты недвижимости, не соответствующие градостроительным нормам_00-022_Август/333dc010-6749-4085-942e-6f6179937a50.jpg","open")</f>
        <v/>
      </c>
      <c r="C9439" t="inlineStr">
        <is>
          <t>797901ad-53b1-41b8-99d1-d59d59c863d5</t>
        </is>
      </c>
      <c r="D9439" t="n">
        <v>55.79053</v>
      </c>
      <c r="E9439" t="n">
        <v>37.68238</v>
      </c>
      <c r="F9439" t="inlineStr"/>
      <c r="G9439" t="inlineStr"/>
      <c r="H9439" t="inlineStr"/>
    </row>
    <row r="9440">
      <c r="A9440" t="inlineStr">
        <is>
          <t>58e8a13c-81f3-41de-9694-b356ab31840a.jpg</t>
        </is>
      </c>
      <c r="B9440">
        <f>HYPERLINK("Объекты недвижимости, не соответствующие градостроительным нормам_00-022_Август/58e8a13c-81f3-41de-9694-b356ab31840a.jpg","open")</f>
        <v/>
      </c>
      <c r="C9440" t="inlineStr">
        <is>
          <t>e26f5fc2-1353-4f29-85f3-87c56419161c</t>
        </is>
      </c>
      <c r="D9440" t="n">
        <v>55.83428</v>
      </c>
      <c r="E9440" t="n">
        <v>37.63687</v>
      </c>
      <c r="F9440" t="inlineStr"/>
      <c r="G9440" t="inlineStr"/>
      <c r="H9440" t="inlineStr"/>
    </row>
    <row r="9441">
      <c r="A9441" t="inlineStr">
        <is>
          <t>83db36bf-283d-4292-9aa7-d78cbc57a7f2.jpg</t>
        </is>
      </c>
      <c r="B9441">
        <f>HYPERLINK("Объекты недвижимости, не соответствующие градостроительным нормам_00-022_Август/83db36bf-283d-4292-9aa7-d78cbc57a7f2.jpg","open")</f>
        <v/>
      </c>
      <c r="C9441" t="inlineStr">
        <is>
          <t>a28f597e-d1cd-4d3b-b572-c86d033412e9</t>
        </is>
      </c>
      <c r="D9441" t="n">
        <v>55.71841</v>
      </c>
      <c r="E9441" t="n">
        <v>37.42284</v>
      </c>
      <c r="F9441" t="inlineStr"/>
      <c r="G9441" t="inlineStr"/>
      <c r="H9441" t="inlineStr"/>
    </row>
    <row r="9442">
      <c r="A9442" t="inlineStr">
        <is>
          <t>9d8963fa-f7fa-44d5-af70-24b1102065a8.jpg</t>
        </is>
      </c>
      <c r="B9442">
        <f>HYPERLINK("Объекты недвижимости, не соответствующие градостроительным нормам_00-022_Август/9d8963fa-f7fa-44d5-af70-24b1102065a8.jpg","open")</f>
        <v/>
      </c>
      <c r="C9442" t="inlineStr">
        <is>
          <t>036c664f-5408-4fd0-b479-342c00468eeb</t>
        </is>
      </c>
      <c r="D9442" t="n">
        <v>55.71758</v>
      </c>
      <c r="E9442" t="n">
        <v>37.42323</v>
      </c>
      <c r="F9442" t="inlineStr"/>
      <c r="G9442" t="inlineStr"/>
      <c r="H9442" t="inlineStr"/>
    </row>
    <row r="9443">
      <c r="A9443" t="inlineStr">
        <is>
          <t>1709021e-e345-4544-ba20-7e1996a7e503.jpg</t>
        </is>
      </c>
      <c r="B9443">
        <f>HYPERLINK("Объекты недвижимости, не соответствующие градостроительным нормам_00-022_Август/1709021e-e345-4544-ba20-7e1996a7e503.jpg","open")</f>
        <v/>
      </c>
      <c r="C9443" t="inlineStr">
        <is>
          <t>6e2567a0-1fb9-40d5-a0e7-0adb480d2965</t>
        </is>
      </c>
      <c r="D9443" t="n">
        <v>55.7827</v>
      </c>
      <c r="E9443" t="n">
        <v>37.6841</v>
      </c>
      <c r="F9443" t="inlineStr"/>
      <c r="G9443" t="inlineStr"/>
      <c r="H9443" t="inlineStr"/>
    </row>
    <row r="9444">
      <c r="A9444" t="inlineStr">
        <is>
          <t>cfb8ace1-adaf-4ee6-8304-c8f43b3b344c.jpg</t>
        </is>
      </c>
      <c r="B9444">
        <f>HYPERLINK("Объекты недвижимости, не соответствующие градостроительным нормам_00-022_Август/cfb8ace1-adaf-4ee6-8304-c8f43b3b344c.jpg","open")</f>
        <v/>
      </c>
      <c r="C9444" t="inlineStr">
        <is>
          <t>b0429a31-0c70-4b9f-8ea5-73929d82f89e</t>
        </is>
      </c>
      <c r="D9444" t="n">
        <v>55.61594</v>
      </c>
      <c r="E9444" t="n">
        <v>37.71149</v>
      </c>
      <c r="F9444" t="inlineStr"/>
      <c r="G9444" t="inlineStr"/>
      <c r="H9444" t="inlineStr"/>
    </row>
    <row r="9445">
      <c r="A9445" t="inlineStr">
        <is>
          <t>30d483b9-4d6d-4cea-b055-9579fa233b4d.jpg</t>
        </is>
      </c>
      <c r="B9445">
        <f>HYPERLINK("Объекты недвижимости, не соответствующие градостроительным нормам_00-022_Август/30d483b9-4d6d-4cea-b055-9579fa233b4d.jpg","open")</f>
        <v/>
      </c>
      <c r="C9445" t="inlineStr">
        <is>
          <t>fb9a37cc-57a6-447c-98bb-0b299f09c809</t>
        </is>
      </c>
      <c r="D9445" t="n">
        <v>55.60935</v>
      </c>
      <c r="E9445" t="n">
        <v>37.7093</v>
      </c>
      <c r="F9445" t="inlineStr"/>
      <c r="G9445" t="inlineStr"/>
      <c r="H9445" t="inlineStr"/>
    </row>
    <row r="9446">
      <c r="A9446" t="inlineStr">
        <is>
          <t>7a066520-9d4d-4318-9bbf-b4466714e26f.jpg</t>
        </is>
      </c>
      <c r="B9446">
        <f>HYPERLINK("Объекты недвижимости, не соответствующие градостроительным нормам_00-022_Август/7a066520-9d4d-4318-9bbf-b4466714e26f.jpg","open")</f>
        <v/>
      </c>
      <c r="C9446" t="inlineStr">
        <is>
          <t>f60286ac-55e7-4099-85bd-cc599a7a0c65</t>
        </is>
      </c>
      <c r="D9446" t="n">
        <v>55.77523</v>
      </c>
      <c r="E9446" t="n">
        <v>37.82528</v>
      </c>
      <c r="F9446" t="inlineStr"/>
      <c r="G9446" t="inlineStr"/>
      <c r="H9446" t="inlineStr"/>
    </row>
    <row r="9447">
      <c r="A9447" t="inlineStr">
        <is>
          <t>cbe987b1-f8bc-4c41-a11e-dd6c6d7baf7d.jpg</t>
        </is>
      </c>
      <c r="B9447">
        <f>HYPERLINK("Объекты недвижимости, не соответствующие градостроительным нормам_00-022_Август/cbe987b1-f8bc-4c41-a11e-dd6c6d7baf7d.jpg","open")</f>
        <v/>
      </c>
      <c r="C9447" t="inlineStr">
        <is>
          <t>fce890a6-27da-4062-a046-08262a160ee6</t>
        </is>
      </c>
      <c r="D9447" t="n">
        <v>55.96741</v>
      </c>
      <c r="E9447" t="n">
        <v>37.42744</v>
      </c>
      <c r="F9447" t="inlineStr"/>
      <c r="G9447" t="inlineStr"/>
      <c r="H9447" t="inlineStr"/>
    </row>
    <row r="9448">
      <c r="A9448" t="inlineStr">
        <is>
          <t>485aeb95-2a04-41f2-a5f0-a1ef3f47c2da.jpg</t>
        </is>
      </c>
      <c r="B9448">
        <f>HYPERLINK("Объекты недвижимости, не соответствующие градостроительным нормам_00-022_Август/485aeb95-2a04-41f2-a5f0-a1ef3f47c2da.jpg","open")</f>
        <v/>
      </c>
      <c r="C9448" t="inlineStr">
        <is>
          <t>8cde1fd0-eca1-4510-86ab-3c743b65fdfc</t>
        </is>
      </c>
      <c r="D9448" t="n">
        <v>55.7835</v>
      </c>
      <c r="E9448" t="n">
        <v>37.69236</v>
      </c>
      <c r="F9448" t="inlineStr"/>
      <c r="G9448" t="inlineStr"/>
      <c r="H9448" t="inlineStr"/>
    </row>
    <row r="9449">
      <c r="A9449" t="inlineStr">
        <is>
          <t>8526e919-7bcb-4f90-93d7-021445bc8d1e.jpg</t>
        </is>
      </c>
      <c r="B9449">
        <f>HYPERLINK("Объекты недвижимости, не соответствующие градостроительным нормам_00-022_Август/8526e919-7bcb-4f90-93d7-021445bc8d1e.jpg","open")</f>
        <v/>
      </c>
      <c r="C9449" t="inlineStr">
        <is>
          <t>b0429a31-0c70-4b9f-8ea5-73929d82f89e</t>
        </is>
      </c>
      <c r="D9449" t="n">
        <v>55.6135</v>
      </c>
      <c r="E9449" t="n">
        <v>37.7093</v>
      </c>
      <c r="F9449" t="inlineStr"/>
      <c r="G9449" t="inlineStr"/>
      <c r="H9449" t="inlineStr"/>
    </row>
    <row r="9450">
      <c r="A9450" t="inlineStr">
        <is>
          <t>ad55a90a-a0e9-4fb4-8ba4-85cf422e4175.jpg</t>
        </is>
      </c>
      <c r="B9450">
        <f>HYPERLINK("Объекты недвижимости, не соответствующие градостроительным нормам_00-022_Август/ad55a90a-a0e9-4fb4-8ba4-85cf422e4175.jpg","open")</f>
        <v/>
      </c>
      <c r="C9450" t="inlineStr">
        <is>
          <t>936502dd-24a4-4256-9fdf-0d8fb72af3ed</t>
        </is>
      </c>
      <c r="D9450" t="n">
        <v>55.5922</v>
      </c>
      <c r="E9450" t="n">
        <v>37.65921</v>
      </c>
      <c r="F9450" t="inlineStr"/>
      <c r="G9450" t="inlineStr"/>
      <c r="H9450" t="inlineStr"/>
    </row>
    <row r="9451">
      <c r="A9451" t="inlineStr">
        <is>
          <t>54ec20e2-0e40-473f-9f08-df63723e9c78.jpg</t>
        </is>
      </c>
      <c r="B9451">
        <f>HYPERLINK("Объекты недвижимости, не соответствующие градостроительным нормам_00-022_Август/54ec20e2-0e40-473f-9f08-df63723e9c78.jpg","open")</f>
        <v/>
      </c>
      <c r="C9451" t="inlineStr">
        <is>
          <t>99f3abba-c55b-49f0-9de5-9f88e9597cc0</t>
        </is>
      </c>
      <c r="D9451" t="n">
        <v>55.61352</v>
      </c>
      <c r="E9451" t="n">
        <v>37.709</v>
      </c>
      <c r="F9451" t="inlineStr"/>
      <c r="G9451" t="inlineStr"/>
      <c r="H9451" t="inlineStr"/>
    </row>
    <row r="9452">
      <c r="A9452" t="inlineStr">
        <is>
          <t>2308bd46-a55f-4a94-8920-c34586a8794d.jpg</t>
        </is>
      </c>
      <c r="B9452">
        <f>HYPERLINK("Объекты недвижимости, не соответствующие градостроительным нормам_00-022_Август/2308bd46-a55f-4a94-8920-c34586a8794d.jpg","open")</f>
        <v/>
      </c>
      <c r="C9452" t="inlineStr">
        <is>
          <t>6e2567a0-1fb9-40d5-a0e7-0adb480d2965</t>
        </is>
      </c>
      <c r="D9452" t="n">
        <v>55.69993</v>
      </c>
      <c r="E9452" t="n">
        <v>37.73269</v>
      </c>
      <c r="F9452" t="inlineStr"/>
      <c r="G9452" t="inlineStr"/>
      <c r="H9452" t="inlineStr"/>
    </row>
    <row r="9453">
      <c r="A9453" t="inlineStr">
        <is>
          <t>4ab8a57b-5b29-47be-af2b-78d50ef9c0c7.jpg</t>
        </is>
      </c>
      <c r="B9453">
        <f>HYPERLINK("Объекты недвижимости, не соответствующие градостроительным нормам_00-022_Август/4ab8a57b-5b29-47be-af2b-78d50ef9c0c7.jpg","open")</f>
        <v/>
      </c>
      <c r="C9453" t="inlineStr">
        <is>
          <t>48b533d5-d106-4175-ac9b-d5ce8d90cccf</t>
        </is>
      </c>
      <c r="D9453" t="n">
        <v>55.65459</v>
      </c>
      <c r="E9453" t="n">
        <v>37.35027</v>
      </c>
      <c r="F9453" t="inlineStr"/>
      <c r="G9453" t="inlineStr"/>
      <c r="H9453" t="inlineStr"/>
    </row>
    <row r="9454">
      <c r="A9454" t="inlineStr">
        <is>
          <t>5929e8d6-bebe-4946-86e1-4c523eed26e3.jpg</t>
        </is>
      </c>
      <c r="B9454">
        <f>HYPERLINK("Объекты недвижимости, не соответствующие градостроительным нормам_00-022_Август/5929e8d6-bebe-4946-86e1-4c523eed26e3.jpg","open")</f>
        <v/>
      </c>
      <c r="C9454" t="inlineStr">
        <is>
          <t>6e2567a0-1fb9-40d5-a0e7-0adb480d2965</t>
        </is>
      </c>
      <c r="D9454" t="n">
        <v>55.68467</v>
      </c>
      <c r="E9454" t="n">
        <v>37.73741</v>
      </c>
      <c r="F9454" t="inlineStr"/>
      <c r="G9454" t="inlineStr"/>
      <c r="H9454" t="inlineStr"/>
    </row>
    <row r="9455">
      <c r="A9455" t="inlineStr">
        <is>
          <t>90deb0b1-27c4-4d0d-936f-bf3358ed32d5.jpg</t>
        </is>
      </c>
      <c r="B9455">
        <f>HYPERLINK("Объекты недвижимости, не соответствующие градостроительным нормам_00-022_Август/90deb0b1-27c4-4d0d-936f-bf3358ed32d5.jpg","open")</f>
        <v/>
      </c>
      <c r="C9455" t="inlineStr">
        <is>
          <t>fce890a6-27da-4062-a046-08262a160ee6</t>
        </is>
      </c>
      <c r="D9455" t="n">
        <v>55.97086</v>
      </c>
      <c r="E9455" t="n">
        <v>37.43044</v>
      </c>
      <c r="F9455" t="inlineStr"/>
      <c r="G9455" t="inlineStr"/>
      <c r="H9455" t="inlineStr"/>
    </row>
    <row r="9456">
      <c r="A9456" t="inlineStr">
        <is>
          <t>d1666d32-f699-444a-9377-fdcb12bb35a0.jpg</t>
        </is>
      </c>
      <c r="B9456">
        <f>HYPERLINK("Объекты недвижимости, не соответствующие градостроительным нормам_00-022_Август/d1666d32-f699-444a-9377-fdcb12bb35a0.jpg","open")</f>
        <v/>
      </c>
      <c r="C9456" t="inlineStr">
        <is>
          <t>e26f5fc2-1353-4f29-85f3-87c56419161c</t>
        </is>
      </c>
      <c r="D9456" t="n">
        <v>55.79243</v>
      </c>
      <c r="E9456" t="n">
        <v>37.63083</v>
      </c>
      <c r="F9456" t="inlineStr"/>
      <c r="G9456" t="inlineStr"/>
      <c r="H9456" t="inlineStr"/>
    </row>
    <row r="9457">
      <c r="A9457" t="inlineStr">
        <is>
          <t>02c83a5e-4e05-4301-84d4-a65fe2f60ff3.jpg</t>
        </is>
      </c>
      <c r="B9457">
        <f>HYPERLINK("Объекты недвижимости, не соответствующие градостроительным нормам_00-022_Август/02c83a5e-4e05-4301-84d4-a65fe2f60ff3.jpg","open")</f>
        <v/>
      </c>
      <c r="C9457" t="inlineStr">
        <is>
          <t>e26f5fc2-1353-4f29-85f3-87c56419161c</t>
        </is>
      </c>
      <c r="D9457" t="n">
        <v>55.79248</v>
      </c>
      <c r="E9457" t="n">
        <v>37.6307</v>
      </c>
      <c r="F9457" t="inlineStr"/>
      <c r="G9457" t="inlineStr"/>
      <c r="H9457" t="inlineStr"/>
    </row>
    <row r="9458">
      <c r="A9458" t="inlineStr">
        <is>
          <t>14a78e85-bc91-4cc3-a7d0-8b87577dcd7f.jpg</t>
        </is>
      </c>
      <c r="B9458">
        <f>HYPERLINK("Объекты недвижимости, не соответствующие градостроительным нормам_00-022_Август/14a78e85-bc91-4cc3-a7d0-8b87577dcd7f.jpg","open")</f>
        <v/>
      </c>
      <c r="C9458" t="inlineStr">
        <is>
          <t>e26f5fc2-1353-4f29-85f3-87c56419161c</t>
        </is>
      </c>
      <c r="D9458" t="n">
        <v>55.79252</v>
      </c>
      <c r="E9458" t="n">
        <v>37.63059</v>
      </c>
      <c r="F9458" t="inlineStr"/>
      <c r="G9458" t="inlineStr"/>
      <c r="H9458" t="inlineStr"/>
    </row>
    <row r="9459">
      <c r="A9459" t="inlineStr">
        <is>
          <t>cf6d51d8-ae83-434c-9764-39415ed64881.jpg</t>
        </is>
      </c>
      <c r="B9459">
        <f>HYPERLINK("Объекты недвижимости, не соответствующие градостроительным нормам_00-022_Август/cf6d51d8-ae83-434c-9764-39415ed64881.jpg","open")</f>
        <v/>
      </c>
      <c r="C9459" t="inlineStr">
        <is>
          <t>cbf95b01-f708-45a3-9ec0-3603469b538e</t>
        </is>
      </c>
      <c r="D9459" t="n">
        <v>55.77529</v>
      </c>
      <c r="E9459" t="n">
        <v>37.58451</v>
      </c>
      <c r="F9459" t="inlineStr"/>
      <c r="G9459" t="inlineStr"/>
      <c r="H9459" t="inlineStr"/>
    </row>
    <row r="9460">
      <c r="A9460" t="inlineStr">
        <is>
          <t>872325ff-7f28-4a02-8ed3-994fdee280ac.jpg</t>
        </is>
      </c>
      <c r="B9460">
        <f>HYPERLINK("Объекты недвижимости, не соответствующие градостроительным нормам_00-022_Август/872325ff-7f28-4a02-8ed3-994fdee280ac.jpg","open")</f>
        <v/>
      </c>
      <c r="C9460" t="inlineStr">
        <is>
          <t>fb40ed24-21ef-458a-a239-038ab19932cc</t>
        </is>
      </c>
      <c r="D9460" t="n">
        <v>55.78347</v>
      </c>
      <c r="E9460" t="n">
        <v>37.69226</v>
      </c>
      <c r="F9460" t="inlineStr"/>
      <c r="G9460" t="inlineStr"/>
      <c r="H9460" t="inlineStr"/>
    </row>
    <row r="9461">
      <c r="A9461" t="inlineStr">
        <is>
          <t>8af031e9-297e-4328-9d0d-ab800a99ae92.jpg</t>
        </is>
      </c>
      <c r="B9461">
        <f>HYPERLINK("Объекты недвижимости, не соответствующие градостроительным нормам_00-022_Август/8af031e9-297e-4328-9d0d-ab800a99ae92.jpg","open")</f>
        <v/>
      </c>
      <c r="C9461" t="inlineStr">
        <is>
          <t>797901ad-53b1-41b8-99d1-d59d59c863d5</t>
        </is>
      </c>
      <c r="D9461" t="n">
        <v>55.78347</v>
      </c>
      <c r="E9461" t="n">
        <v>37.69226</v>
      </c>
      <c r="F9461" t="inlineStr"/>
      <c r="G9461" t="inlineStr"/>
      <c r="H9461" t="inlineStr"/>
    </row>
    <row r="9462">
      <c r="A9462" t="inlineStr">
        <is>
          <t>5a14ae2f-da47-4975-83bb-694507ff5cb6.jpg</t>
        </is>
      </c>
      <c r="B9462">
        <f>HYPERLINK("Объекты недвижимости, не соответствующие градостроительным нормам_00-022_Август/5a14ae2f-da47-4975-83bb-694507ff5cb6.jpg","open")</f>
        <v/>
      </c>
      <c r="C9462" t="inlineStr">
        <is>
          <t>61936922-4d4b-458e-80ea-6d4c450aa1d5</t>
        </is>
      </c>
      <c r="D9462" t="n">
        <v>55.69344</v>
      </c>
      <c r="E9462" t="n">
        <v>37.49744</v>
      </c>
      <c r="F9462" t="inlineStr"/>
      <c r="G9462" t="inlineStr"/>
      <c r="H9462" t="inlineStr"/>
    </row>
    <row r="9463">
      <c r="A9463" t="inlineStr">
        <is>
          <t>fc5e8301-a6c4-47eb-95a1-317a1d3488d6.jpg</t>
        </is>
      </c>
      <c r="B9463">
        <f>HYPERLINK("Объекты недвижимости, не соответствующие градостроительным нормам_00-022_Август/fc5e8301-a6c4-47eb-95a1-317a1d3488d6.jpg","open")</f>
        <v/>
      </c>
      <c r="C9463" t="inlineStr">
        <is>
          <t>9fb3d110-951f-48da-9d90-cfd7e1b5800d</t>
        </is>
      </c>
      <c r="D9463" t="n">
        <v>55.69358</v>
      </c>
      <c r="E9463" t="n">
        <v>37.49736</v>
      </c>
      <c r="F9463" t="inlineStr"/>
      <c r="G9463" t="inlineStr"/>
      <c r="H9463" t="inlineStr"/>
    </row>
    <row r="9464">
      <c r="A9464" t="inlineStr">
        <is>
          <t>dd23a223-6643-4567-9e0a-c3c1aa74b796.jpg</t>
        </is>
      </c>
      <c r="B9464">
        <f>HYPERLINK("Объекты недвижимости, не соответствующие градостроительным нормам_00-022_Август/dd23a223-6643-4567-9e0a-c3c1aa74b796.jpg","open")</f>
        <v/>
      </c>
      <c r="C9464" t="inlineStr">
        <is>
          <t>a1a9db89-3f74-42ef-8fad-ad69705102cd</t>
        </is>
      </c>
      <c r="D9464" t="n">
        <v>55.77642</v>
      </c>
      <c r="E9464" t="n">
        <v>37.58548</v>
      </c>
      <c r="F9464" t="inlineStr"/>
      <c r="G9464" t="inlineStr"/>
      <c r="H9464" t="inlineStr"/>
    </row>
    <row r="9465">
      <c r="A9465" t="inlineStr">
        <is>
          <t>2cb61569-7023-47d9-8262-f3d0eec8e868.jpg</t>
        </is>
      </c>
      <c r="B9465">
        <f>HYPERLINK("Объекты недвижимости, не соответствующие градостроительным нормам_00-022_Август/2cb61569-7023-47d9-8262-f3d0eec8e868.jpg","open")</f>
        <v/>
      </c>
      <c r="C9465" t="inlineStr">
        <is>
          <t>8b2675e2-7f40-47a9-a462-7c9feecd299c</t>
        </is>
      </c>
      <c r="D9465" t="n">
        <v>55.72437</v>
      </c>
      <c r="E9465" t="n">
        <v>37.71386</v>
      </c>
      <c r="F9465" t="inlineStr"/>
      <c r="G9465" t="inlineStr"/>
      <c r="H9465" t="inlineStr"/>
    </row>
    <row r="9466">
      <c r="A9466" t="inlineStr">
        <is>
          <t>473356f0-0b11-422e-9836-db08eeb47769.jpg</t>
        </is>
      </c>
      <c r="B9466">
        <f>HYPERLINK("Объекты недвижимости, не соответствующие градостроительным нормам_00-022_Август/473356f0-0b11-422e-9836-db08eeb47769.jpg","open")</f>
        <v/>
      </c>
      <c r="C9466" t="inlineStr">
        <is>
          <t>5e5b9944-4f9e-4223-bf96-0bc0c8a93dfa</t>
        </is>
      </c>
      <c r="D9466" t="n">
        <v>55.97894</v>
      </c>
      <c r="E9466" t="n">
        <v>37.40468</v>
      </c>
      <c r="F9466" t="inlineStr"/>
      <c r="G9466" t="inlineStr"/>
      <c r="H9466" t="inlineStr"/>
    </row>
    <row r="9467">
      <c r="A9467" t="inlineStr">
        <is>
          <t>622078d5-3bfe-4e54-b716-ee481de91c73.jpg</t>
        </is>
      </c>
      <c r="B9467">
        <f>HYPERLINK("Объекты недвижимости, не соответствующие градостроительным нормам_00-022_Август/622078d5-3bfe-4e54-b716-ee481de91c73.jpg","open")</f>
        <v/>
      </c>
      <c r="C9467" t="inlineStr">
        <is>
          <t>8cde1fd0-eca1-4510-86ab-3c743b65fdfc</t>
        </is>
      </c>
      <c r="D9467" t="n">
        <v>55.79032</v>
      </c>
      <c r="E9467" t="n">
        <v>37.69502</v>
      </c>
      <c r="F9467" t="inlineStr"/>
      <c r="G9467" t="inlineStr"/>
      <c r="H9467" t="inlineStr"/>
    </row>
    <row r="9468">
      <c r="A9468" t="inlineStr">
        <is>
          <t>5bc6a943-fc15-464f-9926-b744bf4323cc.jpg</t>
        </is>
      </c>
      <c r="B9468">
        <f>HYPERLINK("Объекты недвижимости, не соответствующие градостроительным нормам_00-022_Август/5bc6a943-fc15-464f-9926-b744bf4323cc.jpg","open")</f>
        <v/>
      </c>
      <c r="C9468" t="inlineStr">
        <is>
          <t>b23a39fd-838c-435a-bacd-b4d6bb842c62</t>
        </is>
      </c>
      <c r="D9468" t="n">
        <v>55.60897</v>
      </c>
      <c r="E9468" t="n">
        <v>37.72366</v>
      </c>
      <c r="F9468" t="inlineStr"/>
      <c r="G9468" t="inlineStr"/>
      <c r="H9468" t="inlineStr"/>
    </row>
    <row r="9469">
      <c r="A9469" t="inlineStr">
        <is>
          <t>0c3d6248-0e03-4d5d-98a5-9b70dd99c2f7.jpg</t>
        </is>
      </c>
      <c r="B9469">
        <f>HYPERLINK("Объекты недвижимости, не соответствующие градостроительным нормам_00-022_Август/0c3d6248-0e03-4d5d-98a5-9b70dd99c2f7.jpg","open")</f>
        <v/>
      </c>
      <c r="C9469" t="inlineStr">
        <is>
          <t>fb9a37cc-57a6-447c-98bb-0b299f09c809</t>
        </is>
      </c>
      <c r="D9469" t="n">
        <v>55.60883</v>
      </c>
      <c r="E9469" t="n">
        <v>37.72293</v>
      </c>
      <c r="F9469" t="inlineStr"/>
      <c r="G9469" t="inlineStr"/>
      <c r="H9469" t="inlineStr"/>
    </row>
    <row r="9470">
      <c r="A9470" t="inlineStr">
        <is>
          <t>8b349fb3-1795-4543-b367-53d59f88d25e.jpg</t>
        </is>
      </c>
      <c r="B9470">
        <f>HYPERLINK("Объекты недвижимости, не соответствующие градостроительным нормам_00-022_Август/8b349fb3-1795-4543-b367-53d59f88d25e.jpg","open")</f>
        <v/>
      </c>
      <c r="C9470" t="inlineStr">
        <is>
          <t>b23a39fd-838c-435a-bacd-b4d6bb842c62</t>
        </is>
      </c>
      <c r="D9470" t="n">
        <v>55.61041</v>
      </c>
      <c r="E9470" t="n">
        <v>37.71827</v>
      </c>
      <c r="F9470" t="inlineStr"/>
      <c r="G9470" t="inlineStr"/>
      <c r="H9470" t="inlineStr"/>
    </row>
    <row r="9471">
      <c r="A9471" t="inlineStr">
        <is>
          <t>b3908845-2109-436e-a700-c69546a80965.jpg</t>
        </is>
      </c>
      <c r="B9471">
        <f>HYPERLINK("Объекты недвижимости, не соответствующие градостроительным нормам_00-022_Август/b3908845-2109-436e-a700-c69546a80965.jpg","open")</f>
        <v/>
      </c>
      <c r="C9471" t="inlineStr">
        <is>
          <t>acedacc2-0d8b-4fc1-9622-25621a89d071</t>
        </is>
      </c>
      <c r="D9471" t="n">
        <v>55.82637</v>
      </c>
      <c r="E9471" t="n">
        <v>37.76589</v>
      </c>
      <c r="F9471" t="inlineStr"/>
      <c r="G9471" t="inlineStr"/>
      <c r="H9471" t="inlineStr"/>
    </row>
    <row r="9472">
      <c r="A9472" t="inlineStr">
        <is>
          <t>1ec45175-4fbe-4594-af09-4a6533f42ca4.jpg</t>
        </is>
      </c>
      <c r="B9472">
        <f>HYPERLINK("Объекты недвижимости, не соответствующие градостроительным нормам_00-022_Август/1ec45175-4fbe-4594-af09-4a6533f42ca4.jpg","open")</f>
        <v/>
      </c>
      <c r="C9472" t="inlineStr">
        <is>
          <t>57aae8a4-582b-4309-8045-c8127a9f86ae</t>
        </is>
      </c>
      <c r="D9472" t="n">
        <v>55.82638</v>
      </c>
      <c r="E9472" t="n">
        <v>37.7659</v>
      </c>
      <c r="F9472" t="inlineStr"/>
      <c r="G9472" t="inlineStr"/>
      <c r="H9472" t="inlineStr"/>
    </row>
    <row r="9473">
      <c r="A9473" t="inlineStr">
        <is>
          <t>36d1e5c3-2b3b-4b77-9cbe-26b5ef91004e.jpg</t>
        </is>
      </c>
      <c r="B9473">
        <f>HYPERLINK("Объекты недвижимости, не соответствующие градостроительным нормам_00-022_Август/36d1e5c3-2b3b-4b77-9cbe-26b5ef91004e.jpg","open")</f>
        <v/>
      </c>
      <c r="C9473" t="inlineStr">
        <is>
          <t>ed2bf0f1-3a66-4913-896e-4420a9796c0b</t>
        </is>
      </c>
      <c r="D9473" t="n">
        <v>55.88416</v>
      </c>
      <c r="E9473" t="n">
        <v>37.60582</v>
      </c>
      <c r="F9473" t="inlineStr"/>
      <c r="G9473" t="inlineStr"/>
      <c r="H9473" t="inlineStr"/>
    </row>
    <row r="9474">
      <c r="A9474" t="inlineStr">
        <is>
          <t>31d88ecd-06f0-482c-be5e-bbe845d9090d.jpg</t>
        </is>
      </c>
      <c r="B9474">
        <f>HYPERLINK("Объекты недвижимости, не соответствующие градостроительным нормам_00-022_Август/31d88ecd-06f0-482c-be5e-bbe845d9090d.jpg","open")</f>
        <v/>
      </c>
      <c r="C9474" t="inlineStr">
        <is>
          <t>61936922-4d4b-458e-80ea-6d4c450aa1d5</t>
        </is>
      </c>
      <c r="D9474" t="n">
        <v>55.6949</v>
      </c>
      <c r="E9474" t="n">
        <v>37.49677</v>
      </c>
      <c r="F9474" t="inlineStr"/>
      <c r="G9474" t="inlineStr"/>
      <c r="H9474" t="inlineStr"/>
    </row>
    <row r="9475">
      <c r="A9475" t="inlineStr">
        <is>
          <t>3ca66fb7-fc56-49d6-a276-a70cfdb5f1e8.jpg</t>
        </is>
      </c>
      <c r="B9475">
        <f>HYPERLINK("Объекты недвижимости, не соответствующие градостроительным нормам_00-022_Август/3ca66fb7-fc56-49d6-a276-a70cfdb5f1e8.jpg","open")</f>
        <v/>
      </c>
      <c r="C9475" t="inlineStr">
        <is>
          <t>8cde1fd0-eca1-4510-86ab-3c743b65fdfc</t>
        </is>
      </c>
      <c r="D9475" t="n">
        <v>55.79134</v>
      </c>
      <c r="E9475" t="n">
        <v>37.68758</v>
      </c>
      <c r="F9475" t="inlineStr"/>
      <c r="G9475" t="inlineStr"/>
      <c r="H9475" t="inlineStr"/>
    </row>
    <row r="9476">
      <c r="A9476" t="inlineStr">
        <is>
          <t>971da4da-d69c-49ad-91ac-4c05cdfdc455.jpg</t>
        </is>
      </c>
      <c r="B9476">
        <f>HYPERLINK("Объекты недвижимости, не соответствующие градостроительным нормам_00-022_Август/971da4da-d69c-49ad-91ac-4c05cdfdc455.jpg","open")</f>
        <v/>
      </c>
      <c r="C9476" t="inlineStr">
        <is>
          <t>789f6c51-64ee-4078-b7bd-443af8b8b68a</t>
        </is>
      </c>
      <c r="D9476" t="n">
        <v>55.87545</v>
      </c>
      <c r="E9476" t="n">
        <v>37.68981</v>
      </c>
      <c r="F9476" t="inlineStr"/>
      <c r="G9476" t="inlineStr"/>
      <c r="H9476" t="inlineStr"/>
    </row>
    <row r="9477">
      <c r="A9477" t="inlineStr">
        <is>
          <t>70ca7d1d-65ac-477d-85c9-371f05c70279.jpg</t>
        </is>
      </c>
      <c r="B9477">
        <f>HYPERLINK("Объекты недвижимости, не соответствующие градостроительным нормам_00-022_Август/70ca7d1d-65ac-477d-85c9-371f05c70279.jpg","open")</f>
        <v/>
      </c>
      <c r="C9477" t="inlineStr">
        <is>
          <t>a28f597e-d1cd-4d3b-b572-c86d033412e9</t>
        </is>
      </c>
      <c r="D9477" t="n">
        <v>55.71536</v>
      </c>
      <c r="E9477" t="n">
        <v>37.43447</v>
      </c>
      <c r="F9477" t="inlineStr"/>
      <c r="G9477" t="inlineStr"/>
      <c r="H9477" t="inlineStr"/>
    </row>
    <row r="9478">
      <c r="A9478" t="inlineStr">
        <is>
          <t>153e9eda-79dd-4cf2-b874-c660f86c4faf.jpg</t>
        </is>
      </c>
      <c r="B9478">
        <f>HYPERLINK("Объекты недвижимости, не соответствующие градостроительным нормам_00-022_Август/153e9eda-79dd-4cf2-b874-c660f86c4faf.jpg","open")</f>
        <v/>
      </c>
      <c r="C9478" t="inlineStr">
        <is>
          <t>8b2675e2-7f40-47a9-a462-7c9feecd299c</t>
        </is>
      </c>
      <c r="D9478" t="n">
        <v>55.72437</v>
      </c>
      <c r="E9478" t="n">
        <v>37.71386</v>
      </c>
      <c r="F9478" t="inlineStr"/>
      <c r="G9478" t="inlineStr"/>
      <c r="H9478" t="inlineStr"/>
    </row>
    <row r="9479">
      <c r="A9479" t="inlineStr">
        <is>
          <t>af3eb377-5ce7-4ea6-8ad5-045d5fb40c16.jpg</t>
        </is>
      </c>
      <c r="B9479">
        <f>HYPERLINK("Объекты недвижимости, не соответствующие градостроительным нормам_00-022_Август/af3eb377-5ce7-4ea6-8ad5-045d5fb40c16.jpg","open")</f>
        <v/>
      </c>
      <c r="C9479" t="inlineStr">
        <is>
          <t>ed2bf0f1-3a66-4913-896e-4420a9796c0b</t>
        </is>
      </c>
      <c r="D9479" t="n">
        <v>55.89185</v>
      </c>
      <c r="E9479" t="n">
        <v>37.62918</v>
      </c>
      <c r="F9479" t="inlineStr"/>
      <c r="G9479" t="inlineStr"/>
      <c r="H9479" t="inlineStr"/>
    </row>
    <row r="9480">
      <c r="A9480" t="inlineStr">
        <is>
          <t>05b3fd54-dc42-4663-9047-812447acc86b.jpg</t>
        </is>
      </c>
      <c r="B9480">
        <f>HYPERLINK("Объекты недвижимости, не соответствующие градостроительным нормам_00-022_Август/05b3fd54-dc42-4663-9047-812447acc86b.jpg","open")</f>
        <v/>
      </c>
      <c r="C9480" t="inlineStr">
        <is>
          <t>99f3abba-c55b-49f0-9de5-9f88e9597cc0</t>
        </is>
      </c>
      <c r="D9480" t="n">
        <v>55.61622</v>
      </c>
      <c r="E9480" t="n">
        <v>37.71138</v>
      </c>
      <c r="F9480" t="inlineStr"/>
      <c r="G9480" t="inlineStr"/>
      <c r="H9480" t="inlineStr"/>
    </row>
    <row r="9481">
      <c r="A9481" t="inlineStr">
        <is>
          <t>e7abfba1-062f-466b-bbb2-038236a867c9.jpg</t>
        </is>
      </c>
      <c r="B9481">
        <f>HYPERLINK("Объекты недвижимости, не соответствующие градостроительным нормам_00-022_Август/e7abfba1-062f-466b-bbb2-038236a867c9.jpg","open")</f>
        <v/>
      </c>
      <c r="C9481" t="inlineStr">
        <is>
          <t>b0429a31-0c70-4b9f-8ea5-73929d82f89e</t>
        </is>
      </c>
      <c r="D9481" t="n">
        <v>55.61623</v>
      </c>
      <c r="E9481" t="n">
        <v>37.71138</v>
      </c>
      <c r="F9481" t="inlineStr"/>
      <c r="G9481" t="inlineStr"/>
      <c r="H9481" t="inlineStr"/>
    </row>
    <row r="9482">
      <c r="A9482" t="inlineStr">
        <is>
          <t>9cbf585e-1d61-408f-ab30-f0d64d8b7ec9.jpg</t>
        </is>
      </c>
      <c r="B9482">
        <f>HYPERLINK("Объекты недвижимости, не соответствующие градостроительным нормам_00-022_Август/9cbf585e-1d61-408f-ab30-f0d64d8b7ec9.jpg","open")</f>
        <v/>
      </c>
      <c r="C9482" t="inlineStr">
        <is>
          <t>b0b7ea82-53be-40d0-b992-e2fd18611d5c</t>
        </is>
      </c>
      <c r="D9482" t="n">
        <v>55.73052</v>
      </c>
      <c r="E9482" t="n">
        <v>37.73461</v>
      </c>
      <c r="F9482" t="inlineStr"/>
      <c r="G9482" t="inlineStr"/>
      <c r="H9482" t="inlineStr"/>
    </row>
    <row r="9483">
      <c r="A9483" t="inlineStr">
        <is>
          <t>977feb64-31ee-4edb-b8b9-f27ae2228f18.jpg</t>
        </is>
      </c>
      <c r="B9483">
        <f>HYPERLINK("Объекты недвижимости, не соответствующие градостроительным нормам_00-022_Август/977feb64-31ee-4edb-b8b9-f27ae2228f18.jpg","open")</f>
        <v/>
      </c>
      <c r="C9483" t="inlineStr">
        <is>
          <t>12e795ad-2aa7-49de-b2da-2c6aa35a4559</t>
        </is>
      </c>
      <c r="D9483" t="n">
        <v>55.67913</v>
      </c>
      <c r="E9483" t="n">
        <v>37.58201</v>
      </c>
      <c r="F9483" t="inlineStr"/>
      <c r="G9483" t="inlineStr"/>
      <c r="H9483" t="inlineStr"/>
    </row>
    <row r="9484">
      <c r="A9484" t="inlineStr">
        <is>
          <t>940badc6-dba1-4e08-b5b5-afc41e0cc77a.jpg</t>
        </is>
      </c>
      <c r="B9484">
        <f>HYPERLINK("Объекты недвижимости, не соответствующие градостроительным нормам_00-022_Август/940badc6-dba1-4e08-b5b5-afc41e0cc77a.jpg","open")</f>
        <v/>
      </c>
      <c r="C9484" t="inlineStr">
        <is>
          <t>ad64e6b9-1ed5-44d7-a101-4945a1f9dec6</t>
        </is>
      </c>
      <c r="D9484" t="n">
        <v>55.67917</v>
      </c>
      <c r="E9484" t="n">
        <v>37.58202</v>
      </c>
      <c r="F9484" t="inlineStr"/>
      <c r="G9484" t="inlineStr"/>
      <c r="H9484" t="inlineStr"/>
    </row>
    <row r="9485">
      <c r="A9485" t="inlineStr">
        <is>
          <t>60990efa-9ebe-4141-ac68-aae48ce0f5d6.jpg</t>
        </is>
      </c>
      <c r="B9485">
        <f>HYPERLINK("Объекты недвижимости, не соответствующие градостроительным нормам_00-022_Август/60990efa-9ebe-4141-ac68-aae48ce0f5d6.jpg","open")</f>
        <v/>
      </c>
      <c r="C9485" t="inlineStr">
        <is>
          <t>93848fc8-17e7-4748-9ebc-c7e379e11d2f</t>
        </is>
      </c>
      <c r="D9485" t="n">
        <v>55.50211</v>
      </c>
      <c r="E9485" t="n">
        <v>37.32689</v>
      </c>
      <c r="F9485" t="inlineStr"/>
      <c r="G9485" t="inlineStr"/>
      <c r="H9485" t="inlineStr"/>
    </row>
    <row r="9486">
      <c r="A9486" t="inlineStr">
        <is>
          <t>1ec00e56-7053-4710-9e80-39eab8c55c62.jpg</t>
        </is>
      </c>
      <c r="B9486">
        <f>HYPERLINK("Объекты недвижимости, не соответствующие градостроительным нормам_00-022_Август/1ec00e56-7053-4710-9e80-39eab8c55c62.jpg","open")</f>
        <v/>
      </c>
      <c r="C9486" t="inlineStr">
        <is>
          <t>50e4626c-a80e-42ab-b999-b5092c2c063f</t>
        </is>
      </c>
      <c r="D9486" t="n">
        <v>55.77511</v>
      </c>
      <c r="E9486" t="n">
        <v>37.68335</v>
      </c>
      <c r="F9486" t="inlineStr"/>
      <c r="G9486" t="inlineStr"/>
      <c r="H9486" t="inlineStr"/>
    </row>
    <row r="9487">
      <c r="A9487" t="inlineStr">
        <is>
          <t>0bf6826a-58dd-42b2-b4a1-2667e1c037e4.jpg</t>
        </is>
      </c>
      <c r="B9487">
        <f>HYPERLINK("Объекты недвижимости, не соответствующие градостроительным нормам_00-022_Август/0bf6826a-58dd-42b2-b4a1-2667e1c037e4.jpg","open")</f>
        <v/>
      </c>
      <c r="C9487" t="inlineStr">
        <is>
          <t>b0b7ea82-53be-40d0-b992-e2fd18611d5c</t>
        </is>
      </c>
      <c r="D9487" t="n">
        <v>55.73047</v>
      </c>
      <c r="E9487" t="n">
        <v>37.75777</v>
      </c>
      <c r="F9487" t="inlineStr"/>
      <c r="G9487" t="inlineStr"/>
      <c r="H9487" t="inlineStr"/>
    </row>
    <row r="9488">
      <c r="A9488" t="inlineStr">
        <is>
          <t>cf2bf90d-0bb8-454c-842e-b76c7fbe0121.jpg</t>
        </is>
      </c>
      <c r="B9488">
        <f>HYPERLINK("Объекты недвижимости, не соответствующие градостроительным нормам_00-022_Август/cf2bf90d-0bb8-454c-842e-b76c7fbe0121.jpg","open")</f>
        <v/>
      </c>
      <c r="C9488" t="inlineStr">
        <is>
          <t>e26f5fc2-1353-4f29-85f3-87c56419161c</t>
        </is>
      </c>
      <c r="D9488" t="n">
        <v>55.77039</v>
      </c>
      <c r="E9488" t="n">
        <v>37.64254</v>
      </c>
      <c r="F9488" t="inlineStr"/>
      <c r="G9488" t="inlineStr"/>
      <c r="H9488" t="inlineStr"/>
    </row>
    <row r="9489">
      <c r="A9489" t="inlineStr">
        <is>
          <t>e24b5548-a5f6-4ad2-8a70-a45e95c99819.jpg</t>
        </is>
      </c>
      <c r="B9489">
        <f>HYPERLINK("Объекты недвижимости, не соответствующие градостроительным нормам_00-022_Август/e24b5548-a5f6-4ad2-8a70-a45e95c99819.jpg","open")</f>
        <v/>
      </c>
      <c r="C9489" t="inlineStr">
        <is>
          <t>50e4626c-a80e-42ab-b999-b5092c2c063f</t>
        </is>
      </c>
      <c r="D9489" t="n">
        <v>55.77511</v>
      </c>
      <c r="E9489" t="n">
        <v>37.68335</v>
      </c>
      <c r="F9489" t="inlineStr"/>
      <c r="G9489" t="inlineStr"/>
      <c r="H9489" t="inlineStr"/>
    </row>
    <row r="9490">
      <c r="A9490" t="inlineStr">
        <is>
          <t>e6a837a2-a18c-4e84-8296-05a332bf5784.jpg</t>
        </is>
      </c>
      <c r="B9490">
        <f>HYPERLINK("Объекты недвижимости, не соответствующие градостроительным нормам_00-022_Август/e6a837a2-a18c-4e84-8296-05a332bf5784.jpg","open")</f>
        <v/>
      </c>
      <c r="C9490" t="inlineStr">
        <is>
          <t>cbf95b01-f708-45a3-9ec0-3603469b538e</t>
        </is>
      </c>
      <c r="D9490" t="n">
        <v>55.77104</v>
      </c>
      <c r="E9490" t="n">
        <v>37.58986</v>
      </c>
      <c r="F9490" t="inlineStr"/>
      <c r="G9490" t="inlineStr"/>
      <c r="H9490" t="inlineStr"/>
    </row>
    <row r="9491">
      <c r="A9491" t="inlineStr">
        <is>
          <t>0b3f1c3f-51ec-46c8-9cc3-86c3adb63eba.jpg</t>
        </is>
      </c>
      <c r="B9491">
        <f>HYPERLINK("Объекты недвижимости, не соответствующие градостроительным нормам_00-022_Август/0b3f1c3f-51ec-46c8-9cc3-86c3adb63eba.jpg","open")</f>
        <v/>
      </c>
      <c r="C9491" t="inlineStr">
        <is>
          <t>4cd87d14-7440-44b7-a5b2-a738e10006f7</t>
        </is>
      </c>
      <c r="D9491" t="n">
        <v>55.77039</v>
      </c>
      <c r="E9491" t="n">
        <v>37.64254</v>
      </c>
      <c r="F9491" t="inlineStr"/>
      <c r="G9491" t="inlineStr"/>
      <c r="H9491" t="inlineStr"/>
    </row>
    <row r="9492">
      <c r="A9492" t="inlineStr">
        <is>
          <t>f57f2669-46c5-49fc-8984-6a16d6eba759.jpg</t>
        </is>
      </c>
      <c r="B9492">
        <f>HYPERLINK("Объекты недвижимости, не соответствующие градостроительным нормам_00-022_Август/f57f2669-46c5-49fc-8984-6a16d6eba759.jpg","open")</f>
        <v/>
      </c>
      <c r="C9492" t="inlineStr">
        <is>
          <t>4cd87d14-7440-44b7-a5b2-a738e10006f7</t>
        </is>
      </c>
      <c r="D9492" t="n">
        <v>55.77039</v>
      </c>
      <c r="E9492" t="n">
        <v>37.64254</v>
      </c>
      <c r="F9492" t="inlineStr"/>
      <c r="G9492" t="inlineStr"/>
      <c r="H9492" t="inlineStr"/>
    </row>
    <row r="9493">
      <c r="A9493" t="inlineStr">
        <is>
          <t>a48a130c-e8a1-407e-b76b-06bffd0bd1d1.jpg</t>
        </is>
      </c>
      <c r="B9493">
        <f>HYPERLINK("Объекты недвижимости, не соответствующие градостроительным нормам_00-022_Август/a48a130c-e8a1-407e-b76b-06bffd0bd1d1.jpg","open")</f>
        <v/>
      </c>
      <c r="C9493" t="inlineStr">
        <is>
          <t>50e4626c-a80e-42ab-b999-b5092c2c063f</t>
        </is>
      </c>
      <c r="D9493" t="n">
        <v>55.77511</v>
      </c>
      <c r="E9493" t="n">
        <v>37.68335</v>
      </c>
      <c r="F9493" t="inlineStr"/>
      <c r="G9493" t="inlineStr"/>
      <c r="H9493" t="inlineStr"/>
    </row>
    <row r="9494">
      <c r="A9494" t="inlineStr">
        <is>
          <t>a3ec5a6e-11c5-4e04-845c-2ba7e1985f93.jpg</t>
        </is>
      </c>
      <c r="B9494">
        <f>HYPERLINK("Объекты недвижимости, не соответствующие градостроительным нормам_00-022_Август/a3ec5a6e-11c5-4e04-845c-2ba7e1985f93.jpg","open")</f>
        <v/>
      </c>
      <c r="C9494" t="inlineStr">
        <is>
          <t>50e4626c-a80e-42ab-b999-b5092c2c063f</t>
        </is>
      </c>
      <c r="D9494" t="n">
        <v>55.77511</v>
      </c>
      <c r="E9494" t="n">
        <v>37.68335</v>
      </c>
      <c r="F9494" t="inlineStr"/>
      <c r="G9494" t="inlineStr"/>
      <c r="H9494" t="inlineStr"/>
    </row>
    <row r="9495">
      <c r="A9495" t="inlineStr">
        <is>
          <t>6fbf128f-d377-4902-a8c1-5def8cfc5409.jpg</t>
        </is>
      </c>
      <c r="B9495">
        <f>HYPERLINK("Объекты недвижимости, не соответствующие градостроительным нормам_00-022_Август/6fbf128f-d377-4902-a8c1-5def8cfc5409.jpg","open")</f>
        <v/>
      </c>
      <c r="C9495" t="inlineStr">
        <is>
          <t>e26f5fc2-1353-4f29-85f3-87c56419161c</t>
        </is>
      </c>
      <c r="D9495" t="n">
        <v>55.77039</v>
      </c>
      <c r="E9495" t="n">
        <v>37.64254</v>
      </c>
      <c r="F9495" t="inlineStr"/>
      <c r="G9495" t="inlineStr"/>
      <c r="H9495" t="inlineStr"/>
    </row>
    <row r="9496">
      <c r="A9496" t="inlineStr">
        <is>
          <t>e9bcb015-4bba-43df-aa92-61d79c356c46.jpg</t>
        </is>
      </c>
      <c r="B9496">
        <f>HYPERLINK("Объекты недвижимости, не соответствующие градостроительным нормам_00-022_Август/e9bcb015-4bba-43df-aa92-61d79c356c46.jpg","open")</f>
        <v/>
      </c>
      <c r="C9496" t="inlineStr">
        <is>
          <t>cbf95b01-f708-45a3-9ec0-3603469b538e</t>
        </is>
      </c>
      <c r="D9496" t="n">
        <v>55.76205</v>
      </c>
      <c r="E9496" t="n">
        <v>37.58494</v>
      </c>
      <c r="F9496" t="inlineStr"/>
      <c r="G9496" t="inlineStr"/>
      <c r="H9496" t="inlineStr"/>
    </row>
    <row r="9497">
      <c r="A9497" t="inlineStr">
        <is>
          <t>0294931f-3eda-4578-bccf-6bc7fdc4780e.jpg</t>
        </is>
      </c>
      <c r="B9497">
        <f>HYPERLINK("Объекты недвижимости, не соответствующие градостроительным нормам_00-022_Август/0294931f-3eda-4578-bccf-6bc7fdc4780e.jpg","open")</f>
        <v/>
      </c>
      <c r="C9497" t="inlineStr">
        <is>
          <t>12e795ad-2aa7-49de-b2da-2c6aa35a4559</t>
        </is>
      </c>
      <c r="D9497" t="n">
        <v>55.68137</v>
      </c>
      <c r="E9497" t="n">
        <v>37.5883</v>
      </c>
      <c r="F9497" t="inlineStr"/>
      <c r="G9497" t="inlineStr"/>
      <c r="H9497" t="inlineStr"/>
    </row>
    <row r="9498">
      <c r="A9498" t="inlineStr">
        <is>
          <t>7c9ea231-934d-4cc8-a469-c8643feada57.jpg</t>
        </is>
      </c>
      <c r="B9498">
        <f>HYPERLINK("Объекты недвижимости, не соответствующие градостроительным нормам_00-022_Август/7c9ea231-934d-4cc8-a469-c8643feada57.jpg","open")</f>
        <v/>
      </c>
      <c r="C9498" t="inlineStr">
        <is>
          <t>1231bbc5-e64c-4dc7-9acc-77710f47607a</t>
        </is>
      </c>
      <c r="D9498" t="n">
        <v>55.66424</v>
      </c>
      <c r="E9498" t="n">
        <v>37.59214</v>
      </c>
      <c r="F9498" t="inlineStr"/>
      <c r="G9498" t="inlineStr"/>
      <c r="H9498" t="inlineStr"/>
    </row>
    <row r="9499">
      <c r="A9499" t="inlineStr">
        <is>
          <t>7e74ea3b-06de-451c-8614-a3e13763b0da.jpg</t>
        </is>
      </c>
      <c r="B9499">
        <f>HYPERLINK("Объекты недвижимости, не соответствующие градостроительным нормам_00-022_Август/7e74ea3b-06de-451c-8614-a3e13763b0da.jpg","open")</f>
        <v/>
      </c>
      <c r="C9499" t="inlineStr">
        <is>
          <t>b0429a31-0c70-4b9f-8ea5-73929d82f89e</t>
        </is>
      </c>
      <c r="D9499" t="n">
        <v>55.613</v>
      </c>
      <c r="E9499" t="n">
        <v>37.70039</v>
      </c>
      <c r="F9499" t="inlineStr"/>
      <c r="G9499" t="inlineStr"/>
      <c r="H9499" t="inlineStr"/>
    </row>
    <row r="9500">
      <c r="A9500" t="inlineStr">
        <is>
          <t>bb1d1e77-3d9e-48c2-9f4e-4d94fbba1b63.jpg</t>
        </is>
      </c>
      <c r="B9500">
        <f>HYPERLINK("Объекты недвижимости, не соответствующие градостроительным нормам_00-022_Август/bb1d1e77-3d9e-48c2-9f4e-4d94fbba1b63.jpg","open")</f>
        <v/>
      </c>
      <c r="C9500" t="inlineStr">
        <is>
          <t>fb40ed24-21ef-458a-a239-038ab19932cc</t>
        </is>
      </c>
      <c r="D9500" t="n">
        <v>55.80571</v>
      </c>
      <c r="E9500" t="n">
        <v>37.70127</v>
      </c>
      <c r="F9500" t="inlineStr"/>
      <c r="G9500" t="inlineStr"/>
      <c r="H9500" t="inlineStr"/>
    </row>
    <row r="9501">
      <c r="A9501" t="inlineStr">
        <is>
          <t>44c05499-528b-4fa9-9dad-cbed973c7b05.jpg</t>
        </is>
      </c>
      <c r="B9501">
        <f>HYPERLINK("Объекты недвижимости, не соответствующие градостроительным нормам_00-022_Август/44c05499-528b-4fa9-9dad-cbed973c7b05.jpg","open")</f>
        <v/>
      </c>
      <c r="C9501" t="inlineStr">
        <is>
          <t>caa4772d-6278-4484-a046-ee25514bf521</t>
        </is>
      </c>
      <c r="D9501" t="n">
        <v>55.78271</v>
      </c>
      <c r="E9501" t="n">
        <v>37.48177</v>
      </c>
      <c r="F9501" t="inlineStr"/>
      <c r="G9501" t="inlineStr"/>
      <c r="H9501" t="inlineStr"/>
    </row>
    <row r="9502">
      <c r="A9502" t="inlineStr">
        <is>
          <t>9b7ea56b-3106-410d-bea0-53a6fca37640.jpg</t>
        </is>
      </c>
      <c r="B9502">
        <f>HYPERLINK("Объекты недвижимости, не соответствующие градостроительным нормам_00-022_Август/9b7ea56b-3106-410d-bea0-53a6fca37640.jpg","open")</f>
        <v/>
      </c>
      <c r="C9502" t="inlineStr">
        <is>
          <t>caa4772d-6278-4484-a046-ee25514bf521</t>
        </is>
      </c>
      <c r="D9502" t="n">
        <v>55.78864</v>
      </c>
      <c r="E9502" t="n">
        <v>37.48165</v>
      </c>
      <c r="F9502" t="inlineStr"/>
      <c r="G9502" t="inlineStr"/>
      <c r="H9502" t="inlineStr"/>
    </row>
    <row r="9503">
      <c r="A9503" t="inlineStr">
        <is>
          <t>7be77a4f-3128-4a50-b818-70d33766c4e0.jpg</t>
        </is>
      </c>
      <c r="B9503">
        <f>HYPERLINK("Объекты недвижимости, не соответствующие градостроительным нормам_00-022_Август/7be77a4f-3128-4a50-b818-70d33766c4e0.jpg","open")</f>
        <v/>
      </c>
      <c r="C9503" t="inlineStr">
        <is>
          <t>db8b536c-32f2-4d9a-ae08-679d227e61f1</t>
        </is>
      </c>
      <c r="D9503" t="n">
        <v>55.98178</v>
      </c>
      <c r="E9503" t="n">
        <v>37.4221</v>
      </c>
      <c r="F9503" t="inlineStr"/>
      <c r="G9503" t="inlineStr"/>
      <c r="H9503" t="inlineStr"/>
    </row>
    <row r="9504">
      <c r="A9504" t="inlineStr">
        <is>
          <t>29c135a8-dadc-42d0-8048-7c7170518473.jpg</t>
        </is>
      </c>
      <c r="B9504">
        <f>HYPERLINK("Объекты недвижимости, не соответствующие градостроительным нормам_00-022_Август/29c135a8-dadc-42d0-8048-7c7170518473.jpg","open")</f>
        <v/>
      </c>
      <c r="C9504" t="inlineStr">
        <is>
          <t>936502dd-24a4-4256-9fdf-0d8fb72af3ed</t>
        </is>
      </c>
      <c r="D9504" t="n">
        <v>55.58274</v>
      </c>
      <c r="E9504" t="n">
        <v>37.67196</v>
      </c>
      <c r="F9504" t="inlineStr"/>
      <c r="G9504" t="inlineStr"/>
      <c r="H9504" t="inlineStr"/>
    </row>
    <row r="9505">
      <c r="A9505" t="inlineStr">
        <is>
          <t>e0151407-e5a3-47a8-9d44-fc9f239e2076.jpg</t>
        </is>
      </c>
      <c r="B9505">
        <f>HYPERLINK("Объекты недвижимости, не соответствующие градостроительным нормам_00-022_Август/e0151407-e5a3-47a8-9d44-fc9f239e2076.jpg","open")</f>
        <v/>
      </c>
      <c r="C9505" t="inlineStr">
        <is>
          <t>797901ad-53b1-41b8-99d1-d59d59c863d5</t>
        </is>
      </c>
      <c r="D9505" t="n">
        <v>55.78735</v>
      </c>
      <c r="E9505" t="n">
        <v>37.6908</v>
      </c>
      <c r="F9505" t="inlineStr"/>
      <c r="G9505" t="inlineStr"/>
      <c r="H9505" t="inlineStr"/>
    </row>
    <row r="9506">
      <c r="A9506" t="inlineStr">
        <is>
          <t>98d84172-289a-405c-b72f-05402ffa7789.jpg</t>
        </is>
      </c>
      <c r="B9506">
        <f>HYPERLINK("Объекты недвижимости, не соответствующие градостроительным нормам_00-022_Август/98d84172-289a-405c-b72f-05402ffa7789.jpg","open")</f>
        <v/>
      </c>
      <c r="C9506" t="inlineStr">
        <is>
          <t>b0b7ea82-53be-40d0-b992-e2fd18611d5c</t>
        </is>
      </c>
      <c r="D9506" t="n">
        <v>55.73148</v>
      </c>
      <c r="E9506" t="n">
        <v>37.75283</v>
      </c>
      <c r="F9506" t="inlineStr"/>
      <c r="G9506" t="inlineStr"/>
      <c r="H9506" t="inlineStr"/>
    </row>
    <row r="9507">
      <c r="A9507" t="inlineStr">
        <is>
          <t>71d78d51-5ca6-4d8b-ab16-f592c889970e.jpg</t>
        </is>
      </c>
      <c r="B9507">
        <f>HYPERLINK("Объекты недвижимости, не соответствующие градостроительным нормам_00-022_Август/71d78d51-5ca6-4d8b-ab16-f592c889970e.jpg","open")</f>
        <v/>
      </c>
      <c r="C9507" t="inlineStr">
        <is>
          <t>b0b7ea82-53be-40d0-b992-e2fd18611d5c</t>
        </is>
      </c>
      <c r="D9507" t="n">
        <v>55.73149</v>
      </c>
      <c r="E9507" t="n">
        <v>37.75263</v>
      </c>
      <c r="F9507" t="inlineStr"/>
      <c r="G9507" t="inlineStr"/>
      <c r="H9507" t="inlineStr"/>
    </row>
    <row r="9508">
      <c r="A9508" t="inlineStr">
        <is>
          <t>2e4f9fb4-004f-48ac-b395-f36846e226f0.jpg</t>
        </is>
      </c>
      <c r="B9508">
        <f>HYPERLINK("Объекты недвижимости, не соответствующие градостроительным нормам_00-022_Август/2e4f9fb4-004f-48ac-b395-f36846e226f0.jpg","open")</f>
        <v/>
      </c>
      <c r="C9508" t="inlineStr">
        <is>
          <t>b0b7ea82-53be-40d0-b992-e2fd18611d5c</t>
        </is>
      </c>
      <c r="D9508" t="n">
        <v>55.73149</v>
      </c>
      <c r="E9508" t="n">
        <v>37.75285</v>
      </c>
      <c r="F9508" t="inlineStr"/>
      <c r="G9508" t="inlineStr"/>
      <c r="H9508" t="inlineStr"/>
    </row>
    <row r="9509">
      <c r="A9509" t="inlineStr">
        <is>
          <t>e4f983c9-4d07-4e64-bf86-d4fed50d7ec2.jpg</t>
        </is>
      </c>
      <c r="B9509">
        <f>HYPERLINK("Объекты недвижимости, не соответствующие градостроительным нормам_00-022_Август/e4f983c9-4d07-4e64-bf86-d4fed50d7ec2.jpg","open")</f>
        <v/>
      </c>
      <c r="C9509" t="inlineStr">
        <is>
          <t>b0b7ea82-53be-40d0-b992-e2fd18611d5c</t>
        </is>
      </c>
      <c r="D9509" t="n">
        <v>55.73153</v>
      </c>
      <c r="E9509" t="n">
        <v>37.75269</v>
      </c>
      <c r="F9509" t="inlineStr"/>
      <c r="G9509" t="inlineStr"/>
      <c r="H9509" t="inlineStr"/>
    </row>
    <row r="9510">
      <c r="A9510" t="inlineStr">
        <is>
          <t>6936771c-cf86-4c2e-849a-6ca225501ea4.jpg</t>
        </is>
      </c>
      <c r="B9510">
        <f>HYPERLINK("Объекты недвижимости, не соответствующие градостроительным нормам_00-022_Август/6936771c-cf86-4c2e-849a-6ca225501ea4.jpg","open")</f>
        <v/>
      </c>
      <c r="C9510" t="inlineStr">
        <is>
          <t>b0b7ea82-53be-40d0-b992-e2fd18611d5c</t>
        </is>
      </c>
      <c r="D9510" t="n">
        <v>55.73133</v>
      </c>
      <c r="E9510" t="n">
        <v>37.7504</v>
      </c>
      <c r="F9510" t="inlineStr"/>
      <c r="G9510" t="inlineStr"/>
      <c r="H9510" t="inlineStr"/>
    </row>
    <row r="9511">
      <c r="A9511" t="inlineStr">
        <is>
          <t>5d2a59af-02a9-411b-af5e-4036a7c2cf0c.jpg</t>
        </is>
      </c>
      <c r="B9511">
        <f>HYPERLINK("Объекты недвижимости, не соответствующие градостроительным нормам_00-022_Август/5d2a59af-02a9-411b-af5e-4036a7c2cf0c.jpg","open")</f>
        <v/>
      </c>
      <c r="C9511" t="inlineStr">
        <is>
          <t>6e2567a0-1fb9-40d5-a0e7-0adb480d2965</t>
        </is>
      </c>
      <c r="D9511" t="n">
        <v>55.73451</v>
      </c>
      <c r="E9511" t="n">
        <v>37.70864</v>
      </c>
      <c r="F9511" t="inlineStr"/>
      <c r="G9511" t="inlineStr"/>
      <c r="H9511" t="inlineStr"/>
    </row>
    <row r="9512">
      <c r="A9512" t="inlineStr">
        <is>
          <t>40c445d4-8c47-4844-8e03-90725da9c023.jpg</t>
        </is>
      </c>
      <c r="B9512">
        <f>HYPERLINK("Объекты недвижимости, не соответствующие градостроительным нормам_00-022_Август/40c445d4-8c47-4844-8e03-90725da9c023.jpg","open")</f>
        <v/>
      </c>
      <c r="C9512" t="inlineStr">
        <is>
          <t>1231bbc5-e64c-4dc7-9acc-77710f47607a</t>
        </is>
      </c>
      <c r="D9512" t="n">
        <v>55.66441</v>
      </c>
      <c r="E9512" t="n">
        <v>37.58255</v>
      </c>
      <c r="F9512" t="inlineStr"/>
      <c r="G9512" t="inlineStr"/>
      <c r="H9512" t="inlineStr"/>
    </row>
    <row r="9513">
      <c r="A9513" t="inlineStr">
        <is>
          <t>74ffecce-9885-4dba-8d26-8eae8cd03b77.jpg</t>
        </is>
      </c>
      <c r="B9513">
        <f>HYPERLINK("Объекты недвижимости, не соответствующие градостроительным нормам_00-022_Август/74ffecce-9885-4dba-8d26-8eae8cd03b77.jpg","open")</f>
        <v/>
      </c>
      <c r="C9513" t="inlineStr">
        <is>
          <t>6e2567a0-1fb9-40d5-a0e7-0adb480d2965</t>
        </is>
      </c>
      <c r="D9513" t="n">
        <v>55.73869</v>
      </c>
      <c r="E9513" t="n">
        <v>37.70551</v>
      </c>
      <c r="F9513" t="inlineStr"/>
      <c r="G9513" t="inlineStr"/>
      <c r="H9513" t="inlineStr"/>
    </row>
    <row r="9514">
      <c r="A9514" t="inlineStr">
        <is>
          <t>80e5a9ac-4dd9-498c-8133-ff8ea489a9db.jpg</t>
        </is>
      </c>
      <c r="B9514">
        <f>HYPERLINK("Объекты недвижимости, не соответствующие градостроительным нормам_00-022_Август/80e5a9ac-4dd9-498c-8133-ff8ea489a9db.jpg","open")</f>
        <v/>
      </c>
      <c r="C9514" t="inlineStr">
        <is>
          <t>b0429a31-0c70-4b9f-8ea5-73929d82f89e</t>
        </is>
      </c>
      <c r="D9514" t="n">
        <v>55.60984</v>
      </c>
      <c r="E9514" t="n">
        <v>37.70359</v>
      </c>
      <c r="F9514" t="inlineStr"/>
      <c r="G9514" t="inlineStr"/>
      <c r="H9514" t="inlineStr"/>
    </row>
    <row r="9515">
      <c r="A9515" t="inlineStr">
        <is>
          <t>63f95748-2711-4f47-a346-5d659e82b742.jpg</t>
        </is>
      </c>
      <c r="B9515">
        <f>HYPERLINK("Объекты недвижимости, не соответствующие градостроительным нормам_00-022_Август/63f95748-2711-4f47-a346-5d659e82b742.jpg","open")</f>
        <v/>
      </c>
      <c r="C9515" t="inlineStr">
        <is>
          <t>b0b7ea82-53be-40d0-b992-e2fd18611d5c</t>
        </is>
      </c>
      <c r="D9515" t="n">
        <v>55.73083</v>
      </c>
      <c r="E9515" t="n">
        <v>37.74769</v>
      </c>
      <c r="F9515" t="inlineStr"/>
      <c r="G9515" t="inlineStr"/>
      <c r="H9515" t="inlineStr"/>
    </row>
    <row r="9516">
      <c r="A9516" t="inlineStr">
        <is>
          <t>b875d6ee-6db7-47ed-8e41-03086140bba7.jpg</t>
        </is>
      </c>
      <c r="B9516">
        <f>HYPERLINK("Объекты недвижимости, не соответствующие градостроительным нормам_00-022_Август/b875d6ee-6db7-47ed-8e41-03086140bba7.jpg","open")</f>
        <v/>
      </c>
      <c r="C9516" t="inlineStr">
        <is>
          <t>6e2567a0-1fb9-40d5-a0e7-0adb480d2965</t>
        </is>
      </c>
      <c r="D9516" t="n">
        <v>55.74342</v>
      </c>
      <c r="E9516" t="n">
        <v>37.70755</v>
      </c>
      <c r="F9516" t="inlineStr"/>
      <c r="G9516" t="inlineStr"/>
      <c r="H9516" t="inlineStr"/>
    </row>
    <row r="9517">
      <c r="A9517" t="inlineStr">
        <is>
          <t>8cd8a1db-4d21-45cd-8395-c50e69577696.jpg</t>
        </is>
      </c>
      <c r="B9517">
        <f>HYPERLINK("Объекты недвижимости, не соответствующие градостроительным нормам_00-022_Август/8cd8a1db-4d21-45cd-8395-c50e69577696.jpg","open")</f>
        <v/>
      </c>
      <c r="C9517" t="inlineStr">
        <is>
          <t>db8b536c-32f2-4d9a-ae08-679d227e61f1</t>
        </is>
      </c>
      <c r="D9517" t="n">
        <v>55.96711</v>
      </c>
      <c r="E9517" t="n">
        <v>37.42783</v>
      </c>
      <c r="F9517" t="inlineStr"/>
      <c r="G9517" t="inlineStr"/>
      <c r="H9517" t="inlineStr"/>
    </row>
    <row r="9518">
      <c r="A9518" t="inlineStr">
        <is>
          <t>642fcad5-338c-4786-b9c6-3af698b9500f.jpg</t>
        </is>
      </c>
      <c r="B9518">
        <f>HYPERLINK("Объекты недвижимости, не соответствующие градостроительным нормам_00-022_Август/642fcad5-338c-4786-b9c6-3af698b9500f.jpg","open")</f>
        <v/>
      </c>
      <c r="C9518" t="inlineStr">
        <is>
          <t>db8b536c-32f2-4d9a-ae08-679d227e61f1</t>
        </is>
      </c>
      <c r="D9518" t="n">
        <v>55.96711</v>
      </c>
      <c r="E9518" t="n">
        <v>37.42783</v>
      </c>
      <c r="F9518" t="inlineStr"/>
      <c r="G9518" t="inlineStr"/>
      <c r="H9518" t="inlineStr"/>
    </row>
    <row r="9519">
      <c r="A9519" t="inlineStr">
        <is>
          <t>135c7dc9-457b-4451-a6a7-a4b5e449de74.jpg</t>
        </is>
      </c>
      <c r="B9519">
        <f>HYPERLINK("Объекты недвижимости, не соответствующие градостроительным нормам_00-022_Август/135c7dc9-457b-4451-a6a7-a4b5e449de74.jpg","open")</f>
        <v/>
      </c>
      <c r="C9519" t="inlineStr">
        <is>
          <t>030e8755-17c1-44eb-9530-707d0d3121cb</t>
        </is>
      </c>
      <c r="D9519" t="n">
        <v>55.57988</v>
      </c>
      <c r="E9519" t="n">
        <v>37.66893</v>
      </c>
      <c r="F9519" t="inlineStr"/>
      <c r="G9519" t="inlineStr"/>
      <c r="H9519" t="inlineStr"/>
    </row>
    <row r="9520">
      <c r="A9520" t="inlineStr">
        <is>
          <t>7ae4320e-47a8-4850-ab08-d074002ae0b0.jpg</t>
        </is>
      </c>
      <c r="B9520">
        <f>HYPERLINK("Объекты недвижимости, не соответствующие градостроительным нормам_00-022_Август/7ae4320e-47a8-4850-ab08-d074002ae0b0.jpg","open")</f>
        <v/>
      </c>
      <c r="C9520" t="inlineStr">
        <is>
          <t>caa4772d-6278-4484-a046-ee25514bf521</t>
        </is>
      </c>
      <c r="D9520" t="n">
        <v>55.76875</v>
      </c>
      <c r="E9520" t="n">
        <v>37.47012</v>
      </c>
      <c r="F9520" t="inlineStr"/>
      <c r="G9520" t="inlineStr"/>
      <c r="H9520" t="inlineStr"/>
    </row>
    <row r="9521">
      <c r="A9521" t="inlineStr">
        <is>
          <t>cff45787-e0e8-4026-9f99-a08fba9ce9bd.jpg</t>
        </is>
      </c>
      <c r="B9521">
        <f>HYPERLINK("Объекты недвижимости, не соответствующие градостроительным нормам_00-022_Август/cff45787-e0e8-4026-9f99-a08fba9ce9bd.jpg","open")</f>
        <v/>
      </c>
      <c r="C9521" t="inlineStr">
        <is>
          <t>cbf95b01-f708-45a3-9ec0-3603469b538e</t>
        </is>
      </c>
      <c r="D9521" t="n">
        <v>55.78581</v>
      </c>
      <c r="E9521" t="n">
        <v>37.71865</v>
      </c>
      <c r="F9521" t="inlineStr"/>
      <c r="G9521" t="inlineStr"/>
      <c r="H9521" t="inlineStr"/>
    </row>
    <row r="9522">
      <c r="A9522" t="inlineStr">
        <is>
          <t>1fd93dad-6a87-4e69-8bda-53d13447ae11.jpg</t>
        </is>
      </c>
      <c r="B9522">
        <f>HYPERLINK("Объекты недвижимости, не соответствующие градостроительным нормам_00-022_Август/1fd93dad-6a87-4e69-8bda-53d13447ae11.jpg","open")</f>
        <v/>
      </c>
      <c r="C9522" t="inlineStr">
        <is>
          <t>caa4772d-6278-4484-a046-ee25514bf521</t>
        </is>
      </c>
      <c r="D9522" t="n">
        <v>55.77</v>
      </c>
      <c r="E9522" t="n">
        <v>37.47242</v>
      </c>
      <c r="F9522" t="inlineStr"/>
      <c r="G9522" t="inlineStr"/>
      <c r="H9522" t="inlineStr"/>
    </row>
    <row r="9523">
      <c r="A9523" t="inlineStr">
        <is>
          <t>2f45a85f-a37e-45df-bd48-94deab03872e.jpg</t>
        </is>
      </c>
      <c r="B9523">
        <f>HYPERLINK("Объекты недвижимости, не соответствующие градостроительным нормам_00-022_Август/2f45a85f-a37e-45df-bd48-94deab03872e.jpg","open")</f>
        <v/>
      </c>
      <c r="C9523" t="inlineStr">
        <is>
          <t>936502dd-24a4-4256-9fdf-0d8fb72af3ed</t>
        </is>
      </c>
      <c r="D9523" t="n">
        <v>55.58195</v>
      </c>
      <c r="E9523" t="n">
        <v>37.66342</v>
      </c>
      <c r="F9523" t="inlineStr"/>
      <c r="G9523" t="inlineStr"/>
      <c r="H9523" t="inlineStr"/>
    </row>
    <row r="9524">
      <c r="A9524" t="inlineStr">
        <is>
          <t>34963cd7-a640-4d1b-998a-da35ab831c9c.jpg</t>
        </is>
      </c>
      <c r="B9524">
        <f>HYPERLINK("Объекты недвижимости, не соответствующие градостроительным нормам_00-022_Август/34963cd7-a640-4d1b-998a-da35ab831c9c.jpg","open")</f>
        <v/>
      </c>
      <c r="C9524" t="inlineStr">
        <is>
          <t>5e5b9944-4f9e-4223-bf96-0bc0c8a93dfa</t>
        </is>
      </c>
      <c r="D9524" t="n">
        <v>55.97894</v>
      </c>
      <c r="E9524" t="n">
        <v>37.40468</v>
      </c>
      <c r="F9524" t="inlineStr"/>
      <c r="G9524" t="inlineStr"/>
      <c r="H9524" t="inlineStr"/>
    </row>
    <row r="9525">
      <c r="A9525" t="inlineStr">
        <is>
          <t>084404ff-965f-4cf8-a424-83e5a4d5bca6.jpg</t>
        </is>
      </c>
      <c r="B9525">
        <f>HYPERLINK("Объекты недвижимости, не соответствующие градостроительным нормам_00-022_Август/084404ff-965f-4cf8-a424-83e5a4d5bca6.jpg","open")</f>
        <v/>
      </c>
      <c r="C9525" t="inlineStr">
        <is>
          <t>ffd931da-542f-43e9-979f-5552b17fe3dc</t>
        </is>
      </c>
      <c r="D9525" t="n">
        <v>55.76794</v>
      </c>
      <c r="E9525" t="n">
        <v>37.83452</v>
      </c>
      <c r="F9525" t="inlineStr"/>
      <c r="G9525" t="inlineStr"/>
      <c r="H9525" t="inlineStr"/>
    </row>
    <row r="9526">
      <c r="A9526" t="inlineStr">
        <is>
          <t>be6fc74b-0a47-414a-ba35-d6c8652d58db.jpg</t>
        </is>
      </c>
      <c r="B9526">
        <f>HYPERLINK("Объекты недвижимости, не соответствующие градостроительным нормам_00-022_Август/be6fc74b-0a47-414a-ba35-d6c8652d58db.jpg","open")</f>
        <v/>
      </c>
      <c r="C9526" t="inlineStr">
        <is>
          <t>f60286ac-55e7-4099-85bd-cc599a7a0c65</t>
        </is>
      </c>
      <c r="D9526" t="n">
        <v>55.76796</v>
      </c>
      <c r="E9526" t="n">
        <v>37.83453</v>
      </c>
      <c r="F9526" t="inlineStr"/>
      <c r="G9526" t="inlineStr"/>
      <c r="H9526" t="inlineStr"/>
    </row>
    <row r="9527">
      <c r="A9527" t="inlineStr">
        <is>
          <t>0c81f11f-f127-4472-86f9-9aa6552e20e8.jpg</t>
        </is>
      </c>
      <c r="B9527">
        <f>HYPERLINK("Объекты недвижимости, не соответствующие градостроительным нормам_00-022_Август/0c81f11f-f127-4472-86f9-9aa6552e20e8.jpg","open")</f>
        <v/>
      </c>
      <c r="C9527" t="inlineStr">
        <is>
          <t>a1a9db89-3f74-42ef-8fad-ad69705102cd</t>
        </is>
      </c>
      <c r="D9527" t="n">
        <v>55.78188</v>
      </c>
      <c r="E9527" t="n">
        <v>37.69677</v>
      </c>
      <c r="F9527" t="inlineStr"/>
      <c r="G9527" t="inlineStr"/>
      <c r="H9527" t="inlineStr"/>
    </row>
    <row r="9528">
      <c r="A9528" t="inlineStr">
        <is>
          <t>76b8f224-da53-425d-a250-d75ca23ab08a.jpg</t>
        </is>
      </c>
      <c r="B9528">
        <f>HYPERLINK("Объекты недвижимости, не соответствующие градостроительным нормам_00-022_Август/76b8f224-da53-425d-a250-d75ca23ab08a.jpg","open")</f>
        <v/>
      </c>
      <c r="C9528" t="inlineStr">
        <is>
          <t>dd48f742-b338-42e2-bbaf-b3a9701b437c</t>
        </is>
      </c>
      <c r="D9528" t="n">
        <v>55.84455</v>
      </c>
      <c r="E9528" t="n">
        <v>37.65325</v>
      </c>
      <c r="F9528" t="inlineStr"/>
      <c r="G9528" t="inlineStr"/>
      <c r="H9528" t="inlineStr"/>
    </row>
    <row r="9529">
      <c r="A9529" t="inlineStr">
        <is>
          <t>9973957e-e057-4758-b180-657babf5564f.jpg</t>
        </is>
      </c>
      <c r="B9529">
        <f>HYPERLINK("Объекты недвижимости, не соответствующие градостроительным нормам_00-022_Август/9973957e-e057-4758-b180-657babf5564f.jpg","open")</f>
        <v/>
      </c>
      <c r="C9529" t="inlineStr">
        <is>
          <t>fce890a6-27da-4062-a046-08262a160ee6</t>
        </is>
      </c>
      <c r="D9529" t="n">
        <v>55.79395</v>
      </c>
      <c r="E9529" t="n">
        <v>37.65395</v>
      </c>
      <c r="F9529" t="inlineStr"/>
      <c r="G9529" t="inlineStr"/>
      <c r="H9529" t="inlineStr"/>
    </row>
    <row r="9530">
      <c r="A9530" t="inlineStr">
        <is>
          <t>7f2a464c-44a7-4371-86bd-32563f7498c2.jpg</t>
        </is>
      </c>
      <c r="B9530">
        <f>HYPERLINK("Объекты недвижимости, не соответствующие градостроительным нормам_00-022_Август/7f2a464c-44a7-4371-86bd-32563f7498c2.jpg","open")</f>
        <v/>
      </c>
      <c r="C9530" t="inlineStr">
        <is>
          <t>685d9054-b74f-49ab-857b-109fd2cec80d</t>
        </is>
      </c>
      <c r="D9530" t="n">
        <v>55.65756</v>
      </c>
      <c r="E9530" t="n">
        <v>37.58853</v>
      </c>
      <c r="F9530" t="inlineStr"/>
      <c r="G9530" t="inlineStr"/>
      <c r="H9530" t="inlineStr"/>
    </row>
    <row r="9531">
      <c r="A9531" t="inlineStr">
        <is>
          <t>d3505f7e-405f-431a-8907-330c89f88386.jpg</t>
        </is>
      </c>
      <c r="B9531">
        <f>HYPERLINK("Объекты недвижимости, не соответствующие градостроительным нормам_00-022_Август/d3505f7e-405f-431a-8907-330c89f88386.jpg","open")</f>
        <v/>
      </c>
      <c r="C9531" t="inlineStr">
        <is>
          <t>a1a9db89-3f74-42ef-8fad-ad69705102cd</t>
        </is>
      </c>
      <c r="D9531" t="n">
        <v>55.74794</v>
      </c>
      <c r="E9531" t="n">
        <v>37.66835</v>
      </c>
      <c r="F9531" t="inlineStr"/>
      <c r="G9531" t="inlineStr"/>
      <c r="H9531" t="inlineStr"/>
    </row>
    <row r="9532">
      <c r="A9532" t="inlineStr">
        <is>
          <t>8a47e2f4-df88-458c-8db3-d95d9ed13154.jpg</t>
        </is>
      </c>
      <c r="B9532">
        <f>HYPERLINK("Объекты недвижимости, не соответствующие градостроительным нормам_00-022_Август/8a47e2f4-df88-458c-8db3-d95d9ed13154.jpg","open")</f>
        <v/>
      </c>
      <c r="C9532" t="inlineStr">
        <is>
          <t>cbf95b01-f708-45a3-9ec0-3603469b538e</t>
        </is>
      </c>
      <c r="D9532" t="n">
        <v>55.74794</v>
      </c>
      <c r="E9532" t="n">
        <v>37.66835</v>
      </c>
      <c r="F9532" t="inlineStr"/>
      <c r="G9532" t="inlineStr"/>
      <c r="H9532" t="inlineStr"/>
    </row>
    <row r="9533">
      <c r="A9533" t="inlineStr">
        <is>
          <t>1410347c-8c89-49ec-9150-bccaaa5bd181.jpg</t>
        </is>
      </c>
      <c r="B9533">
        <f>HYPERLINK("Объекты недвижимости, не соответствующие градостроительным нормам_00-022_Август/1410347c-8c89-49ec-9150-bccaaa5bd181.jpg","open")</f>
        <v/>
      </c>
      <c r="C9533" t="inlineStr">
        <is>
          <t>29ad9edb-d533-4272-a986-be24eb004851</t>
        </is>
      </c>
      <c r="D9533" t="n">
        <v>55.79325</v>
      </c>
      <c r="E9533" t="n">
        <v>37.61261</v>
      </c>
      <c r="F9533" t="inlineStr"/>
      <c r="G9533" t="inlineStr"/>
      <c r="H9533" t="inlineStr"/>
    </row>
    <row r="9534">
      <c r="A9534" t="inlineStr">
        <is>
          <t>14a76a88-b1b4-41eb-8867-87ae81aa7fef.jpg</t>
        </is>
      </c>
      <c r="B9534">
        <f>HYPERLINK("Объекты недвижимости, не соответствующие градостроительным нормам_00-022_Август/14a76a88-b1b4-41eb-8867-87ae81aa7fef.jpg","open")</f>
        <v/>
      </c>
      <c r="C9534" t="inlineStr">
        <is>
          <t>036c664f-5408-4fd0-b479-342c00468eeb</t>
        </is>
      </c>
      <c r="D9534" t="n">
        <v>55.737</v>
      </c>
      <c r="E9534" t="n">
        <v>37.4675</v>
      </c>
      <c r="F9534" t="inlineStr"/>
      <c r="G9534" t="inlineStr"/>
      <c r="H9534" t="inlineStr"/>
    </row>
    <row r="9535">
      <c r="A9535" t="inlineStr">
        <is>
          <t>eeb2c6ab-e9c4-4ad4-be9c-135c4af7df39.jpg</t>
        </is>
      </c>
      <c r="B9535">
        <f>HYPERLINK("Объекты недвижимости, не соответствующие градостроительным нормам_00-022_Август/eeb2c6ab-e9c4-4ad4-be9c-135c4af7df39.jpg","open")</f>
        <v/>
      </c>
      <c r="C9535" t="inlineStr">
        <is>
          <t>31a713a9-b910-424b-b847-e0eaa2f70c70</t>
        </is>
      </c>
      <c r="D9535" t="n">
        <v>55.60048</v>
      </c>
      <c r="E9535" t="n">
        <v>37.52176</v>
      </c>
      <c r="F9535" t="inlineStr"/>
      <c r="G9535" t="inlineStr"/>
      <c r="H9535" t="inlineStr"/>
    </row>
    <row r="9536">
      <c r="A9536" t="inlineStr">
        <is>
          <t>1a11291e-8004-4a3c-9442-665a1a39c58e.jpg</t>
        </is>
      </c>
      <c r="B9536">
        <f>HYPERLINK("Объекты недвижимости, не соответствующие градостроительным нормам_00-022_Август/1a11291e-8004-4a3c-9442-665a1a39c58e.jpg","open")</f>
        <v/>
      </c>
      <c r="C9536" t="inlineStr">
        <is>
          <t>4cd87d14-7440-44b7-a5b2-a738e10006f7</t>
        </is>
      </c>
      <c r="D9536" t="n">
        <v>55.77039</v>
      </c>
      <c r="E9536" t="n">
        <v>37.64254</v>
      </c>
      <c r="F9536" t="inlineStr"/>
      <c r="G9536" t="inlineStr"/>
      <c r="H9536" t="inlineStr"/>
    </row>
    <row r="9537">
      <c r="A9537" t="inlineStr">
        <is>
          <t>e11e4e86-cecc-4481-8071-d72be2e5c845.jpg</t>
        </is>
      </c>
      <c r="B9537">
        <f>HYPERLINK("Объекты недвижимости, не соответствующие градостроительным нормам_00-022_Август/e11e4e86-cecc-4481-8071-d72be2e5c845.jpg","open")</f>
        <v/>
      </c>
      <c r="C9537" t="inlineStr">
        <is>
          <t>dd48f742-b338-42e2-bbaf-b3a9701b437c</t>
        </is>
      </c>
      <c r="D9537" t="n">
        <v>55.81243</v>
      </c>
      <c r="E9537" t="n">
        <v>37.74542</v>
      </c>
      <c r="F9537" t="inlineStr"/>
      <c r="G9537" t="inlineStr"/>
      <c r="H9537" t="inlineStr"/>
    </row>
    <row r="9538">
      <c r="A9538" t="inlineStr">
        <is>
          <t>71203f24-303d-451b-a06b-2fbc0ecbe49c.jpg</t>
        </is>
      </c>
      <c r="B9538">
        <f>HYPERLINK("Объекты недвижимости, не соответствующие градостроительным нормам_00-022_Август/71203f24-303d-451b-a06b-2fbc0ecbe49c.jpg","open")</f>
        <v/>
      </c>
      <c r="C9538" t="inlineStr">
        <is>
          <t>e26f5fc2-1353-4f29-85f3-87c56419161c</t>
        </is>
      </c>
      <c r="D9538" t="n">
        <v>55.77039</v>
      </c>
      <c r="E9538" t="n">
        <v>37.64254</v>
      </c>
      <c r="F9538" t="inlineStr"/>
      <c r="G9538" t="inlineStr"/>
      <c r="H9538" t="inlineStr"/>
    </row>
    <row r="9539">
      <c r="A9539" t="inlineStr">
        <is>
          <t>eda2df2e-62d5-441b-ad4d-830a7f5409b1.jpg</t>
        </is>
      </c>
      <c r="B9539">
        <f>HYPERLINK("Объекты недвижимости, не соответствующие градостроительным нормам_00-022_Август/eda2df2e-62d5-441b-ad4d-830a7f5409b1.jpg","open")</f>
        <v/>
      </c>
      <c r="C9539" t="inlineStr">
        <is>
          <t>cbf95b01-f708-45a3-9ec0-3603469b538e</t>
        </is>
      </c>
      <c r="D9539" t="n">
        <v>55.73418</v>
      </c>
      <c r="E9539" t="n">
        <v>37.66523</v>
      </c>
      <c r="F9539" t="inlineStr"/>
      <c r="G9539" t="inlineStr"/>
      <c r="H9539" t="inlineStr"/>
    </row>
    <row r="9540">
      <c r="A9540" t="inlineStr">
        <is>
          <t>e8159737-6276-44c8-abb4-f567a9bba12c.jpg</t>
        </is>
      </c>
      <c r="B9540">
        <f>HYPERLINK("Объекты недвижимости, не соответствующие градостроительным нормам_00-022_Август/e8159737-6276-44c8-abb4-f567a9bba12c.jpg","open")</f>
        <v/>
      </c>
      <c r="C9540" t="inlineStr">
        <is>
          <t>e26f5fc2-1353-4f29-85f3-87c56419161c</t>
        </is>
      </c>
      <c r="D9540" t="n">
        <v>55.76889</v>
      </c>
      <c r="E9540" t="n">
        <v>37.662</v>
      </c>
      <c r="F9540" t="inlineStr"/>
      <c r="G9540" t="inlineStr"/>
      <c r="H9540" t="inlineStr"/>
    </row>
    <row r="9541">
      <c r="A9541" t="inlineStr">
        <is>
          <t>6877485a-8857-4715-8fab-1e93faac3350.jpg</t>
        </is>
      </c>
      <c r="B9541">
        <f>HYPERLINK("Объекты недвижимости, не соответствующие градостроительным нормам_00-022_Август/6877485a-8857-4715-8fab-1e93faac3350.jpg","open")</f>
        <v/>
      </c>
      <c r="C9541" t="inlineStr">
        <is>
          <t>4cd87d14-7440-44b7-a5b2-a738e10006f7</t>
        </is>
      </c>
      <c r="D9541" t="n">
        <v>55.7687</v>
      </c>
      <c r="E9541" t="n">
        <v>37.66274</v>
      </c>
      <c r="F9541" t="inlineStr"/>
      <c r="G9541" t="inlineStr"/>
      <c r="H9541" t="inlineStr"/>
    </row>
    <row r="9542">
      <c r="A9542" t="inlineStr">
        <is>
          <t>4157e011-1328-4f4d-9702-8acad8ef6adf.jpg</t>
        </is>
      </c>
      <c r="B9542">
        <f>HYPERLINK("Объекты недвижимости, не соответствующие градостроительным нормам_00-022_Август/4157e011-1328-4f4d-9702-8acad8ef6adf.jpg","open")</f>
        <v/>
      </c>
      <c r="C9542" t="inlineStr">
        <is>
          <t>9c930d0e-e445-452d-a046-325646b21ab7</t>
        </is>
      </c>
      <c r="D9542" t="n">
        <v>55.79603</v>
      </c>
      <c r="E9542" t="n">
        <v>37.72144</v>
      </c>
      <c r="F9542" t="inlineStr"/>
      <c r="G9542" t="inlineStr"/>
      <c r="H9542" t="inlineStr"/>
    </row>
    <row r="9543">
      <c r="A9543" t="inlineStr">
        <is>
          <t>aba12e7d-8e4d-4e0f-a57a-b281f33e19e6.jpg</t>
        </is>
      </c>
      <c r="B9543">
        <f>HYPERLINK("Объекты недвижимости, не соответствующие градостроительным нормам_00-022_Август/aba12e7d-8e4d-4e0f-a57a-b281f33e19e6.jpg","open")</f>
        <v/>
      </c>
      <c r="C9543" t="inlineStr">
        <is>
          <t>e26f5fc2-1353-4f29-85f3-87c56419161c</t>
        </is>
      </c>
      <c r="D9543" t="n">
        <v>55.76935</v>
      </c>
      <c r="E9543" t="n">
        <v>37.66936</v>
      </c>
      <c r="F9543" t="inlineStr"/>
      <c r="G9543" t="inlineStr"/>
      <c r="H9543" t="inlineStr"/>
    </row>
    <row r="9544">
      <c r="A9544" t="inlineStr">
        <is>
          <t>0c22d6b3-f967-49ad-b8b6-e7f179708ed8.jpg</t>
        </is>
      </c>
      <c r="B9544">
        <f>HYPERLINK("Объекты недвижимости, не соответствующие градостроительным нормам_00-022_Август/0c22d6b3-f967-49ad-b8b6-e7f179708ed8.jpg","open")</f>
        <v/>
      </c>
      <c r="C9544" t="inlineStr">
        <is>
          <t>ad64e6b9-1ed5-44d7-a101-4945a1f9dec6</t>
        </is>
      </c>
      <c r="D9544" t="n">
        <v>55.68713</v>
      </c>
      <c r="E9544" t="n">
        <v>37.57123</v>
      </c>
      <c r="F9544" t="inlineStr"/>
      <c r="G9544" t="inlineStr"/>
      <c r="H9544" t="inlineStr"/>
    </row>
    <row r="9545">
      <c r="A9545" t="inlineStr">
        <is>
          <t>cd14639e-ea3d-4942-875f-88df3b56da6d.jpg</t>
        </is>
      </c>
      <c r="B9545">
        <f>HYPERLINK("Объекты недвижимости, не соответствующие градостроительным нормам_00-022_Август/cd14639e-ea3d-4942-875f-88df3b56da6d.jpg","open")</f>
        <v/>
      </c>
      <c r="C9545" t="inlineStr">
        <is>
          <t>12e795ad-2aa7-49de-b2da-2c6aa35a4559</t>
        </is>
      </c>
      <c r="D9545" t="n">
        <v>55.68718</v>
      </c>
      <c r="E9545" t="n">
        <v>37.57122</v>
      </c>
      <c r="F9545" t="inlineStr"/>
      <c r="G9545" t="inlineStr"/>
      <c r="H9545" t="inlineStr"/>
    </row>
    <row r="9546">
      <c r="A9546" t="inlineStr">
        <is>
          <t>12abd6bd-e612-494a-b6c7-ccdb8a08a519.jpg</t>
        </is>
      </c>
      <c r="B9546">
        <f>HYPERLINK("Объекты недвижимости, не соответствующие градостроительным нормам_00-022_Август/12abd6bd-e612-494a-b6c7-ccdb8a08a519.jpg","open")</f>
        <v/>
      </c>
      <c r="C9546" t="inlineStr">
        <is>
          <t>57aae8a4-582b-4309-8045-c8127a9f86ae</t>
        </is>
      </c>
      <c r="D9546" t="n">
        <v>55.82701</v>
      </c>
      <c r="E9546" t="n">
        <v>37.75478</v>
      </c>
      <c r="F9546" t="inlineStr"/>
      <c r="G9546" t="inlineStr"/>
      <c r="H9546" t="inlineStr"/>
    </row>
    <row r="9547">
      <c r="A9547" t="inlineStr">
        <is>
          <t>700c4993-ddb7-4921-87a9-2984f8439e47.jpg</t>
        </is>
      </c>
      <c r="B9547">
        <f>HYPERLINK("Объекты недвижимости, не соответствующие градостроительным нормам_00-022_Август/700c4993-ddb7-4921-87a9-2984f8439e47.jpg","open")</f>
        <v/>
      </c>
      <c r="C9547" t="inlineStr">
        <is>
          <t>31a713a9-b910-424b-b847-e0eaa2f70c70</t>
        </is>
      </c>
      <c r="D9547" t="n">
        <v>55.6199</v>
      </c>
      <c r="E9547" t="n">
        <v>37.48537</v>
      </c>
      <c r="F9547" t="inlineStr"/>
      <c r="G9547" t="inlineStr"/>
      <c r="H9547" t="inlineStr"/>
    </row>
    <row r="9548">
      <c r="A9548" t="inlineStr">
        <is>
          <t>43148d69-b94d-4a21-bfae-e7cdea53b43c.jpg</t>
        </is>
      </c>
      <c r="B9548">
        <f>HYPERLINK("Объекты недвижимости, не соответствующие градостроительным нормам_00-022_Август/43148d69-b94d-4a21-bfae-e7cdea53b43c.jpg","open")</f>
        <v/>
      </c>
      <c r="C9548" t="inlineStr">
        <is>
          <t>31a713a9-b910-424b-b847-e0eaa2f70c70</t>
        </is>
      </c>
      <c r="D9548" t="n">
        <v>55.62535</v>
      </c>
      <c r="E9548" t="n">
        <v>37.48456</v>
      </c>
      <c r="F9548" t="inlineStr"/>
      <c r="G9548" t="inlineStr"/>
      <c r="H9548" t="inlineStr"/>
    </row>
    <row r="9549">
      <c r="A9549" t="inlineStr">
        <is>
          <t>2f126487-13c3-41d3-9b5f-9244d334fda0.jpg</t>
        </is>
      </c>
      <c r="B9549">
        <f>HYPERLINK("Объекты недвижимости, не соответствующие градостроительным нормам_00-022_Август/2f126487-13c3-41d3-9b5f-9244d334fda0.jpg","open")</f>
        <v/>
      </c>
      <c r="C9549" t="inlineStr">
        <is>
          <t>036c664f-5408-4fd0-b479-342c00468eeb</t>
        </is>
      </c>
      <c r="D9549" t="n">
        <v>55.97446</v>
      </c>
      <c r="E9549" t="n">
        <v>37.43093</v>
      </c>
      <c r="F9549" t="inlineStr"/>
      <c r="G9549" t="inlineStr"/>
      <c r="H9549" t="inlineStr"/>
    </row>
    <row r="9550">
      <c r="A9550" t="inlineStr">
        <is>
          <t>bc54954d-1fc7-4f95-84c3-59ee09351ee6.jpg</t>
        </is>
      </c>
      <c r="B9550">
        <f>HYPERLINK("Объекты недвижимости, не соответствующие градостроительным нормам_00-022_Август/bc54954d-1fc7-4f95-84c3-59ee09351ee6.jpg","open")</f>
        <v/>
      </c>
      <c r="C9550" t="inlineStr">
        <is>
          <t>8cde1fd0-eca1-4510-86ab-3c743b65fdfc</t>
        </is>
      </c>
      <c r="D9550" t="n">
        <v>55.80187</v>
      </c>
      <c r="E9550" t="n">
        <v>37.65295</v>
      </c>
      <c r="F9550" t="inlineStr"/>
      <c r="G9550" t="inlineStr"/>
      <c r="H9550" t="inlineStr"/>
    </row>
    <row r="9551">
      <c r="A9551" t="inlineStr">
        <is>
          <t>9900062a-40bd-48e3-8f16-43a4311b5ac8.jpg</t>
        </is>
      </c>
      <c r="B9551">
        <f>HYPERLINK("Объекты недвижимости, не соответствующие градостроительным нормам_00-022_Август/9900062a-40bd-48e3-8f16-43a4311b5ac8.jpg","open")</f>
        <v/>
      </c>
      <c r="C9551" t="inlineStr">
        <is>
          <t>036c664f-5408-4fd0-b479-342c00468eeb</t>
        </is>
      </c>
      <c r="D9551" t="n">
        <v>55.96994</v>
      </c>
      <c r="E9551" t="n">
        <v>37.42984</v>
      </c>
      <c r="F9551" t="inlineStr"/>
      <c r="G9551" t="inlineStr"/>
      <c r="H9551" t="inlineStr"/>
    </row>
    <row r="9552">
      <c r="A9552" t="inlineStr">
        <is>
          <t>b6724d1f-9b1e-4d75-abc7-83ce44333bcd.jpg</t>
        </is>
      </c>
      <c r="B9552">
        <f>HYPERLINK("Объекты недвижимости, не соответствующие градостроительным нормам_00-022_Август/b6724d1f-9b1e-4d75-abc7-83ce44333bcd.jpg","open")</f>
        <v/>
      </c>
      <c r="C9552" t="inlineStr">
        <is>
          <t>6e2567a0-1fb9-40d5-a0e7-0adb480d2965</t>
        </is>
      </c>
      <c r="D9552" t="n">
        <v>55.77761</v>
      </c>
      <c r="E9552" t="n">
        <v>37.66192</v>
      </c>
      <c r="F9552" t="inlineStr"/>
      <c r="G9552" t="inlineStr"/>
      <c r="H9552" t="inlineStr"/>
    </row>
    <row r="9553">
      <c r="A9553" t="inlineStr">
        <is>
          <t>c3dbe2cf-86e8-4be3-86e7-6023e832bc5a.jpg</t>
        </is>
      </c>
      <c r="B9553">
        <f>HYPERLINK("Объекты недвижимости, не соответствующие градостроительным нормам_00-022_Август/c3dbe2cf-86e8-4be3-86e7-6023e832bc5a.jpg","open")</f>
        <v/>
      </c>
      <c r="C9553" t="inlineStr">
        <is>
          <t>789f6c51-64ee-4078-b7bd-443af8b8b68a</t>
        </is>
      </c>
      <c r="D9553" t="n">
        <v>55.87739</v>
      </c>
      <c r="E9553" t="n">
        <v>37.61933</v>
      </c>
      <c r="F9553" t="inlineStr"/>
      <c r="G9553" t="inlineStr"/>
      <c r="H9553" t="inlineStr"/>
    </row>
    <row r="9554">
      <c r="A9554" t="inlineStr">
        <is>
          <t>b0867eaa-cd60-4fba-b5a7-345dce9aca90.jpg</t>
        </is>
      </c>
      <c r="B9554">
        <f>HYPERLINK("Объекты недвижимости, не соответствующие градостроительным нормам_00-022_Август/b0867eaa-cd60-4fba-b5a7-345dce9aca90.jpg","open")</f>
        <v/>
      </c>
      <c r="C9554" t="inlineStr">
        <is>
          <t>29ad9edb-d533-4272-a986-be24eb004851</t>
        </is>
      </c>
      <c r="D9554" t="n">
        <v>55.75373</v>
      </c>
      <c r="E9554" t="n">
        <v>37.53192</v>
      </c>
      <c r="F9554" t="inlineStr"/>
      <c r="G9554" t="inlineStr"/>
      <c r="H9554" t="inlineStr"/>
    </row>
    <row r="9555">
      <c r="A9555" t="inlineStr">
        <is>
          <t>077dc5a8-052b-4ef8-b25c-491ad305d140.jpg</t>
        </is>
      </c>
      <c r="B9555">
        <f>HYPERLINK("Объекты недвижимости, не соответствующие градостроительным нормам_00-022_Август/077dc5a8-052b-4ef8-b25c-491ad305d140.jpg","open")</f>
        <v/>
      </c>
      <c r="C9555" t="inlineStr">
        <is>
          <t>1231bbc5-e64c-4dc7-9acc-77710f47607a</t>
        </is>
      </c>
      <c r="D9555" t="n">
        <v>55.65656</v>
      </c>
      <c r="E9555" t="n">
        <v>37.59614</v>
      </c>
      <c r="F9555" t="inlineStr"/>
      <c r="G9555" t="inlineStr"/>
      <c r="H9555" t="inlineStr"/>
    </row>
    <row r="9556">
      <c r="A9556" t="inlineStr">
        <is>
          <t>6553ea99-a47c-4d98-846d-025388b6530c.jpg</t>
        </is>
      </c>
      <c r="B9556">
        <f>HYPERLINK("Объекты недвижимости, не соответствующие градостроительным нормам_00-022_Август/6553ea99-a47c-4d98-846d-025388b6530c.jpg","open")</f>
        <v/>
      </c>
      <c r="C9556" t="inlineStr">
        <is>
          <t>e26f5fc2-1353-4f29-85f3-87c56419161c</t>
        </is>
      </c>
      <c r="D9556" t="n">
        <v>55.8566</v>
      </c>
      <c r="E9556" t="n">
        <v>37.62527</v>
      </c>
      <c r="F9556" t="inlineStr"/>
      <c r="G9556" t="inlineStr"/>
      <c r="H9556" t="inlineStr"/>
    </row>
    <row r="9557">
      <c r="A9557" t="inlineStr">
        <is>
          <t>9eb5fb8d-0107-4356-998e-892f0b133088.jpg</t>
        </is>
      </c>
      <c r="B9557">
        <f>HYPERLINK("Объекты недвижимости, не соответствующие градостроительным нормам_00-022_Август/9eb5fb8d-0107-4356-998e-892f0b133088.jpg","open")</f>
        <v/>
      </c>
      <c r="C9557" t="inlineStr">
        <is>
          <t>b0b7ea82-53be-40d0-b992-e2fd18611d5c</t>
        </is>
      </c>
      <c r="D9557" t="n">
        <v>55.73368</v>
      </c>
      <c r="E9557" t="n">
        <v>37.73701</v>
      </c>
      <c r="F9557" t="inlineStr"/>
      <c r="G9557" t="inlineStr"/>
      <c r="H9557" t="inlineStr"/>
    </row>
    <row r="9558">
      <c r="A9558" t="inlineStr">
        <is>
          <t>7ac0ecd0-75d3-43ad-bc68-3fcc2b474a98.jpg</t>
        </is>
      </c>
      <c r="B9558">
        <f>HYPERLINK("Объекты недвижимости, не соответствующие градостроительным нормам_00-022_Август/7ac0ecd0-75d3-43ad-bc68-3fcc2b474a98.jpg","open")</f>
        <v/>
      </c>
      <c r="C9558" t="inlineStr">
        <is>
          <t>f20fbc2b-b369-4734-bb66-92af02fbb0d1</t>
        </is>
      </c>
      <c r="D9558" t="n">
        <v>55.73473</v>
      </c>
      <c r="E9558" t="n">
        <v>37.74078</v>
      </c>
      <c r="F9558" t="inlineStr"/>
      <c r="G9558" t="inlineStr"/>
      <c r="H9558" t="inlineStr"/>
    </row>
    <row r="9559">
      <c r="A9559" t="inlineStr">
        <is>
          <t>9e0d5e90-acf1-4c74-9f02-912f39ffbcc0.jpg</t>
        </is>
      </c>
      <c r="B9559">
        <f>HYPERLINK("Объекты недвижимости, не соответствующие градостроительным нормам_00-022_Август/9e0d5e90-acf1-4c74-9f02-912f39ffbcc0.jpg","open")</f>
        <v/>
      </c>
      <c r="C9559" t="inlineStr">
        <is>
          <t>b23a39fd-838c-435a-bacd-b4d6bb842c62</t>
        </is>
      </c>
      <c r="D9559" t="n">
        <v>55.61271</v>
      </c>
      <c r="E9559" t="n">
        <v>37.71705</v>
      </c>
      <c r="F9559" t="inlineStr"/>
      <c r="G9559" t="inlineStr"/>
      <c r="H9559" t="inlineStr"/>
    </row>
    <row r="9560">
      <c r="A9560" t="inlineStr">
        <is>
          <t>6926cc1c-9aaf-4921-8e65-67a7e7d5f5df.jpg</t>
        </is>
      </c>
      <c r="B9560">
        <f>HYPERLINK("Объекты недвижимости, не соответствующие градостроительным нормам_00-022_Август/6926cc1c-9aaf-4921-8e65-67a7e7d5f5df.jpg","open")</f>
        <v/>
      </c>
      <c r="C9560" t="inlineStr">
        <is>
          <t>036c664f-5408-4fd0-b479-342c00468eeb</t>
        </is>
      </c>
      <c r="D9560" t="n">
        <v>55.73651</v>
      </c>
      <c r="E9560" t="n">
        <v>37.4814</v>
      </c>
      <c r="F9560" t="inlineStr"/>
      <c r="G9560" t="inlineStr"/>
      <c r="H9560" t="inlineStr"/>
    </row>
    <row r="9561">
      <c r="A9561" t="inlineStr">
        <is>
          <t>c92639ec-0ee3-4f1b-a300-0ad9c0dcb15c.jpg</t>
        </is>
      </c>
      <c r="B9561">
        <f>HYPERLINK("Объекты недвижимости, не соответствующие градостроительным нормам_00-022_Август/c92639ec-0ee3-4f1b-a300-0ad9c0dcb15c.jpg","open")</f>
        <v/>
      </c>
      <c r="C9561" t="inlineStr">
        <is>
          <t>b0b7ea82-53be-40d0-b992-e2fd18611d5c</t>
        </is>
      </c>
      <c r="D9561" t="n">
        <v>55.73287</v>
      </c>
      <c r="E9561" t="n">
        <v>37.7471</v>
      </c>
      <c r="F9561" t="inlineStr"/>
      <c r="G9561" t="inlineStr"/>
      <c r="H9561" t="inlineStr"/>
    </row>
    <row r="9562">
      <c r="A9562" t="inlineStr">
        <is>
          <t>ad7be916-0696-43db-8400-d9ede670c0ea.jpg</t>
        </is>
      </c>
      <c r="B9562">
        <f>HYPERLINK("Объекты недвижимости, не соответствующие градостроительным нормам_00-022_Август/ad7be916-0696-43db-8400-d9ede670c0ea.jpg","open")</f>
        <v/>
      </c>
      <c r="C9562" t="inlineStr">
        <is>
          <t>f6f80c84-5569-48fd-b627-6f41ce4c61c4</t>
        </is>
      </c>
      <c r="D9562" t="n">
        <v>55.97488</v>
      </c>
      <c r="E9562" t="n">
        <v>37.39925</v>
      </c>
      <c r="F9562" t="inlineStr"/>
      <c r="G9562" t="inlineStr"/>
      <c r="H9562" t="inlineStr"/>
    </row>
    <row r="9563">
      <c r="A9563" t="inlineStr">
        <is>
          <t>17d6e9d9-414d-4fc4-9e49-d91b0d6a01fb.jpg</t>
        </is>
      </c>
      <c r="B9563">
        <f>HYPERLINK("Объекты недвижимости, не соответствующие градостроительным нормам_00-022_Август/17d6e9d9-414d-4fc4-9e49-d91b0d6a01fb.jpg","open")</f>
        <v/>
      </c>
      <c r="C9563" t="inlineStr">
        <is>
          <t>a28f597e-d1cd-4d3b-b572-c86d033412e9</t>
        </is>
      </c>
      <c r="D9563" t="n">
        <v>55.73821</v>
      </c>
      <c r="E9563" t="n">
        <v>37.48298</v>
      </c>
      <c r="F9563" t="inlineStr"/>
      <c r="G9563" t="inlineStr"/>
      <c r="H9563" t="inlineStr"/>
    </row>
    <row r="9564">
      <c r="A9564" t="inlineStr">
        <is>
          <t>acac941e-6e36-49e3-a446-b999e9d99954.jpg</t>
        </is>
      </c>
      <c r="B9564">
        <f>HYPERLINK("Объекты недвижимости, не соответствующие градостроительным нормам_00-022_Август/acac941e-6e36-49e3-a446-b999e9d99954.jpg","open")</f>
        <v/>
      </c>
      <c r="C9564" t="inlineStr">
        <is>
          <t>1c951e11-4940-43c6-a447-394097e5609a</t>
        </is>
      </c>
      <c r="D9564" t="n">
        <v>55.7923</v>
      </c>
      <c r="E9564" t="n">
        <v>37.68302</v>
      </c>
      <c r="F9564" t="inlineStr"/>
      <c r="G9564" t="inlineStr"/>
      <c r="H9564" t="inlineStr"/>
    </row>
    <row r="9565">
      <c r="A9565" t="inlineStr">
        <is>
          <t>dcc782a4-d917-43ab-9984-3f5cfb82d37c.jpg</t>
        </is>
      </c>
      <c r="B9565">
        <f>HYPERLINK("Объекты недвижимости, не соответствующие градостроительным нормам_00-022_Август/dcc782a4-d917-43ab-9984-3f5cfb82d37c.jpg","open")</f>
        <v/>
      </c>
      <c r="C9565" t="inlineStr">
        <is>
          <t>8cde1fd0-eca1-4510-86ab-3c743b65fdfc</t>
        </is>
      </c>
      <c r="D9565" t="n">
        <v>55.79231</v>
      </c>
      <c r="E9565" t="n">
        <v>37.683</v>
      </c>
      <c r="F9565" t="inlineStr"/>
      <c r="G9565" t="inlineStr"/>
      <c r="H9565" t="inlineStr"/>
    </row>
    <row r="9566">
      <c r="A9566" t="inlineStr">
        <is>
          <t>ef3b5e93-1bf7-4f6d-9b41-cefeb6ee80ce.jpg</t>
        </is>
      </c>
      <c r="B9566">
        <f>HYPERLINK("Объекты недвижимости, не соответствующие градостроительным нормам_00-022_Август/ef3b5e93-1bf7-4f6d-9b41-cefeb6ee80ce.jpg","open")</f>
        <v/>
      </c>
      <c r="C9566" t="inlineStr">
        <is>
          <t>dd48f742-b338-42e2-bbaf-b3a9701b437c</t>
        </is>
      </c>
      <c r="D9566" t="n">
        <v>55.79509</v>
      </c>
      <c r="E9566" t="n">
        <v>37.72115</v>
      </c>
      <c r="F9566" t="inlineStr"/>
      <c r="G9566" t="inlineStr"/>
      <c r="H9566" t="inlineStr"/>
    </row>
    <row r="9567">
      <c r="A9567" t="inlineStr">
        <is>
          <t>de72a0f0-8806-4f6c-8421-f693a472dae8.jpg</t>
        </is>
      </c>
      <c r="B9567">
        <f>HYPERLINK("Объекты недвижимости, не соответствующие градостроительным нормам_00-022_Август/de72a0f0-8806-4f6c-8421-f693a472dae8.jpg","open")</f>
        <v/>
      </c>
      <c r="C9567" t="inlineStr">
        <is>
          <t>ad64e6b9-1ed5-44d7-a101-4945a1f9dec6</t>
        </is>
      </c>
      <c r="D9567" t="n">
        <v>55.68316</v>
      </c>
      <c r="E9567" t="n">
        <v>37.56587</v>
      </c>
      <c r="F9567" t="inlineStr"/>
      <c r="G9567" t="inlineStr"/>
      <c r="H9567" t="inlineStr"/>
    </row>
    <row r="9568">
      <c r="A9568" t="inlineStr">
        <is>
          <t>b69aad0d-62aa-41db-a004-254f8f86ad2b.jpg</t>
        </is>
      </c>
      <c r="B9568">
        <f>HYPERLINK("Объекты недвижимости, не соответствующие градостроительным нормам_00-022_Август/b69aad0d-62aa-41db-a004-254f8f86ad2b.jpg","open")</f>
        <v/>
      </c>
      <c r="C9568" t="inlineStr">
        <is>
          <t>31a713a9-b910-424b-b847-e0eaa2f70c70</t>
        </is>
      </c>
      <c r="D9568" t="n">
        <v>55.63576</v>
      </c>
      <c r="E9568" t="n">
        <v>37.51507</v>
      </c>
      <c r="F9568" t="inlineStr"/>
      <c r="G9568" t="inlineStr"/>
      <c r="H9568" t="inlineStr"/>
    </row>
    <row r="9569">
      <c r="A9569" t="inlineStr">
        <is>
          <t>c3eefa38-6d5b-4153-9d1e-107166134a28.jpg</t>
        </is>
      </c>
      <c r="B9569">
        <f>HYPERLINK("Объекты недвижимости, не соответствующие градостроительным нормам_00-022_Август/c3eefa38-6d5b-4153-9d1e-107166134a28.jpg","open")</f>
        <v/>
      </c>
      <c r="C9569" t="inlineStr">
        <is>
          <t>ad64e6b9-1ed5-44d7-a101-4945a1f9dec6</t>
        </is>
      </c>
      <c r="D9569" t="n">
        <v>55.68303</v>
      </c>
      <c r="E9569" t="n">
        <v>37.56565</v>
      </c>
      <c r="F9569" t="inlineStr"/>
      <c r="G9569" t="inlineStr"/>
      <c r="H9569" t="inlineStr"/>
    </row>
    <row r="9570">
      <c r="A9570" t="inlineStr">
        <is>
          <t>b24f1a62-ce04-4f1f-9503-8682b0666f60.jpg</t>
        </is>
      </c>
      <c r="B9570">
        <f>HYPERLINK("Объекты недвижимости, не соответствующие градостроительным нормам_00-022_Август/b24f1a62-ce04-4f1f-9503-8682b0666f60.jpg","open")</f>
        <v/>
      </c>
      <c r="C9570" t="inlineStr">
        <is>
          <t>b23a39fd-838c-435a-bacd-b4d6bb842c62</t>
        </is>
      </c>
      <c r="D9570" t="n">
        <v>55.61192</v>
      </c>
      <c r="E9570" t="n">
        <v>37.72314</v>
      </c>
      <c r="F9570" t="inlineStr"/>
      <c r="G9570" t="inlineStr"/>
      <c r="H9570" t="inlineStr"/>
    </row>
    <row r="9571">
      <c r="A9571" t="inlineStr">
        <is>
          <t>34113bf2-0baf-49db-9b30-ff1478a6658c.jpg</t>
        </is>
      </c>
      <c r="B9571">
        <f>HYPERLINK("Объекты недвижимости, не соответствующие градостроительным нормам_00-022_Август/34113bf2-0baf-49db-9b30-ff1478a6658c.jpg","open")</f>
        <v/>
      </c>
      <c r="C9571" t="inlineStr">
        <is>
          <t>f20fbc2b-b369-4734-bb66-92af02fbb0d1</t>
        </is>
      </c>
      <c r="D9571" t="n">
        <v>55.73602</v>
      </c>
      <c r="E9571" t="n">
        <v>37.75097</v>
      </c>
      <c r="F9571" t="inlineStr"/>
      <c r="G9571" t="inlineStr"/>
      <c r="H9571" t="inlineStr"/>
    </row>
    <row r="9572">
      <c r="A9572" t="inlineStr">
        <is>
          <t>14d3c54d-f508-40f3-9117-db666d7290d5.jpg</t>
        </is>
      </c>
      <c r="B9572">
        <f>HYPERLINK("Объекты недвижимости, не соответствующие градостроительным нормам_00-022_Август/14d3c54d-f508-40f3-9117-db666d7290d5.jpg","open")</f>
        <v/>
      </c>
      <c r="C9572" t="inlineStr">
        <is>
          <t>57812597-37e6-414c-8b11-8c661dbfeb70</t>
        </is>
      </c>
      <c r="D9572" t="n">
        <v>55.7681</v>
      </c>
      <c r="E9572" t="n">
        <v>37.61967</v>
      </c>
      <c r="F9572" t="inlineStr"/>
      <c r="G9572" t="inlineStr"/>
      <c r="H9572" t="inlineStr"/>
    </row>
    <row r="9573">
      <c r="A9573" t="inlineStr">
        <is>
          <t>2caaad53-7b94-4384-98f1-2ca4788a355c.jpg</t>
        </is>
      </c>
      <c r="B9573">
        <f>HYPERLINK("Объекты недвижимости, не соответствующие градостроительным нормам_00-022_Август/2caaad53-7b94-4384-98f1-2ca4788a355c.jpg","open")</f>
        <v/>
      </c>
      <c r="C9573" t="inlineStr">
        <is>
          <t>8cde1fd0-eca1-4510-86ab-3c743b65fdfc</t>
        </is>
      </c>
      <c r="D9573" t="n">
        <v>55.79256</v>
      </c>
      <c r="E9573" t="n">
        <v>37.68307</v>
      </c>
      <c r="F9573" t="inlineStr"/>
      <c r="G9573" t="inlineStr"/>
      <c r="H9573" t="inlineStr"/>
    </row>
    <row r="9574">
      <c r="A9574" t="inlineStr">
        <is>
          <t>b0185cf3-4de5-42b3-ad41-031dafaf688d.jpg</t>
        </is>
      </c>
      <c r="B9574">
        <f>HYPERLINK("Объекты недвижимости, не соответствующие градостроительным нормам_00-022_Август/b0185cf3-4de5-42b3-ad41-031dafaf688d.jpg","open")</f>
        <v/>
      </c>
      <c r="C9574" t="inlineStr">
        <is>
          <t>797901ad-53b1-41b8-99d1-d59d59c863d5</t>
        </is>
      </c>
      <c r="D9574" t="n">
        <v>55.81709</v>
      </c>
      <c r="E9574" t="n">
        <v>37.77815</v>
      </c>
      <c r="F9574" t="inlineStr"/>
      <c r="G9574" t="inlineStr"/>
      <c r="H9574" t="inlineStr"/>
    </row>
    <row r="9575">
      <c r="A9575" t="inlineStr">
        <is>
          <t>48ba27f7-4c38-4a95-9841-323322a80728.jpg</t>
        </is>
      </c>
      <c r="B9575">
        <f>HYPERLINK("Объекты недвижимости, не соответствующие градостроительным нормам_00-022_Август/48ba27f7-4c38-4a95-9841-323322a80728.jpg","open")</f>
        <v/>
      </c>
      <c r="C9575" t="inlineStr">
        <is>
          <t>fb40ed24-21ef-458a-a239-038ab19932cc</t>
        </is>
      </c>
      <c r="D9575" t="n">
        <v>55.81708</v>
      </c>
      <c r="E9575" t="n">
        <v>37.77816</v>
      </c>
      <c r="F9575" t="inlineStr"/>
      <c r="G9575" t="inlineStr"/>
      <c r="H9575" t="inlineStr"/>
    </row>
    <row r="9576">
      <c r="A9576" t="inlineStr">
        <is>
          <t>68a808bd-db21-4ec9-bc88-8ad1a3e31389.jpg</t>
        </is>
      </c>
      <c r="B9576">
        <f>HYPERLINK("Объекты недвижимости, не соответствующие градостроительным нормам_00-022_Август/68a808bd-db21-4ec9-bc88-8ad1a3e31389.jpg","open")</f>
        <v/>
      </c>
      <c r="C9576" t="inlineStr">
        <is>
          <t>57aae8a4-582b-4309-8045-c8127a9f86ae</t>
        </is>
      </c>
      <c r="D9576" t="n">
        <v>55.82734</v>
      </c>
      <c r="E9576" t="n">
        <v>37.72903</v>
      </c>
      <c r="F9576" t="inlineStr"/>
      <c r="G9576" t="inlineStr"/>
      <c r="H9576" t="inlineStr"/>
    </row>
    <row r="9577">
      <c r="A9577" t="inlineStr">
        <is>
          <t>3c390497-9f8a-4d7a-851f-547a8b649ebd.jpg</t>
        </is>
      </c>
      <c r="B9577">
        <f>HYPERLINK("Объекты недвижимости, не соответствующие градостроительным нормам_00-022_Август/3c390497-9f8a-4d7a-851f-547a8b649ebd.jpg","open")</f>
        <v/>
      </c>
      <c r="C9577" t="inlineStr">
        <is>
          <t>e26f5fc2-1353-4f29-85f3-87c56419161c</t>
        </is>
      </c>
      <c r="D9577" t="n">
        <v>55.79168</v>
      </c>
      <c r="E9577" t="n">
        <v>37.63239</v>
      </c>
      <c r="F9577" t="inlineStr"/>
      <c r="G9577" t="inlineStr"/>
      <c r="H9577" t="inlineStr"/>
    </row>
    <row r="9578">
      <c r="A9578" t="inlineStr">
        <is>
          <t>23dd8b33-e6ad-4cea-8ba2-db0b9b1734b6.jpg</t>
        </is>
      </c>
      <c r="B9578">
        <f>HYPERLINK("Объекты недвижимости, не соответствующие градостроительным нормам_00-022_Август/23dd8b33-e6ad-4cea-8ba2-db0b9b1734b6.jpg","open")</f>
        <v/>
      </c>
      <c r="C9578" t="inlineStr">
        <is>
          <t>57aae8a4-582b-4309-8045-c8127a9f86ae</t>
        </is>
      </c>
      <c r="D9578" t="n">
        <v>55.82249</v>
      </c>
      <c r="E9578" t="n">
        <v>37.72929</v>
      </c>
      <c r="F9578" t="inlineStr"/>
      <c r="G9578" t="inlineStr"/>
      <c r="H9578" t="inlineStr"/>
    </row>
    <row r="9579">
      <c r="A9579" t="inlineStr">
        <is>
          <t>fc310986-405b-4490-a1df-2537859d7b02.jpg</t>
        </is>
      </c>
      <c r="B9579">
        <f>HYPERLINK("Объекты недвижимости, не соответствующие градостроительным нормам_00-022_Август/fc310986-405b-4490-a1df-2537859d7b02.jpg","open")</f>
        <v/>
      </c>
      <c r="C9579" t="inlineStr">
        <is>
          <t>caa4772d-6278-4484-a046-ee25514bf521</t>
        </is>
      </c>
      <c r="D9579" t="n">
        <v>55.96462</v>
      </c>
      <c r="E9579" t="n">
        <v>37.41531</v>
      </c>
      <c r="F9579" t="inlineStr"/>
      <c r="G9579" t="inlineStr"/>
      <c r="H9579" t="inlineStr"/>
    </row>
    <row r="9580">
      <c r="A9580" t="inlineStr">
        <is>
          <t>3d9c586b-81c9-4831-a862-650d2373fba6.jpg</t>
        </is>
      </c>
      <c r="B9580">
        <f>HYPERLINK("Объекты недвижимости, не соответствующие градостроительным нормам_00-022_Август/3d9c586b-81c9-4831-a862-650d2373fba6.jpg","open")</f>
        <v/>
      </c>
      <c r="C9580" t="inlineStr">
        <is>
          <t>12e795ad-2aa7-49de-b2da-2c6aa35a4559</t>
        </is>
      </c>
      <c r="D9580" t="n">
        <v>55.68368</v>
      </c>
      <c r="E9580" t="n">
        <v>37.56516</v>
      </c>
      <c r="F9580" t="inlineStr"/>
      <c r="G9580" t="inlineStr"/>
      <c r="H9580" t="inlineStr"/>
    </row>
    <row r="9581">
      <c r="A9581" t="inlineStr">
        <is>
          <t>56f7afac-dacc-4374-9b4f-9e02653fec23.jpg</t>
        </is>
      </c>
      <c r="B9581">
        <f>HYPERLINK("Объекты недвижимости, не соответствующие градостроительным нормам_00-022_Август/56f7afac-dacc-4374-9b4f-9e02653fec23.jpg","open")</f>
        <v/>
      </c>
      <c r="C9581" t="inlineStr">
        <is>
          <t>8cde1fd0-eca1-4510-86ab-3c743b65fdfc</t>
        </is>
      </c>
      <c r="D9581" t="n">
        <v>55.79052</v>
      </c>
      <c r="E9581" t="n">
        <v>37.68225</v>
      </c>
      <c r="F9581" t="inlineStr"/>
      <c r="G9581" t="inlineStr"/>
      <c r="H9581" t="inlineStr"/>
    </row>
    <row r="9582">
      <c r="A9582" t="inlineStr">
        <is>
          <t>ca451260-3233-4d46-be99-1f570701c8a6.jpg</t>
        </is>
      </c>
      <c r="B9582">
        <f>HYPERLINK("Объекты недвижимости, не соответствующие градостроительным нормам_00-022_Август/ca451260-3233-4d46-be99-1f570701c8a6.jpg","open")</f>
        <v/>
      </c>
      <c r="C9582" t="inlineStr">
        <is>
          <t>12e795ad-2aa7-49de-b2da-2c6aa35a4559</t>
        </is>
      </c>
      <c r="D9582" t="n">
        <v>55.68489</v>
      </c>
      <c r="E9582" t="n">
        <v>37.56539</v>
      </c>
      <c r="F9582" t="inlineStr"/>
      <c r="G9582" t="inlineStr"/>
      <c r="H9582" t="inlineStr"/>
    </row>
    <row r="9583">
      <c r="A9583" t="inlineStr">
        <is>
          <t>58b3dc48-f2cd-422d-867b-ad881897e2ec.jpg</t>
        </is>
      </c>
      <c r="B9583">
        <f>HYPERLINK("Объекты недвижимости, не соответствующие градостроительным нормам_00-022_Август/58b3dc48-f2cd-422d-867b-ad881897e2ec.jpg","open")</f>
        <v/>
      </c>
      <c r="C9583" t="inlineStr">
        <is>
          <t>99f3abba-c55b-49f0-9de5-9f88e9597cc0</t>
        </is>
      </c>
      <c r="D9583" t="n">
        <v>55.59315</v>
      </c>
      <c r="E9583" t="n">
        <v>37.65055</v>
      </c>
      <c r="F9583" t="inlineStr"/>
      <c r="G9583" t="inlineStr"/>
      <c r="H9583" t="inlineStr"/>
    </row>
    <row r="9584">
      <c r="A9584" t="inlineStr">
        <is>
          <t>37a3457a-ff70-48a8-a703-32c47c41cfbe.jpg</t>
        </is>
      </c>
      <c r="B9584">
        <f>HYPERLINK("Объекты недвижимости, не соответствующие градостроительным нормам_00-022_Август/37a3457a-ff70-48a8-a703-32c47c41cfbe.jpg","open")</f>
        <v/>
      </c>
      <c r="C9584" t="inlineStr">
        <is>
          <t>b0429a31-0c70-4b9f-8ea5-73929d82f89e</t>
        </is>
      </c>
      <c r="D9584" t="n">
        <v>55.59353</v>
      </c>
      <c r="E9584" t="n">
        <v>37.64735</v>
      </c>
      <c r="F9584" t="inlineStr"/>
      <c r="G9584" t="inlineStr"/>
      <c r="H9584" t="inlineStr"/>
    </row>
    <row r="9585">
      <c r="A9585" t="inlineStr">
        <is>
          <t>262df1ff-6c04-4d61-ab51-d40c2a4d97be.jpg</t>
        </is>
      </c>
      <c r="B9585">
        <f>HYPERLINK("Объекты недвижимости, не соответствующие градостроительным нормам_00-022_Август/262df1ff-6c04-4d61-ab51-d40c2a4d97be.jpg","open")</f>
        <v/>
      </c>
      <c r="C9585" t="inlineStr">
        <is>
          <t>1a55986c-2c3f-40c0-b3d1-014dce77832e</t>
        </is>
      </c>
      <c r="D9585" t="n">
        <v>55.89825</v>
      </c>
      <c r="E9585" t="n">
        <v>37.60386</v>
      </c>
      <c r="F9585" t="inlineStr"/>
      <c r="G9585" t="inlineStr"/>
      <c r="H9585" t="inlineStr"/>
    </row>
    <row r="9586">
      <c r="A9586" t="inlineStr">
        <is>
          <t>b96b7012-6f69-4260-92ca-f570f5d744c9.jpg</t>
        </is>
      </c>
      <c r="B9586">
        <f>HYPERLINK("Объекты недвижимости, не соответствующие градостроительным нормам_00-022_Август/b96b7012-6f69-4260-92ca-f570f5d744c9.jpg","open")</f>
        <v/>
      </c>
      <c r="C9586" t="inlineStr">
        <is>
          <t>e85aff3b-73e8-4856-827e-477ccc0aea77</t>
        </is>
      </c>
      <c r="D9586" t="n">
        <v>55.98305</v>
      </c>
      <c r="E9586" t="n">
        <v>37.40387</v>
      </c>
      <c r="F9586" t="inlineStr"/>
      <c r="G9586" t="inlineStr"/>
      <c r="H9586" t="inlineStr"/>
    </row>
    <row r="9587">
      <c r="A9587" t="inlineStr">
        <is>
          <t>a550b27c-2d37-4b8f-aeae-2b9d5aa65f1e.jpg</t>
        </is>
      </c>
      <c r="B9587">
        <f>HYPERLINK("Объекты недвижимости, не соответствующие градостроительным нормам_00-022_Август/a550b27c-2d37-4b8f-aeae-2b9d5aa65f1e.jpg","open")</f>
        <v/>
      </c>
      <c r="C9587" t="inlineStr">
        <is>
          <t>caa4772d-6278-4484-a046-ee25514bf521</t>
        </is>
      </c>
      <c r="D9587" t="n">
        <v>55.77869</v>
      </c>
      <c r="E9587" t="n">
        <v>37.45481</v>
      </c>
      <c r="F9587" t="inlineStr"/>
      <c r="G9587" t="inlineStr"/>
      <c r="H9587" t="inlineStr"/>
    </row>
    <row r="9588">
      <c r="A9588" t="inlineStr">
        <is>
          <t>2a4dc3e9-e280-40dd-991a-f56b0e688b6e.jpg</t>
        </is>
      </c>
      <c r="B9588">
        <f>HYPERLINK("Объекты недвижимости, не соответствующие градостроительным нормам_00-022_Август/2a4dc3e9-e280-40dd-991a-f56b0e688b6e.jpg","open")</f>
        <v/>
      </c>
      <c r="C9588" t="inlineStr">
        <is>
          <t>1c951e11-4940-43c6-a447-394097e5609a</t>
        </is>
      </c>
      <c r="D9588" t="n">
        <v>55.78695</v>
      </c>
      <c r="E9588" t="n">
        <v>37.67318</v>
      </c>
      <c r="F9588" t="inlineStr"/>
      <c r="G9588" t="inlineStr"/>
      <c r="H9588" t="inlineStr"/>
    </row>
    <row r="9589">
      <c r="A9589" t="inlineStr">
        <is>
          <t>50cd239a-928e-4044-8017-2d1b1781175a.jpg</t>
        </is>
      </c>
      <c r="B9589">
        <f>HYPERLINK("Объекты недвижимости, не соответствующие градостроительным нормам_00-022_Август/50cd239a-928e-4044-8017-2d1b1781175a.jpg","open")</f>
        <v/>
      </c>
      <c r="C9589" t="inlineStr">
        <is>
          <t>0ae6fd20-177f-4af7-9257-efb3c784b357</t>
        </is>
      </c>
      <c r="D9589" t="n">
        <v>55.98305</v>
      </c>
      <c r="E9589" t="n">
        <v>37.40387</v>
      </c>
      <c r="F9589" t="inlineStr"/>
      <c r="G9589" t="inlineStr"/>
      <c r="H9589" t="inlineStr"/>
    </row>
    <row r="9590">
      <c r="A9590" t="inlineStr">
        <is>
          <t>221d99c5-286f-430f-a25d-9385df92ddcf.jpg</t>
        </is>
      </c>
      <c r="B9590">
        <f>HYPERLINK("Объекты недвижимости, не соответствующие градостроительным нормам_00-022_Август/221d99c5-286f-430f-a25d-9385df92ddcf.jpg","open")</f>
        <v/>
      </c>
      <c r="C9590" t="inlineStr">
        <is>
          <t>31a713a9-b910-424b-b847-e0eaa2f70c70</t>
        </is>
      </c>
      <c r="D9590" t="n">
        <v>55.73905</v>
      </c>
      <c r="E9590" t="n">
        <v>37.6194</v>
      </c>
      <c r="F9590" t="inlineStr"/>
      <c r="G9590" t="inlineStr"/>
      <c r="H9590" t="inlineStr"/>
    </row>
    <row r="9591">
      <c r="A9591" t="inlineStr">
        <is>
          <t>4deb4fee-c166-4851-8726-8ec0297c0a55.jpg</t>
        </is>
      </c>
      <c r="B9591">
        <f>HYPERLINK("Объекты недвижимости, не соответствующие градостроительным нормам_00-022_Август/4deb4fee-c166-4851-8726-8ec0297c0a55.jpg","open")</f>
        <v/>
      </c>
      <c r="C9591" t="inlineStr">
        <is>
          <t>1c951e11-4940-43c6-a447-394097e5609a</t>
        </is>
      </c>
      <c r="D9591" t="n">
        <v>55.78877</v>
      </c>
      <c r="E9591" t="n">
        <v>37.66394</v>
      </c>
      <c r="F9591" t="inlineStr"/>
      <c r="G9591" t="inlineStr"/>
      <c r="H9591" t="inlineStr"/>
    </row>
    <row r="9592">
      <c r="A9592" t="inlineStr">
        <is>
          <t>f505095e-3210-49b0-ad2b-ca4e8b01e0a4.jpg</t>
        </is>
      </c>
      <c r="B9592">
        <f>HYPERLINK("Объекты недвижимости, не соответствующие градостроительным нормам_00-022_Август/f505095e-3210-49b0-ad2b-ca4e8b01e0a4.jpg","open")</f>
        <v/>
      </c>
      <c r="C9592" t="inlineStr">
        <is>
          <t>8cde1fd0-eca1-4510-86ab-3c743b65fdfc</t>
        </is>
      </c>
      <c r="D9592" t="n">
        <v>55.78806</v>
      </c>
      <c r="E9592" t="n">
        <v>37.66175</v>
      </c>
      <c r="F9592" t="inlineStr"/>
      <c r="G9592" t="inlineStr"/>
      <c r="H9592" t="inlineStr"/>
    </row>
    <row r="9593">
      <c r="A9593" t="inlineStr">
        <is>
          <t>40e6c623-6f6a-4f42-a915-ae3bebb70026.jpg</t>
        </is>
      </c>
      <c r="B9593">
        <f>HYPERLINK("Объекты недвижимости, не соответствующие градостроительным нормам_00-022_Август/40e6c623-6f6a-4f42-a915-ae3bebb70026.jpg","open")</f>
        <v/>
      </c>
      <c r="C9593" t="inlineStr">
        <is>
          <t>31a713a9-b910-424b-b847-e0eaa2f70c70</t>
        </is>
      </c>
      <c r="D9593" t="n">
        <v>55.73905</v>
      </c>
      <c r="E9593" t="n">
        <v>37.6194</v>
      </c>
      <c r="F9593" t="inlineStr"/>
      <c r="G9593" t="inlineStr"/>
      <c r="H9593" t="inlineStr"/>
    </row>
    <row r="9594">
      <c r="A9594" t="inlineStr">
        <is>
          <t>9b27b372-1ab8-49ac-9f68-a5dacf6f3b3f.jpg</t>
        </is>
      </c>
      <c r="B9594">
        <f>HYPERLINK("Объекты недвижимости, не соответствующие градостроительным нормам_00-022_Август/9b27b372-1ab8-49ac-9f68-a5dacf6f3b3f.jpg","open")</f>
        <v/>
      </c>
      <c r="C9594" t="inlineStr">
        <is>
          <t>31a713a9-b910-424b-b847-e0eaa2f70c70</t>
        </is>
      </c>
      <c r="D9594" t="n">
        <v>55.73905</v>
      </c>
      <c r="E9594" t="n">
        <v>37.6194</v>
      </c>
      <c r="F9594" t="inlineStr"/>
      <c r="G9594" t="inlineStr"/>
      <c r="H9594" t="inlineStr"/>
    </row>
    <row r="9595">
      <c r="A9595" t="inlineStr">
        <is>
          <t>b5e8be17-9d8e-4033-823e-ecdc8403abd0.jpg</t>
        </is>
      </c>
      <c r="B9595">
        <f>HYPERLINK("Объекты недвижимости, не соответствующие градостроительным нормам_00-022_Август/b5e8be17-9d8e-4033-823e-ecdc8403abd0.jpg","open")</f>
        <v/>
      </c>
      <c r="C9595" t="inlineStr">
        <is>
          <t>750bf7e4-0f0f-4f1a-96af-607dc8c1f1c9</t>
        </is>
      </c>
      <c r="D9595" t="n">
        <v>55.73905</v>
      </c>
      <c r="E9595" t="n">
        <v>37.6194</v>
      </c>
      <c r="F9595" t="inlineStr"/>
      <c r="G9595" t="inlineStr"/>
      <c r="H9595" t="inlineStr"/>
    </row>
    <row r="9596">
      <c r="A9596" t="inlineStr">
        <is>
          <t>c09b0876-c46c-4ed6-9633-46ed31281a94.jpg</t>
        </is>
      </c>
      <c r="B9596">
        <f>HYPERLINK("Объекты недвижимости, не соответствующие градостроительным нормам_00-022_Август/c09b0876-c46c-4ed6-9633-46ed31281a94.jpg","open")</f>
        <v/>
      </c>
      <c r="C9596" t="inlineStr">
        <is>
          <t>8cde1fd0-eca1-4510-86ab-3c743b65fdfc</t>
        </is>
      </c>
      <c r="D9596" t="n">
        <v>55.78902</v>
      </c>
      <c r="E9596" t="n">
        <v>37.66014</v>
      </c>
      <c r="F9596" t="inlineStr"/>
      <c r="G9596" t="inlineStr"/>
      <c r="H9596" t="inlineStr"/>
    </row>
    <row r="9597">
      <c r="A9597" t="inlineStr">
        <is>
          <t>67be2e16-e860-4a4a-9571-c0f77d737415.jpg</t>
        </is>
      </c>
      <c r="B9597">
        <f>HYPERLINK("Объекты недвижимости, не соответствующие градостроительным нормам_00-022_Август/67be2e16-e860-4a4a-9571-c0f77d737415.jpg","open")</f>
        <v/>
      </c>
      <c r="C9597" t="inlineStr">
        <is>
          <t>93848fc8-17e7-4748-9ebc-c7e379e11d2f</t>
        </is>
      </c>
      <c r="D9597" t="n">
        <v>55.49325</v>
      </c>
      <c r="E9597" t="n">
        <v>37.4365</v>
      </c>
      <c r="F9597" t="inlineStr"/>
      <c r="G9597" t="inlineStr"/>
      <c r="H9597" t="inlineStr"/>
    </row>
    <row r="9598">
      <c r="A9598" t="inlineStr">
        <is>
          <t>6200535c-fb25-47cb-b306-5c77b8517c05.jpg</t>
        </is>
      </c>
      <c r="B9598">
        <f>HYPERLINK("Объекты недвижимости, не соответствующие градостроительным нормам_00-022_Август/6200535c-fb25-47cb-b306-5c77b8517c05.jpg","open")</f>
        <v/>
      </c>
      <c r="C9598" t="inlineStr">
        <is>
          <t>31a713a9-b910-424b-b847-e0eaa2f70c70</t>
        </is>
      </c>
      <c r="D9598" t="n">
        <v>55.77248</v>
      </c>
      <c r="E9598" t="n">
        <v>37.6754</v>
      </c>
      <c r="F9598" t="inlineStr"/>
      <c r="G9598" t="inlineStr"/>
      <c r="H9598" t="inlineStr"/>
    </row>
    <row r="9599">
      <c r="A9599" t="inlineStr">
        <is>
          <t>79afa920-ff51-4c5a-8f77-2d00288aed17.jpg</t>
        </is>
      </c>
      <c r="B9599">
        <f>HYPERLINK("Объекты недвижимости, не соответствующие градостроительным нормам_00-022_Август/79afa920-ff51-4c5a-8f77-2d00288aed17.jpg","open")</f>
        <v/>
      </c>
      <c r="C9599" t="inlineStr">
        <is>
          <t>ad64e6b9-1ed5-44d7-a101-4945a1f9dec6</t>
        </is>
      </c>
      <c r="D9599" t="n">
        <v>55.69649</v>
      </c>
      <c r="E9599" t="n">
        <v>37.57425</v>
      </c>
      <c r="F9599" t="inlineStr"/>
      <c r="G9599" t="inlineStr"/>
      <c r="H9599" t="inlineStr"/>
    </row>
    <row r="9600">
      <c r="A9600" t="inlineStr">
        <is>
          <t>77814317-aa0b-40d5-8f31-f6cb37c198e5.jpg</t>
        </is>
      </c>
      <c r="B9600">
        <f>HYPERLINK("Объекты недвижимости, не соответствующие градостроительным нормам_00-022_Август/77814317-aa0b-40d5-8f31-f6cb37c198e5.jpg","open")</f>
        <v/>
      </c>
      <c r="C9600" t="inlineStr">
        <is>
          <t>8cde1fd0-eca1-4510-86ab-3c743b65fdfc</t>
        </is>
      </c>
      <c r="D9600" t="n">
        <v>55.79041</v>
      </c>
      <c r="E9600" t="n">
        <v>37.65602</v>
      </c>
      <c r="F9600" t="inlineStr"/>
      <c r="G9600" t="inlineStr"/>
      <c r="H9600" t="inlineStr"/>
    </row>
    <row r="9601">
      <c r="A9601" t="inlineStr">
        <is>
          <t>a0ed0e00-f405-44a1-8725-d90a101353b6.jpg</t>
        </is>
      </c>
      <c r="B9601">
        <f>HYPERLINK("Объекты недвижимости, не соответствующие градостроительным нормам_00-022_Август/a0ed0e00-f405-44a1-8725-d90a101353b6.jpg","open")</f>
        <v/>
      </c>
      <c r="C9601" t="inlineStr">
        <is>
          <t>b0b7ea82-53be-40d0-b992-e2fd18611d5c</t>
        </is>
      </c>
      <c r="D9601" t="n">
        <v>55.73086</v>
      </c>
      <c r="E9601" t="n">
        <v>37.7254</v>
      </c>
      <c r="F9601" t="inlineStr"/>
      <c r="G9601" t="inlineStr"/>
      <c r="H9601" t="inlineStr"/>
    </row>
    <row r="9602">
      <c r="A9602" t="inlineStr">
        <is>
          <t>6727e7a5-8016-48e4-82f3-0967314ab7e0.jpg</t>
        </is>
      </c>
      <c r="B9602">
        <f>HYPERLINK("Объекты недвижимости, не соответствующие градостроительным нормам_00-022_Август/6727e7a5-8016-48e4-82f3-0967314ab7e0.jpg","open")</f>
        <v/>
      </c>
      <c r="C9602" t="inlineStr">
        <is>
          <t>caa4772d-6278-4484-a046-ee25514bf521</t>
        </is>
      </c>
      <c r="D9602" t="n">
        <v>55.76722</v>
      </c>
      <c r="E9602" t="n">
        <v>37.47532</v>
      </c>
      <c r="F9602" t="inlineStr"/>
      <c r="G9602" t="inlineStr"/>
      <c r="H9602" t="inlineStr"/>
    </row>
    <row r="9603">
      <c r="A9603" t="inlineStr">
        <is>
          <t>c6d207e4-f439-4696-96cc-f70d531804a3.jpg</t>
        </is>
      </c>
      <c r="B9603">
        <f>HYPERLINK("Объекты недвижимости, не соответствующие градостроительным нормам_00-022_Август/c6d207e4-f439-4696-96cc-f70d531804a3.jpg","open")</f>
        <v/>
      </c>
      <c r="C9603" t="inlineStr">
        <is>
          <t>b0429a31-0c70-4b9f-8ea5-73929d82f89e</t>
        </is>
      </c>
      <c r="D9603" t="n">
        <v>55.58631</v>
      </c>
      <c r="E9603" t="n">
        <v>37.65482</v>
      </c>
      <c r="F9603" t="inlineStr"/>
      <c r="G9603" t="inlineStr"/>
      <c r="H9603" t="inlineStr"/>
    </row>
    <row r="9604">
      <c r="A9604" t="inlineStr">
        <is>
          <t>e89a1cd0-adcb-4c98-9e13-91840ac3cfab.jpg</t>
        </is>
      </c>
      <c r="B9604">
        <f>HYPERLINK("Объекты недвижимости, не соответствующие градостроительным нормам_00-022_Август/e89a1cd0-adcb-4c98-9e13-91840ac3cfab.jpg","open")</f>
        <v/>
      </c>
      <c r="C9604" t="inlineStr">
        <is>
          <t>8996eb30-6497-4318-8a0e-b95314b8172e</t>
        </is>
      </c>
      <c r="D9604" t="n">
        <v>55.70969</v>
      </c>
      <c r="E9604" t="n">
        <v>37.52243</v>
      </c>
      <c r="F9604" t="inlineStr"/>
      <c r="G9604" t="inlineStr"/>
      <c r="H9604" t="inlineStr"/>
    </row>
    <row r="9605">
      <c r="A9605" t="inlineStr">
        <is>
          <t>423fc7d8-2460-4d57-a024-9a6480a5e029.jpg</t>
        </is>
      </c>
      <c r="B9605">
        <f>HYPERLINK("Объекты недвижимости, не соответствующие градостроительным нормам_00-022_Август/423fc7d8-2460-4d57-a024-9a6480a5e029.jpg","open")</f>
        <v/>
      </c>
      <c r="C9605" t="inlineStr">
        <is>
          <t>ed2bf0f1-3a66-4913-896e-4420a9796c0b</t>
        </is>
      </c>
      <c r="D9605" t="n">
        <v>55.84542</v>
      </c>
      <c r="E9605" t="n">
        <v>37.64658</v>
      </c>
      <c r="F9605" t="inlineStr"/>
      <c r="G9605" t="inlineStr"/>
      <c r="H9605" t="inlineStr"/>
    </row>
    <row r="9606">
      <c r="A9606" t="inlineStr">
        <is>
          <t>e8f13b89-0f47-4ebb-b923-e572d67855f3.jpg</t>
        </is>
      </c>
      <c r="B9606">
        <f>HYPERLINK("Объекты недвижимости, не соответствующие градостроительным нормам_00-022_Август/e8f13b89-0f47-4ebb-b923-e572d67855f3.jpg","open")</f>
        <v/>
      </c>
      <c r="C9606" t="inlineStr">
        <is>
          <t>8cde1fd0-eca1-4510-86ab-3c743b65fdfc</t>
        </is>
      </c>
      <c r="D9606" t="n">
        <v>55.81842</v>
      </c>
      <c r="E9606" t="n">
        <v>37.67352</v>
      </c>
      <c r="F9606" t="inlineStr"/>
      <c r="G9606" t="inlineStr"/>
      <c r="H9606" t="inlineStr"/>
    </row>
    <row r="9607">
      <c r="A9607" t="inlineStr">
        <is>
          <t>7ea8492f-0e0f-43c3-872c-5a91ecc5b051.jpg</t>
        </is>
      </c>
      <c r="B9607">
        <f>HYPERLINK("Объекты недвижимости, не соответствующие градостроительным нормам_00-022_Август/7ea8492f-0e0f-43c3-872c-5a91ecc5b051.jpg","open")</f>
        <v/>
      </c>
      <c r="C9607" t="inlineStr">
        <is>
          <t>12e795ad-2aa7-49de-b2da-2c6aa35a4559</t>
        </is>
      </c>
      <c r="D9607" t="n">
        <v>55.69699</v>
      </c>
      <c r="E9607" t="n">
        <v>37.57133</v>
      </c>
      <c r="F9607" t="inlineStr"/>
      <c r="G9607" t="inlineStr"/>
      <c r="H9607" t="inlineStr"/>
    </row>
    <row r="9608">
      <c r="A9608" t="inlineStr">
        <is>
          <t>d8b606af-d27d-4980-909f-0b3f4b277af5.jpg</t>
        </is>
      </c>
      <c r="B9608">
        <f>HYPERLINK("Объекты недвижимости, не соответствующие градостроительным нормам_00-022_Август/d8b606af-d27d-4980-909f-0b3f4b277af5.jpg","open")</f>
        <v/>
      </c>
      <c r="C9608" t="inlineStr">
        <is>
          <t>f20fbc2b-b369-4734-bb66-92af02fbb0d1</t>
        </is>
      </c>
      <c r="D9608" t="n">
        <v>55.73222</v>
      </c>
      <c r="E9608" t="n">
        <v>37.72374</v>
      </c>
      <c r="F9608" t="inlineStr"/>
      <c r="G9608" t="inlineStr"/>
      <c r="H9608" t="inlineStr"/>
    </row>
    <row r="9609">
      <c r="A9609" t="inlineStr">
        <is>
          <t>7e45e3b6-acde-4e92-b88c-0a8f20968c47.jpg</t>
        </is>
      </c>
      <c r="B9609">
        <f>HYPERLINK("Объекты недвижимости, не соответствующие градостроительным нормам_00-022_Август/7e45e3b6-acde-4e92-b88c-0a8f20968c47.jpg","open")</f>
        <v/>
      </c>
      <c r="C9609" t="inlineStr">
        <is>
          <t>f20fbc2b-b369-4734-bb66-92af02fbb0d1</t>
        </is>
      </c>
      <c r="D9609" t="n">
        <v>55.73222</v>
      </c>
      <c r="E9609" t="n">
        <v>37.72374</v>
      </c>
      <c r="F9609" t="inlineStr"/>
      <c r="G9609" t="inlineStr"/>
      <c r="H9609" t="inlineStr"/>
    </row>
    <row r="9610">
      <c r="A9610" t="inlineStr">
        <is>
          <t>192c3805-628f-47b8-8e0e-ab52970d4ab6.jpg</t>
        </is>
      </c>
      <c r="B9610">
        <f>HYPERLINK("Объекты недвижимости, не соответствующие градостроительным нормам_00-022_Август/192c3805-628f-47b8-8e0e-ab52970d4ab6.jpg","open")</f>
        <v/>
      </c>
      <c r="C9610" t="inlineStr">
        <is>
          <t>685d9054-b74f-49ab-857b-109fd2cec80d</t>
        </is>
      </c>
      <c r="D9610" t="n">
        <v>55.74286</v>
      </c>
      <c r="E9610" t="n">
        <v>37.69801</v>
      </c>
      <c r="F9610" t="inlineStr"/>
      <c r="G9610" t="inlineStr"/>
      <c r="H9610" t="inlineStr"/>
    </row>
    <row r="9611">
      <c r="A9611" t="inlineStr">
        <is>
          <t>8e1dfe79-a479-4835-81ff-260478e53511.jpg</t>
        </is>
      </c>
      <c r="B9611">
        <f>HYPERLINK("Объекты недвижимости, не соответствующие градостроительным нормам_00-022_Август/8e1dfe79-a479-4835-81ff-260478e53511.jpg","open")</f>
        <v/>
      </c>
      <c r="C9611" t="inlineStr">
        <is>
          <t>b0b7ea82-53be-40d0-b992-e2fd18611d5c</t>
        </is>
      </c>
      <c r="D9611" t="n">
        <v>55.73755</v>
      </c>
      <c r="E9611" t="n">
        <v>37.70477</v>
      </c>
      <c r="F9611" t="inlineStr"/>
      <c r="G9611" t="inlineStr"/>
      <c r="H9611" t="inlineStr"/>
    </row>
    <row r="9612">
      <c r="A9612" t="inlineStr">
        <is>
          <t>c3b2de98-f644-4c17-b474-1a4f66788736.jpg</t>
        </is>
      </c>
      <c r="B9612">
        <f>HYPERLINK("Объекты недвижимости, не соответствующие градостроительным нормам_00-022_Август/c3b2de98-f644-4c17-b474-1a4f66788736.jpg","open")</f>
        <v/>
      </c>
      <c r="C9612" t="inlineStr">
        <is>
          <t>b0b7ea82-53be-40d0-b992-e2fd18611d5c</t>
        </is>
      </c>
      <c r="D9612" t="n">
        <v>55.73788</v>
      </c>
      <c r="E9612" t="n">
        <v>37.70276</v>
      </c>
      <c r="F9612" t="inlineStr"/>
      <c r="G9612" t="inlineStr"/>
      <c r="H9612" t="inlineStr"/>
    </row>
    <row r="9613">
      <c r="A9613" t="inlineStr">
        <is>
          <t>aa3afbc3-0584-44b6-8e63-6bdd62462065.jpg</t>
        </is>
      </c>
      <c r="B9613">
        <f>HYPERLINK("Объекты недвижимости, не соответствующие градостроительным нормам_00-022_Август/aa3afbc3-0584-44b6-8e63-6bdd62462065.jpg","open")</f>
        <v/>
      </c>
      <c r="C9613" t="inlineStr">
        <is>
          <t>f20fbc2b-b369-4734-bb66-92af02fbb0d1</t>
        </is>
      </c>
      <c r="D9613" t="n">
        <v>55.73816</v>
      </c>
      <c r="E9613" t="n">
        <v>37.70229</v>
      </c>
      <c r="F9613" t="inlineStr"/>
      <c r="G9613" t="inlineStr"/>
      <c r="H9613" t="inlineStr"/>
    </row>
    <row r="9614">
      <c r="A9614" t="inlineStr">
        <is>
          <t>96926322-f5fb-4e9d-9228-4ed945cbe20c.jpg</t>
        </is>
      </c>
      <c r="B9614">
        <f>HYPERLINK("Объекты недвижимости, не соответствующие градостроительным нормам_00-022_Август/96926322-f5fb-4e9d-9228-4ed945cbe20c.jpg","open")</f>
        <v/>
      </c>
      <c r="C9614" t="inlineStr">
        <is>
          <t>8996eb30-6497-4318-8a0e-b95314b8172e</t>
        </is>
      </c>
      <c r="D9614" t="n">
        <v>55.68736</v>
      </c>
      <c r="E9614" t="n">
        <v>37.68658</v>
      </c>
      <c r="F9614" t="inlineStr"/>
      <c r="G9614" t="inlineStr"/>
      <c r="H9614" t="inlineStr"/>
    </row>
    <row r="9615">
      <c r="A9615" t="inlineStr">
        <is>
          <t>4ef52702-eaf5-482c-bcfd-bc597e3254ee.jpg</t>
        </is>
      </c>
      <c r="B9615">
        <f>HYPERLINK("Объекты недвижимости, не соответствующие градостроительным нормам_00-022_Август/4ef52702-eaf5-482c-bcfd-bc597e3254ee.jpg","open")</f>
        <v/>
      </c>
      <c r="C9615" t="inlineStr">
        <is>
          <t>1a55986c-2c3f-40c0-b3d1-014dce77832e</t>
        </is>
      </c>
      <c r="D9615" t="n">
        <v>55.72453</v>
      </c>
      <c r="E9615" t="n">
        <v>37.88464</v>
      </c>
      <c r="F9615" t="inlineStr"/>
      <c r="G9615" t="inlineStr"/>
      <c r="H9615" t="inlineStr"/>
    </row>
    <row r="9616">
      <c r="A9616" t="inlineStr">
        <is>
          <t>2dca85aa-b2de-45eb-b5cb-ca35894e4c98.jpg</t>
        </is>
      </c>
      <c r="B9616">
        <f>HYPERLINK("Объекты недвижимости, не соответствующие градостроительным нормам_00-022_Август/2dca85aa-b2de-45eb-b5cb-ca35894e4c98.jpg","open")</f>
        <v/>
      </c>
      <c r="C9616" t="inlineStr">
        <is>
          <t>12e795ad-2aa7-49de-b2da-2c6aa35a4559</t>
        </is>
      </c>
      <c r="D9616" t="n">
        <v>55.74813</v>
      </c>
      <c r="E9616" t="n">
        <v>37.69857</v>
      </c>
      <c r="F9616" t="inlineStr"/>
      <c r="G9616" t="inlineStr"/>
      <c r="H9616" t="inlineStr"/>
    </row>
    <row r="9617">
      <c r="A9617" t="inlineStr">
        <is>
          <t>574306b2-c5fa-4327-9b4f-fef3203b02ba.jpg</t>
        </is>
      </c>
      <c r="B9617">
        <f>HYPERLINK("Объекты недвижимости, не соответствующие градостроительным нормам_00-022_Август/574306b2-c5fa-4327-9b4f-fef3203b02ba.jpg","open")</f>
        <v/>
      </c>
      <c r="C9617" t="inlineStr">
        <is>
          <t>caa4772d-6278-4484-a046-ee25514bf521</t>
        </is>
      </c>
      <c r="D9617" t="n">
        <v>55.78965</v>
      </c>
      <c r="E9617" t="n">
        <v>37.65377</v>
      </c>
      <c r="F9617" t="inlineStr"/>
      <c r="G9617" t="inlineStr"/>
      <c r="H9617" t="inlineStr"/>
    </row>
    <row r="9618">
      <c r="A9618" t="inlineStr">
        <is>
          <t>2f371e83-06ba-4d26-a3f4-e9b4d597c285.jpg</t>
        </is>
      </c>
      <c r="B9618">
        <f>HYPERLINK("Объекты недвижимости, не соответствующие градостроительным нормам_00-022_Август/2f371e83-06ba-4d26-a3f4-e9b4d597c285.jpg","open")</f>
        <v/>
      </c>
      <c r="C9618" t="inlineStr">
        <is>
          <t>caa4772d-6278-4484-a046-ee25514bf521</t>
        </is>
      </c>
      <c r="D9618" t="n">
        <v>55.7565</v>
      </c>
      <c r="E9618" t="n">
        <v>37.68989</v>
      </c>
      <c r="F9618" t="inlineStr"/>
      <c r="G9618" t="inlineStr"/>
      <c r="H9618" t="inlineStr"/>
    </row>
    <row r="9619">
      <c r="A9619" t="inlineStr">
        <is>
          <t>5e4c89e7-c501-466f-849b-83a35080fdc1.jpg</t>
        </is>
      </c>
      <c r="B9619">
        <f>HYPERLINK("Объекты недвижимости, не соответствующие градостроительным нормам_00-022_Август/5e4c89e7-c501-466f-849b-83a35080fdc1.jpg","open")</f>
        <v/>
      </c>
      <c r="C9619" t="inlineStr">
        <is>
          <t>61936922-4d4b-458e-80ea-6d4c450aa1d5</t>
        </is>
      </c>
      <c r="D9619" t="n">
        <v>55.7963</v>
      </c>
      <c r="E9619" t="n">
        <v>37.6929</v>
      </c>
      <c r="F9619" t="inlineStr"/>
      <c r="G9619" t="inlineStr"/>
      <c r="H9619" t="inlineStr"/>
    </row>
    <row r="9620">
      <c r="A9620" t="inlineStr">
        <is>
          <t>d7dffa3a-fe75-46e6-8074-deac3d55dddc.jpg</t>
        </is>
      </c>
      <c r="B9620">
        <f>HYPERLINK("Объекты недвижимости, не соответствующие градостроительным нормам_00-022_Август/d7dffa3a-fe75-46e6-8074-deac3d55dddc.jpg","open")</f>
        <v/>
      </c>
      <c r="C9620" t="inlineStr">
        <is>
          <t>fb40ed24-21ef-458a-a239-038ab19932cc</t>
        </is>
      </c>
      <c r="D9620" t="n">
        <v>55.81939</v>
      </c>
      <c r="E9620" t="n">
        <v>37.75137</v>
      </c>
      <c r="F9620" t="inlineStr"/>
      <c r="G9620" t="inlineStr"/>
      <c r="H9620" t="inlineStr"/>
    </row>
    <row r="9621">
      <c r="A9621" t="inlineStr">
        <is>
          <t>d16c9f1f-c341-4716-97ff-c28d25561720.jpg</t>
        </is>
      </c>
      <c r="B9621">
        <f>HYPERLINK("Объекты недвижимости, не соответствующие градостроительным нормам_00-022_Август/d16c9f1f-c341-4716-97ff-c28d25561720.jpg","open")</f>
        <v/>
      </c>
      <c r="C9621" t="inlineStr">
        <is>
          <t>797901ad-53b1-41b8-99d1-d59d59c863d5</t>
        </is>
      </c>
      <c r="D9621" t="n">
        <v>55.81713</v>
      </c>
      <c r="E9621" t="n">
        <v>37.77816</v>
      </c>
      <c r="F9621" t="inlineStr"/>
      <c r="G9621" t="inlineStr"/>
      <c r="H9621" t="inlineStr"/>
    </row>
    <row r="9622">
      <c r="A9622" t="inlineStr">
        <is>
          <t>bc3c21d6-6867-495e-8426-2d95023900f8.jpg</t>
        </is>
      </c>
      <c r="B9622">
        <f>HYPERLINK("Объекты недвижимости, не соответствующие градостроительным нормам_00-022_Август/bc3c21d6-6867-495e-8426-2d95023900f8.jpg","open")</f>
        <v/>
      </c>
      <c r="C9622" t="inlineStr">
        <is>
          <t>5adecbcf-6742-48b8-951f-8e3abc9509e4</t>
        </is>
      </c>
      <c r="D9622" t="n">
        <v>55.67631</v>
      </c>
      <c r="E9622" t="n">
        <v>37.4373</v>
      </c>
      <c r="F9622" t="inlineStr"/>
      <c r="G9622" t="inlineStr"/>
      <c r="H9622" t="inlineStr"/>
    </row>
    <row r="9623">
      <c r="A9623" t="inlineStr">
        <is>
          <t>63c7e487-ed30-4f1c-a653-81868b6c6901.jpg</t>
        </is>
      </c>
      <c r="B9623">
        <f>HYPERLINK("Объекты недвижимости, не соответствующие градостроительным нормам_00-022_Август/63c7e487-ed30-4f1c-a653-81868b6c6901.jpg","open")</f>
        <v/>
      </c>
      <c r="C9623" t="inlineStr">
        <is>
          <t>5e5b9944-4f9e-4223-bf96-0bc0c8a93dfa</t>
        </is>
      </c>
      <c r="D9623" t="n">
        <v>55.96858</v>
      </c>
      <c r="E9623" t="n">
        <v>37.42941</v>
      </c>
      <c r="F9623" t="inlineStr"/>
      <c r="G9623" t="inlineStr"/>
      <c r="H9623" t="inlineStr"/>
    </row>
    <row r="9624">
      <c r="A9624" t="inlineStr">
        <is>
          <t>4848684d-077e-433a-b484-133c7e476a8c.jpg</t>
        </is>
      </c>
      <c r="B9624">
        <f>HYPERLINK("Объекты недвижимости, не соответствующие градостроительным нормам_00-022_Август/4848684d-077e-433a-b484-133c7e476a8c.jpg","open")</f>
        <v/>
      </c>
      <c r="C9624" t="inlineStr">
        <is>
          <t>4cd87d14-7440-44b7-a5b2-a738e10006f7</t>
        </is>
      </c>
      <c r="D9624" t="n">
        <v>55.76538</v>
      </c>
      <c r="E9624" t="n">
        <v>37.55289</v>
      </c>
      <c r="F9624" t="inlineStr"/>
      <c r="G9624" t="inlineStr"/>
      <c r="H9624" t="inlineStr"/>
    </row>
    <row r="9625">
      <c r="A9625" t="inlineStr">
        <is>
          <t>115e55c2-0a6b-4b63-8c6b-fe11672d58a7.jpg</t>
        </is>
      </c>
      <c r="B9625">
        <f>HYPERLINK("Объекты недвижимости, не соответствующие градостроительным нормам_00-022_Август/115e55c2-0a6b-4b63-8c6b-fe11672d58a7.jpg","open")</f>
        <v/>
      </c>
      <c r="C9625" t="inlineStr">
        <is>
          <t>e26f5fc2-1353-4f29-85f3-87c56419161c</t>
        </is>
      </c>
      <c r="D9625" t="n">
        <v>55.7657</v>
      </c>
      <c r="E9625" t="n">
        <v>37.55315</v>
      </c>
      <c r="F9625" t="inlineStr"/>
      <c r="G9625" t="inlineStr"/>
      <c r="H9625" t="inlineStr"/>
    </row>
    <row r="9626">
      <c r="A9626" t="inlineStr">
        <is>
          <t>7ca4a143-fee1-4afd-869c-abccc790cc07.jpg</t>
        </is>
      </c>
      <c r="B9626">
        <f>HYPERLINK("Объекты недвижимости, не соответствующие градостроительным нормам_00-022_Август/7ca4a143-fee1-4afd-869c-abccc790cc07.jpg","open")</f>
        <v/>
      </c>
      <c r="C9626" t="inlineStr">
        <is>
          <t>2ba4f567-3981-4fd7-ac4a-45e8b3d68429</t>
        </is>
      </c>
      <c r="D9626" t="n">
        <v>55.75323</v>
      </c>
      <c r="E9626" t="n">
        <v>37.58635</v>
      </c>
      <c r="F9626" t="inlineStr"/>
      <c r="G9626" t="inlineStr"/>
      <c r="H9626" t="inlineStr"/>
    </row>
    <row r="9627">
      <c r="A9627" t="inlineStr">
        <is>
          <t>455a30f1-ae42-4d61-9357-3467a5a0368f.jpg</t>
        </is>
      </c>
      <c r="B9627">
        <f>HYPERLINK("Объекты недвижимости, не соответствующие градостроительным нормам_00-022_Август/455a30f1-ae42-4d61-9357-3467a5a0368f.jpg","open")</f>
        <v/>
      </c>
      <c r="C9627" t="inlineStr">
        <is>
          <t>71239877-3cfe-4ed6-87a7-5c84ab51c75a</t>
        </is>
      </c>
      <c r="D9627" t="n">
        <v>55.75451</v>
      </c>
      <c r="E9627" t="n">
        <v>37.57963</v>
      </c>
      <c r="F9627" t="inlineStr"/>
      <c r="G9627" t="inlineStr"/>
      <c r="H9627" t="inlineStr"/>
    </row>
    <row r="9628">
      <c r="A9628" t="inlineStr">
        <is>
          <t>99f87c51-1c89-42a7-ae2e-d46f3ca3aa32.jpg</t>
        </is>
      </c>
      <c r="B9628">
        <f>HYPERLINK("Объекты недвижимости, не соответствующие градостроительным нормам_00-022_Август/99f87c51-1c89-42a7-ae2e-d46f3ca3aa32.jpg","open")</f>
        <v/>
      </c>
      <c r="C9628" t="inlineStr">
        <is>
          <t>d2c4eccd-3e4b-406c-a903-0f5e43d0be35</t>
        </is>
      </c>
      <c r="D9628" t="n">
        <v>55.98125</v>
      </c>
      <c r="E9628" t="n">
        <v>37.40663</v>
      </c>
      <c r="F9628" t="inlineStr"/>
      <c r="G9628" t="inlineStr"/>
      <c r="H9628" t="inlineStr"/>
    </row>
    <row r="9629">
      <c r="A9629" t="inlineStr">
        <is>
          <t>83cbfc26-6cda-41b1-bed6-e669669855f6.jpg</t>
        </is>
      </c>
      <c r="B9629">
        <f>HYPERLINK("Объекты недвижимости, не соответствующие градостроительным нормам_00-022_Август/83cbfc26-6cda-41b1-bed6-e669669855f6.jpg","open")</f>
        <v/>
      </c>
      <c r="C9629" t="inlineStr">
        <is>
          <t>6e2567a0-1fb9-40d5-a0e7-0adb480d2965</t>
        </is>
      </c>
      <c r="D9629" t="n">
        <v>55.78255</v>
      </c>
      <c r="E9629" t="n">
        <v>37.6711</v>
      </c>
      <c r="F9629" t="inlineStr"/>
      <c r="G9629" t="inlineStr"/>
      <c r="H9629" t="inlineStr"/>
    </row>
    <row r="9630">
      <c r="A9630" t="inlineStr">
        <is>
          <t>3095a28d-d64d-4bce-bb26-912a324f8d84.jpg</t>
        </is>
      </c>
      <c r="B9630">
        <f>HYPERLINK("Объекты недвижимости, не соответствующие градостроительным нормам_00-022_Август/3095a28d-d64d-4bce-bb26-912a324f8d84.jpg","open")</f>
        <v/>
      </c>
      <c r="C9630" t="inlineStr">
        <is>
          <t>cbf95b01-f708-45a3-9ec0-3603469b538e</t>
        </is>
      </c>
      <c r="D9630" t="n">
        <v>55.75318</v>
      </c>
      <c r="E9630" t="n">
        <v>37.58234</v>
      </c>
      <c r="F9630" t="inlineStr"/>
      <c r="G9630" t="inlineStr"/>
      <c r="H9630" t="inlineStr"/>
    </row>
    <row r="9631">
      <c r="A9631" t="inlineStr">
        <is>
          <t>28cb25f0-c1ac-4ddf-9f57-4d9407c39662.jpg</t>
        </is>
      </c>
      <c r="B9631">
        <f>HYPERLINK("Объекты недвижимости, не соответствующие градостроительным нормам_00-022_Август/28cb25f0-c1ac-4ddf-9f57-4d9407c39662.jpg","open")</f>
        <v/>
      </c>
      <c r="C9631" t="inlineStr">
        <is>
          <t>9c930d0e-e445-452d-a046-325646b21ab7</t>
        </is>
      </c>
      <c r="D9631" t="n">
        <v>55.85299</v>
      </c>
      <c r="E9631" t="n">
        <v>37.66782</v>
      </c>
      <c r="F9631" t="inlineStr"/>
      <c r="G9631" t="inlineStr"/>
      <c r="H9631" t="inlineStr"/>
    </row>
    <row r="9632">
      <c r="A9632" t="inlineStr">
        <is>
          <t>5db84264-42e6-4d3c-9075-388978bc2b30.jpg</t>
        </is>
      </c>
      <c r="B9632">
        <f>HYPERLINK("Объекты недвижимости, не соответствующие градостроительным нормам_00-022_Август/5db84264-42e6-4d3c-9075-388978bc2b30.jpg","open")</f>
        <v/>
      </c>
      <c r="C9632" t="inlineStr">
        <is>
          <t>cbf95b01-f708-45a3-9ec0-3603469b538e</t>
        </is>
      </c>
      <c r="D9632" t="n">
        <v>55.75318</v>
      </c>
      <c r="E9632" t="n">
        <v>37.58234</v>
      </c>
      <c r="F9632" t="inlineStr"/>
      <c r="G9632" t="inlineStr"/>
      <c r="H9632" t="inlineStr"/>
    </row>
    <row r="9633">
      <c r="A9633" t="inlineStr">
        <is>
          <t>77c3dc3c-0234-41e4-9469-e69dcd54bacf.jpg</t>
        </is>
      </c>
      <c r="B9633">
        <f>HYPERLINK("Объекты недвижимости, не соответствующие градостроительным нормам_00-022_Август/77c3dc3c-0234-41e4-9469-e69dcd54bacf.jpg","open")</f>
        <v/>
      </c>
      <c r="C9633" t="inlineStr">
        <is>
          <t>5e5b9944-4f9e-4223-bf96-0bc0c8a93dfa</t>
        </is>
      </c>
      <c r="D9633" t="n">
        <v>55.7102</v>
      </c>
      <c r="E9633" t="n">
        <v>37.66373</v>
      </c>
      <c r="F9633" t="inlineStr"/>
      <c r="G9633" t="inlineStr"/>
      <c r="H9633" t="inlineStr"/>
    </row>
    <row r="9634">
      <c r="A9634" t="inlineStr">
        <is>
          <t>00f04878-f0a5-483a-8273-5430931f41c5.jpg</t>
        </is>
      </c>
      <c r="B9634">
        <f>HYPERLINK("Объекты недвижимости, не соответствующие градостроительным нормам_00-022_Август/00f04878-f0a5-483a-8273-5430931f41c5.jpg","open")</f>
        <v/>
      </c>
      <c r="C9634" t="inlineStr">
        <is>
          <t>31a713a9-b910-424b-b847-e0eaa2f70c70</t>
        </is>
      </c>
      <c r="D9634" t="n">
        <v>55.77855</v>
      </c>
      <c r="E9634" t="n">
        <v>37.66777</v>
      </c>
      <c r="F9634" t="inlineStr"/>
      <c r="G9634" t="inlineStr"/>
      <c r="H9634" t="inlineStr"/>
    </row>
    <row r="9635">
      <c r="A9635" t="inlineStr">
        <is>
          <t>83e6f2fb-c801-48aa-9638-1a94e15ba94d.jpg</t>
        </is>
      </c>
      <c r="B9635">
        <f>HYPERLINK("Объекты недвижимости, не соответствующие градостроительным нормам_00-022_Август/83e6f2fb-c801-48aa-9638-1a94e15ba94d.jpg","open")</f>
        <v/>
      </c>
      <c r="C9635" t="inlineStr">
        <is>
          <t>8beacb4f-617e-4b34-8030-60c4dff5f8d1</t>
        </is>
      </c>
      <c r="D9635" t="n">
        <v>55.75149</v>
      </c>
      <c r="E9635" t="n">
        <v>37.58866</v>
      </c>
      <c r="F9635" t="inlineStr"/>
      <c r="G9635" t="inlineStr"/>
      <c r="H9635" t="inlineStr"/>
    </row>
    <row r="9636">
      <c r="A9636" t="inlineStr">
        <is>
          <t>ea58a4e0-02f9-4b96-9ce9-eacc3b46552d.jpg</t>
        </is>
      </c>
      <c r="B9636">
        <f>HYPERLINK("Объекты недвижимости, не соответствующие градостроительным нормам_00-022_Август/ea58a4e0-02f9-4b96-9ce9-eacc3b46552d.jpg","open")</f>
        <v/>
      </c>
      <c r="C9636" t="inlineStr">
        <is>
          <t>fb40ed24-21ef-458a-a239-038ab19932cc</t>
        </is>
      </c>
      <c r="D9636" t="n">
        <v>55.80151</v>
      </c>
      <c r="E9636" t="n">
        <v>37.74548</v>
      </c>
      <c r="F9636" t="inlineStr"/>
      <c r="G9636" t="inlineStr"/>
      <c r="H9636" t="inlineStr"/>
    </row>
    <row r="9637">
      <c r="A9637" t="inlineStr">
        <is>
          <t>e019db84-9ce9-42ce-abc7-6f8908df372d.jpg</t>
        </is>
      </c>
      <c r="B9637">
        <f>HYPERLINK("Объекты недвижимости, не соответствующие градостроительным нормам_00-022_Август/e019db84-9ce9-42ce-abc7-6f8908df372d.jpg","open")</f>
        <v/>
      </c>
      <c r="C9637" t="inlineStr">
        <is>
          <t>797901ad-53b1-41b8-99d1-d59d59c863d5</t>
        </is>
      </c>
      <c r="D9637" t="n">
        <v>55.80149</v>
      </c>
      <c r="E9637" t="n">
        <v>37.74549</v>
      </c>
      <c r="F9637" t="inlineStr"/>
      <c r="G9637" t="inlineStr"/>
      <c r="H9637" t="inlineStr"/>
    </row>
    <row r="9638">
      <c r="A9638" t="inlineStr">
        <is>
          <t>272d3372-b488-4c2e-93be-3844c008d55a.jpg</t>
        </is>
      </c>
      <c r="B9638">
        <f>HYPERLINK("Объекты недвижимости, не соответствующие градостроительным нормам_00-022_Август/272d3372-b488-4c2e-93be-3844c008d55a.jpg","open")</f>
        <v/>
      </c>
      <c r="C9638" t="inlineStr">
        <is>
          <t>57812597-37e6-414c-8b11-8c661dbfeb70</t>
        </is>
      </c>
      <c r="D9638" t="n">
        <v>55.73269</v>
      </c>
      <c r="E9638" t="n">
        <v>37.6708</v>
      </c>
      <c r="F9638" t="inlineStr"/>
      <c r="G9638" t="inlineStr"/>
      <c r="H9638" t="inlineStr"/>
    </row>
    <row r="9639">
      <c r="A9639" t="inlineStr">
        <is>
          <t>4c6b2485-d74a-42e5-94eb-2bc9a8de8b3c.jpg</t>
        </is>
      </c>
      <c r="B9639">
        <f>HYPERLINK("Объекты недвижимости, не соответствующие градостроительным нормам_00-022_Август/4c6b2485-d74a-42e5-94eb-2bc9a8de8b3c.jpg","open")</f>
        <v/>
      </c>
      <c r="C9639" t="inlineStr">
        <is>
          <t>57812597-37e6-414c-8b11-8c661dbfeb70</t>
        </is>
      </c>
      <c r="D9639" t="n">
        <v>55.73269</v>
      </c>
      <c r="E9639" t="n">
        <v>37.6708</v>
      </c>
      <c r="F9639" t="inlineStr"/>
      <c r="G9639" t="inlineStr"/>
      <c r="H9639" t="inlineStr"/>
    </row>
    <row r="9640">
      <c r="A9640" t="inlineStr">
        <is>
          <t>25934c4d-aa10-4056-bfbf-2e8ab35ec41b.jpg</t>
        </is>
      </c>
      <c r="B9640">
        <f>HYPERLINK("Объекты недвижимости, не соответствующие градостроительным нормам_00-022_Август/25934c4d-aa10-4056-bfbf-2e8ab35ec41b.jpg","open")</f>
        <v/>
      </c>
      <c r="C9640" t="inlineStr">
        <is>
          <t>57aae8a4-582b-4309-8045-c8127a9f86ae</t>
        </is>
      </c>
      <c r="D9640" t="n">
        <v>55.80033</v>
      </c>
      <c r="E9640" t="n">
        <v>37.76955</v>
      </c>
      <c r="F9640" t="inlineStr"/>
      <c r="G9640" t="inlineStr"/>
      <c r="H9640" t="inlineStr"/>
    </row>
    <row r="9641">
      <c r="A9641" t="inlineStr">
        <is>
          <t>34423746-3ee7-4d1a-9192-23ae2bf1eb53.jpg</t>
        </is>
      </c>
      <c r="B9641">
        <f>HYPERLINK("Объекты недвижимости, не соответствующие градостроительным нормам_00-022_Август/34423746-3ee7-4d1a-9192-23ae2bf1eb53.jpg","open")</f>
        <v/>
      </c>
      <c r="C9641" t="inlineStr">
        <is>
          <t>29ad9edb-d533-4272-a986-be24eb004851</t>
        </is>
      </c>
      <c r="D9641" t="n">
        <v>55.78238</v>
      </c>
      <c r="E9641" t="n">
        <v>37.67096</v>
      </c>
      <c r="F9641" t="inlineStr"/>
      <c r="G9641" t="inlineStr"/>
      <c r="H9641" t="inlineStr"/>
    </row>
    <row r="9642">
      <c r="A9642" t="inlineStr">
        <is>
          <t>99ba22ff-b57e-4291-b606-726861d48057.jpg</t>
        </is>
      </c>
      <c r="B9642">
        <f>HYPERLINK("Объекты недвижимости, не соответствующие градостроительным нормам_00-022_Август/99ba22ff-b57e-4291-b606-726861d48057.jpg","open")</f>
        <v/>
      </c>
      <c r="C9642" t="inlineStr">
        <is>
          <t>c008bda0-324b-4c90-9c2f-36cfc930e0b5</t>
        </is>
      </c>
      <c r="D9642" t="n">
        <v>55.78234</v>
      </c>
      <c r="E9642" t="n">
        <v>37.67096</v>
      </c>
      <c r="F9642" t="inlineStr"/>
      <c r="G9642" t="inlineStr"/>
      <c r="H9642" t="inlineStr"/>
    </row>
    <row r="9643">
      <c r="A9643" t="inlineStr">
        <is>
          <t>59cdf0ea-5fc9-4ef0-ba76-ff2dc727f0ad.jpg</t>
        </is>
      </c>
      <c r="B9643">
        <f>HYPERLINK("Объекты недвижимости, не соответствующие градостроительным нормам_00-022_Август/59cdf0ea-5fc9-4ef0-ba76-ff2dc727f0ad.jpg","open")</f>
        <v/>
      </c>
      <c r="C9643" t="inlineStr">
        <is>
          <t>c008bda0-324b-4c90-9c2f-36cfc930e0b5</t>
        </is>
      </c>
      <c r="D9643" t="n">
        <v>55.78234</v>
      </c>
      <c r="E9643" t="n">
        <v>37.67096</v>
      </c>
      <c r="F9643" t="inlineStr"/>
      <c r="G9643" t="inlineStr"/>
      <c r="H9643" t="inlineStr"/>
    </row>
    <row r="9644">
      <c r="A9644" t="inlineStr">
        <is>
          <t>cad548f4-242d-4b41-83f0-cb401045d599.jpg</t>
        </is>
      </c>
      <c r="B9644">
        <f>HYPERLINK("Объекты недвижимости, не соответствующие градостроительным нормам_00-022_Август/cad548f4-242d-4b41-83f0-cb401045d599.jpg","open")</f>
        <v/>
      </c>
      <c r="C9644" t="inlineStr">
        <is>
          <t>2acfb2da-e3f6-464c-bd17-4b713522c142</t>
        </is>
      </c>
      <c r="D9644" t="n">
        <v>55.81225</v>
      </c>
      <c r="E9644" t="n">
        <v>37.74612</v>
      </c>
      <c r="F9644" t="inlineStr"/>
      <c r="G9644" t="inlineStr"/>
      <c r="H9644" t="inlineStr"/>
    </row>
    <row r="9645">
      <c r="A9645" t="inlineStr">
        <is>
          <t>3ae8d9d1-82b8-4ce4-b20e-f742e104ab49.jpg</t>
        </is>
      </c>
      <c r="B9645">
        <f>HYPERLINK("Объекты недвижимости, не соответствующие градостроительным нормам_00-022_Август/3ae8d9d1-82b8-4ce4-b20e-f742e104ab49.jpg","open")</f>
        <v/>
      </c>
      <c r="C9645" t="inlineStr">
        <is>
          <t>fce890a6-27da-4062-a046-08262a160ee6</t>
        </is>
      </c>
      <c r="D9645" t="n">
        <v>55.79236</v>
      </c>
      <c r="E9645" t="n">
        <v>37.59124</v>
      </c>
      <c r="F9645" t="inlineStr"/>
      <c r="G9645" t="inlineStr"/>
      <c r="H9645" t="inlineStr"/>
    </row>
    <row r="9646">
      <c r="A9646" t="inlineStr">
        <is>
          <t>13055ce2-37f1-40a8-bf3c-c942a83e8211.jpg</t>
        </is>
      </c>
      <c r="B9646">
        <f>HYPERLINK("Объекты недвижимости, не соответствующие градостроительным нормам_00-022_Август/13055ce2-37f1-40a8-bf3c-c942a83e8211.jpg","open")</f>
        <v/>
      </c>
      <c r="C9646" t="inlineStr">
        <is>
          <t>fce890a6-27da-4062-a046-08262a160ee6</t>
        </is>
      </c>
      <c r="D9646" t="n">
        <v>55.79237</v>
      </c>
      <c r="E9646" t="n">
        <v>37.59098</v>
      </c>
      <c r="F9646" t="inlineStr"/>
      <c r="G9646" t="inlineStr"/>
      <c r="H9646" t="inlineStr"/>
    </row>
    <row r="9647">
      <c r="A9647" t="inlineStr">
        <is>
          <t>3ca49b4a-ee7c-4d6a-9d8e-d81e076e552b.jpg</t>
        </is>
      </c>
      <c r="B9647">
        <f>HYPERLINK("Объекты недвижимости, не соответствующие градостроительным нормам_00-022_Август/3ca49b4a-ee7c-4d6a-9d8e-d81e076e552b.jpg","open")</f>
        <v/>
      </c>
      <c r="C9647" t="inlineStr">
        <is>
          <t>56702d00-3d38-4721-8f83-3846a59c1e44</t>
        </is>
      </c>
      <c r="D9647" t="n">
        <v>55.75234</v>
      </c>
      <c r="E9647" t="n">
        <v>37.57343</v>
      </c>
      <c r="F9647" t="inlineStr"/>
      <c r="G9647" t="inlineStr"/>
      <c r="H9647" t="inlineStr"/>
    </row>
    <row r="9648">
      <c r="A9648" t="inlineStr">
        <is>
          <t>5c6bd293-dcc8-42eb-a225-295b29616e03.jpg</t>
        </is>
      </c>
      <c r="B9648">
        <f>HYPERLINK("Объекты недвижимости, не соответствующие градостроительным нормам_00-022_Август/5c6bd293-dcc8-42eb-a225-295b29616e03.jpg","open")</f>
        <v/>
      </c>
      <c r="C9648" t="inlineStr">
        <is>
          <t>50e4626c-a80e-42ab-b999-b5092c2c063f</t>
        </is>
      </c>
      <c r="D9648" t="n">
        <v>55.75234</v>
      </c>
      <c r="E9648" t="n">
        <v>37.57343</v>
      </c>
      <c r="F9648" t="inlineStr"/>
      <c r="G9648" t="inlineStr"/>
      <c r="H9648" t="inlineStr"/>
    </row>
    <row r="9649">
      <c r="A9649" t="inlineStr">
        <is>
          <t>423c0737-8593-440a-87af-97a2470c3787.jpg</t>
        </is>
      </c>
      <c r="B9649">
        <f>HYPERLINK("Объекты недвижимости, не соответствующие градостроительным нормам_00-022_Август/423c0737-8593-440a-87af-97a2470c3787.jpg","open")</f>
        <v/>
      </c>
      <c r="C9649" t="inlineStr">
        <is>
          <t>99f3abba-c55b-49f0-9de5-9f88e9597cc0</t>
        </is>
      </c>
      <c r="D9649" t="n">
        <v>55.6796</v>
      </c>
      <c r="E9649" t="n">
        <v>37.65223</v>
      </c>
      <c r="F9649" t="inlineStr"/>
      <c r="G9649" t="inlineStr"/>
      <c r="H9649" t="inlineStr"/>
    </row>
    <row r="9650">
      <c r="A9650" t="inlineStr">
        <is>
          <t>75db2634-52c4-41a3-9794-2e1ee886ba39.jpg</t>
        </is>
      </c>
      <c r="B9650">
        <f>HYPERLINK("Объекты недвижимости, не соответствующие градостроительным нормам_00-022_Август/75db2634-52c4-41a3-9794-2e1ee886ba39.jpg","open")</f>
        <v/>
      </c>
      <c r="C9650" t="inlineStr">
        <is>
          <t>1231bbc5-e64c-4dc7-9acc-77710f47607a</t>
        </is>
      </c>
      <c r="D9650" t="n">
        <v>55.75082</v>
      </c>
      <c r="E9650" t="n">
        <v>37.82499</v>
      </c>
      <c r="F9650" t="inlineStr"/>
      <c r="G9650" t="inlineStr"/>
      <c r="H9650" t="inlineStr"/>
    </row>
    <row r="9651">
      <c r="A9651" t="inlineStr">
        <is>
          <t>0bf26c1d-df0c-488a-a647-cc984d45eb79.jpg</t>
        </is>
      </c>
      <c r="B9651">
        <f>HYPERLINK("Объекты недвижимости, не соответствующие градостроительным нормам_00-022_Август/0bf26c1d-df0c-488a-a647-cc984d45eb79.jpg","open")</f>
        <v/>
      </c>
      <c r="C9651" t="inlineStr">
        <is>
          <t>685d9054-b74f-49ab-857b-109fd2cec80d</t>
        </is>
      </c>
      <c r="D9651" t="n">
        <v>55.75082</v>
      </c>
      <c r="E9651" t="n">
        <v>37.825</v>
      </c>
      <c r="F9651" t="inlineStr"/>
      <c r="G9651" t="inlineStr"/>
      <c r="H9651" t="inlineStr"/>
    </row>
    <row r="9652">
      <c r="A9652" t="inlineStr">
        <is>
          <t>4f0540bf-0e46-4197-932c-a026c3ef8902.jpg</t>
        </is>
      </c>
      <c r="B9652">
        <f>HYPERLINK("Объекты недвижимости, не соответствующие градостроительным нормам_00-022_Август/4f0540bf-0e46-4197-932c-a026c3ef8902.jpg","open")</f>
        <v/>
      </c>
      <c r="C9652" t="inlineStr">
        <is>
          <t>1a55986c-2c3f-40c0-b3d1-014dce77832e</t>
        </is>
      </c>
      <c r="D9652" t="n">
        <v>55.78044</v>
      </c>
      <c r="E9652" t="n">
        <v>37.84132</v>
      </c>
      <c r="F9652" t="inlineStr"/>
      <c r="G9652" t="inlineStr"/>
      <c r="H9652" t="inlineStr"/>
    </row>
    <row r="9653">
      <c r="A9653" t="inlineStr">
        <is>
          <t>2c4fcf80-d435-40ca-bbd4-a87317650461.jpg</t>
        </is>
      </c>
      <c r="B9653">
        <f>HYPERLINK("Объекты недвижимости, не соответствующие градостроительным нормам_00-022_Август/2c4fcf80-d435-40ca-bbd4-a87317650461.jpg","open")</f>
        <v/>
      </c>
      <c r="C9653" t="inlineStr">
        <is>
          <t>ed2bf0f1-3a66-4913-896e-4420a9796c0b</t>
        </is>
      </c>
      <c r="D9653" t="n">
        <v>55.78044</v>
      </c>
      <c r="E9653" t="n">
        <v>37.84132</v>
      </c>
      <c r="F9653" t="inlineStr"/>
      <c r="G9653" t="inlineStr"/>
      <c r="H9653" t="inlineStr"/>
    </row>
    <row r="9654">
      <c r="A9654" t="inlineStr">
        <is>
          <t>dca296ad-a531-4565-8c4a-435b43a60b9e.jpg</t>
        </is>
      </c>
      <c r="B9654">
        <f>HYPERLINK("Объекты недвижимости, не соответствующие градостроительным нормам_00-022_Август/dca296ad-a531-4565-8c4a-435b43a60b9e.jpg","open")</f>
        <v/>
      </c>
      <c r="C9654" t="inlineStr">
        <is>
          <t>ed2bf0f1-3a66-4913-896e-4420a9796c0b</t>
        </is>
      </c>
      <c r="D9654" t="n">
        <v>55.78044</v>
      </c>
      <c r="E9654" t="n">
        <v>37.84132</v>
      </c>
      <c r="F9654" t="inlineStr"/>
      <c r="G9654" t="inlineStr"/>
      <c r="H9654" t="inlineStr"/>
    </row>
    <row r="9655">
      <c r="A9655" t="inlineStr">
        <is>
          <t>7d178b13-a2f7-4452-86fa-d152f92f77cf.jpg</t>
        </is>
      </c>
      <c r="B9655">
        <f>HYPERLINK("Объекты недвижимости, не соответствующие градостроительным нормам_00-022_Август/7d178b13-a2f7-4452-86fa-d152f92f77cf.jpg","open")</f>
        <v/>
      </c>
      <c r="C9655" t="inlineStr">
        <is>
          <t>ed2bf0f1-3a66-4913-896e-4420a9796c0b</t>
        </is>
      </c>
      <c r="D9655" t="n">
        <v>55.78044</v>
      </c>
      <c r="E9655" t="n">
        <v>37.84132</v>
      </c>
      <c r="F9655" t="inlineStr"/>
      <c r="G9655" t="inlineStr"/>
      <c r="H9655" t="inlineStr"/>
    </row>
    <row r="9656">
      <c r="A9656" t="inlineStr">
        <is>
          <t>b13a3712-1d13-49ab-9dbb-9b664b2dd2b4.jpg</t>
        </is>
      </c>
      <c r="B9656">
        <f>HYPERLINK("Объекты недвижимости, не соответствующие градостроительным нормам_00-022_Август/b13a3712-1d13-49ab-9dbb-9b664b2dd2b4.jpg","open")</f>
        <v/>
      </c>
      <c r="C9656" t="inlineStr">
        <is>
          <t>caa4772d-6278-4484-a046-ee25514bf521</t>
        </is>
      </c>
      <c r="D9656" t="n">
        <v>55.72504</v>
      </c>
      <c r="E9656" t="n">
        <v>37.73911</v>
      </c>
      <c r="F9656" t="inlineStr"/>
      <c r="G9656" t="inlineStr"/>
      <c r="H9656" t="inlineStr"/>
    </row>
    <row r="9657">
      <c r="A9657" t="inlineStr">
        <is>
          <t>667e0033-3ae1-4517-9a80-fd63896fe814.jpg</t>
        </is>
      </c>
      <c r="B9657">
        <f>HYPERLINK("Объекты недвижимости, не соответствующие градостроительным нормам_00-022_Август/667e0033-3ae1-4517-9a80-fd63896fe814.jpg","open")</f>
        <v/>
      </c>
      <c r="C9657" t="inlineStr">
        <is>
          <t>caa4772d-6278-4484-a046-ee25514bf521</t>
        </is>
      </c>
      <c r="D9657" t="n">
        <v>55.72474</v>
      </c>
      <c r="E9657" t="n">
        <v>37.73792</v>
      </c>
      <c r="F9657" t="inlineStr"/>
      <c r="G9657" t="inlineStr"/>
      <c r="H9657" t="inlineStr"/>
    </row>
    <row r="9658">
      <c r="A9658" t="inlineStr">
        <is>
          <t>2c2cb546-31cd-4662-815d-1791a650c3af.jpg</t>
        </is>
      </c>
      <c r="B9658">
        <f>HYPERLINK("Объекты недвижимости, не соответствующие градостроительным нормам_00-022_Август/2c2cb546-31cd-4662-815d-1791a650c3af.jpg","open")</f>
        <v/>
      </c>
      <c r="C9658" t="inlineStr">
        <is>
          <t>f6f80c84-5569-48fd-b627-6f41ce4c61c4</t>
        </is>
      </c>
      <c r="D9658" t="n">
        <v>55.72307</v>
      </c>
      <c r="E9658" t="n">
        <v>37.73404</v>
      </c>
      <c r="F9658" t="inlineStr"/>
      <c r="G9658" t="inlineStr"/>
      <c r="H9658" t="inlineStr"/>
    </row>
    <row r="9659">
      <c r="A9659" t="inlineStr">
        <is>
          <t>c70ce61d-3c25-4bab-8443-a43b29706ad0.jpg</t>
        </is>
      </c>
      <c r="B9659">
        <f>HYPERLINK("Объекты недвижимости, не соответствующие градостроительным нормам_00-022_Август/c70ce61d-3c25-4bab-8443-a43b29706ad0.jpg","open")</f>
        <v/>
      </c>
      <c r="C9659" t="inlineStr">
        <is>
          <t>ed2bf0f1-3a66-4913-896e-4420a9796c0b</t>
        </is>
      </c>
      <c r="D9659" t="n">
        <v>55.78044</v>
      </c>
      <c r="E9659" t="n">
        <v>37.84132</v>
      </c>
      <c r="F9659" t="inlineStr"/>
      <c r="G9659" t="inlineStr"/>
      <c r="H9659" t="inlineStr"/>
    </row>
    <row r="9660">
      <c r="A9660" t="inlineStr">
        <is>
          <t>2f487b13-0e3d-4450-aa8b-c3f294d1ffda.jpg</t>
        </is>
      </c>
      <c r="B9660">
        <f>HYPERLINK("Объекты недвижимости, не соответствующие градостроительным нормам_00-022_Август/2f487b13-0e3d-4450-aa8b-c3f294d1ffda.jpg","open")</f>
        <v/>
      </c>
      <c r="C9660" t="inlineStr">
        <is>
          <t>caa4772d-6278-4484-a046-ee25514bf521</t>
        </is>
      </c>
      <c r="D9660" t="n">
        <v>55.72247</v>
      </c>
      <c r="E9660" t="n">
        <v>37.72268</v>
      </c>
      <c r="F9660" t="inlineStr"/>
      <c r="G9660" t="inlineStr"/>
      <c r="H9660" t="inlineStr"/>
    </row>
    <row r="9661">
      <c r="A9661" t="inlineStr">
        <is>
          <t>f52f43f4-8f64-4703-9223-3b47dd1505e1.jpg</t>
        </is>
      </c>
      <c r="B9661">
        <f>HYPERLINK("Объекты недвижимости, не соответствующие градостроительным нормам_00-022_Август/f52f43f4-8f64-4703-9223-3b47dd1505e1.jpg","open")</f>
        <v/>
      </c>
      <c r="C9661" t="inlineStr">
        <is>
          <t>b0429a31-0c70-4b9f-8ea5-73929d82f89e</t>
        </is>
      </c>
      <c r="D9661" t="n">
        <v>55.68242</v>
      </c>
      <c r="E9661" t="n">
        <v>37.6587</v>
      </c>
      <c r="F9661" t="inlineStr"/>
      <c r="G9661" t="inlineStr"/>
      <c r="H9661" t="inlineStr"/>
    </row>
    <row r="9662">
      <c r="A9662" t="inlineStr">
        <is>
          <t>a5cdd921-3ef0-43aa-ad64-36cbdef4ae2e.jpg</t>
        </is>
      </c>
      <c r="B9662">
        <f>HYPERLINK("Объекты недвижимости, не соответствующие градостроительным нормам_00-022_Август/a5cdd921-3ef0-43aa-ad64-36cbdef4ae2e.jpg","open")</f>
        <v/>
      </c>
      <c r="C9662" t="inlineStr">
        <is>
          <t>b0b7ea82-53be-40d0-b992-e2fd18611d5c</t>
        </is>
      </c>
      <c r="D9662" t="n">
        <v>55.68107</v>
      </c>
      <c r="E9662" t="n">
        <v>37.51748</v>
      </c>
      <c r="F9662" t="inlineStr"/>
      <c r="G9662" t="inlineStr"/>
      <c r="H9662" t="inlineStr"/>
    </row>
    <row r="9663">
      <c r="A9663" t="inlineStr">
        <is>
          <t>0245d7d6-cf04-4fae-bf2e-1b9aedc4e8b3.jpg</t>
        </is>
      </c>
      <c r="B9663">
        <f>HYPERLINK("Объекты недвижимости, не соответствующие градостроительным нормам_00-022_Август/0245d7d6-cf04-4fae-bf2e-1b9aedc4e8b3.jpg","open")</f>
        <v/>
      </c>
      <c r="C9663" t="inlineStr">
        <is>
          <t>9fb3d110-951f-48da-9d90-cfd7e1b5800d</t>
        </is>
      </c>
      <c r="D9663" t="n">
        <v>55.6717</v>
      </c>
      <c r="E9663" t="n">
        <v>37.45699</v>
      </c>
      <c r="F9663" t="inlineStr"/>
      <c r="G9663" t="inlineStr"/>
      <c r="H9663" t="inlineStr"/>
    </row>
    <row r="9664">
      <c r="A9664" t="inlineStr">
        <is>
          <t>f6c4e72b-6022-4e3c-9205-70a0b785ffae.jpg</t>
        </is>
      </c>
      <c r="B9664">
        <f>HYPERLINK("Объекты недвижимости, не соответствующие градостроительным нормам_00-022_Август/f6c4e72b-6022-4e3c-9205-70a0b785ffae.jpg","open")</f>
        <v/>
      </c>
      <c r="C9664" t="inlineStr">
        <is>
          <t>50e4626c-a80e-42ab-b999-b5092c2c063f</t>
        </is>
      </c>
      <c r="D9664" t="n">
        <v>55.75234</v>
      </c>
      <c r="E9664" t="n">
        <v>37.57343</v>
      </c>
      <c r="F9664" t="inlineStr"/>
      <c r="G9664" t="inlineStr"/>
      <c r="H9664" t="inlineStr"/>
    </row>
    <row r="9665">
      <c r="A9665" t="inlineStr">
        <is>
          <t>b1752378-fe93-4b76-9e85-0bb9f5f57784.jpg</t>
        </is>
      </c>
      <c r="B9665">
        <f>HYPERLINK("Объекты недвижимости, не соответствующие градостроительным нормам_00-022_Август/b1752378-fe93-4b76-9e85-0bb9f5f57784.jpg","open")</f>
        <v/>
      </c>
      <c r="C9665" t="inlineStr">
        <is>
          <t>50e4626c-a80e-42ab-b999-b5092c2c063f</t>
        </is>
      </c>
      <c r="D9665" t="n">
        <v>55.75234</v>
      </c>
      <c r="E9665" t="n">
        <v>37.57343</v>
      </c>
      <c r="F9665" t="inlineStr"/>
      <c r="G9665" t="inlineStr"/>
      <c r="H9665" t="inlineStr"/>
    </row>
    <row r="9666">
      <c r="A9666" t="inlineStr">
        <is>
          <t>ec935eb5-7269-4f4e-85a4-2f189c9a3e21.jpg</t>
        </is>
      </c>
      <c r="B9666">
        <f>HYPERLINK("Объекты недвижимости, не соответствующие градостроительным нормам_00-022_Август/ec935eb5-7269-4f4e-85a4-2f189c9a3e21.jpg","open")</f>
        <v/>
      </c>
      <c r="C9666" t="inlineStr">
        <is>
          <t>fb9a37cc-57a6-447c-98bb-0b299f09c809</t>
        </is>
      </c>
      <c r="D9666" t="n">
        <v>55.78308</v>
      </c>
      <c r="E9666" t="n">
        <v>37.72591</v>
      </c>
      <c r="F9666" t="inlineStr"/>
      <c r="G9666" t="inlineStr"/>
      <c r="H9666" t="inlineStr"/>
    </row>
    <row r="9667">
      <c r="A9667" t="inlineStr">
        <is>
          <t>c605a740-0adf-4fd0-b2b3-b84801e768f1.jpg</t>
        </is>
      </c>
      <c r="B9667">
        <f>HYPERLINK("Объекты недвижимости, не соответствующие градостроительным нормам_00-022_Август/c605a740-0adf-4fd0-b2b3-b84801e768f1.jpg","open")</f>
        <v/>
      </c>
      <c r="C9667" t="inlineStr">
        <is>
          <t>31a713a9-b910-424b-b847-e0eaa2f70c70</t>
        </is>
      </c>
      <c r="D9667" t="n">
        <v>55.98021</v>
      </c>
      <c r="E9667" t="n">
        <v>37.16516</v>
      </c>
      <c r="F9667" t="inlineStr"/>
      <c r="G9667" t="inlineStr"/>
      <c r="H9667" t="inlineStr"/>
    </row>
    <row r="9668">
      <c r="A9668" t="inlineStr">
        <is>
          <t>0d064fb0-18d3-41d5-90f1-457edeb0cf21.jpg</t>
        </is>
      </c>
      <c r="B9668">
        <f>HYPERLINK("Объекты недвижимости, не соответствующие градостроительным нормам_00-022_Август/0d064fb0-18d3-41d5-90f1-457edeb0cf21.jpg","open")</f>
        <v/>
      </c>
      <c r="C9668" t="inlineStr">
        <is>
          <t>685d9054-b74f-49ab-857b-109fd2cec80d</t>
        </is>
      </c>
      <c r="D9668" t="n">
        <v>55.75561</v>
      </c>
      <c r="E9668" t="n">
        <v>37.83006</v>
      </c>
      <c r="F9668" t="inlineStr"/>
      <c r="G9668" t="inlineStr"/>
      <c r="H9668" t="inlineStr"/>
    </row>
    <row r="9669">
      <c r="A9669" t="inlineStr">
        <is>
          <t>fef5c374-f645-44dd-85dc-c48423a45609.jpg</t>
        </is>
      </c>
      <c r="B9669">
        <f>HYPERLINK("Объекты недвижимости, не соответствующие градостроительным нормам_00-022_Август/fef5c374-f645-44dd-85dc-c48423a45609.jpg","open")</f>
        <v/>
      </c>
      <c r="C9669" t="inlineStr">
        <is>
          <t>b0429a31-0c70-4b9f-8ea5-73929d82f89e</t>
        </is>
      </c>
      <c r="D9669" t="n">
        <v>55.67981</v>
      </c>
      <c r="E9669" t="n">
        <v>37.64926</v>
      </c>
      <c r="F9669" t="inlineStr"/>
      <c r="G9669" t="inlineStr"/>
      <c r="H9669" t="inlineStr"/>
    </row>
    <row r="9670">
      <c r="A9670" t="inlineStr">
        <is>
          <t>65d56c1f-460d-4235-a8a2-5b24fb038e41.jpg</t>
        </is>
      </c>
      <c r="B9670">
        <f>HYPERLINK("Объекты недвижимости, не соответствующие градостроительным нормам_00-022_Август/65d56c1f-460d-4235-a8a2-5b24fb038e41.jpg","open")</f>
        <v/>
      </c>
      <c r="C9670" t="inlineStr">
        <is>
          <t>036c664f-5408-4fd0-b479-342c00468eeb</t>
        </is>
      </c>
      <c r="D9670" t="n">
        <v>55.66425</v>
      </c>
      <c r="E9670" t="n">
        <v>37.42012</v>
      </c>
      <c r="F9670" t="inlineStr"/>
      <c r="G9670" t="inlineStr"/>
      <c r="H9670" t="inlineStr"/>
    </row>
    <row r="9671">
      <c r="A9671" t="inlineStr">
        <is>
          <t>247af9c6-87bf-4cd1-94b1-a0ddf03e7600.jpg</t>
        </is>
      </c>
      <c r="B9671">
        <f>HYPERLINK("Объекты недвижимости, не соответствующие градостроительным нормам_00-022_Август/247af9c6-87bf-4cd1-94b1-a0ddf03e7600.jpg","open")</f>
        <v/>
      </c>
      <c r="C9671" t="inlineStr">
        <is>
          <t>a28f597e-d1cd-4d3b-b572-c86d033412e9</t>
        </is>
      </c>
      <c r="D9671" t="n">
        <v>55.66419</v>
      </c>
      <c r="E9671" t="n">
        <v>37.42011</v>
      </c>
      <c r="F9671" t="inlineStr"/>
      <c r="G9671" t="inlineStr"/>
      <c r="H9671" t="inlineStr"/>
    </row>
    <row r="9672">
      <c r="A9672" t="inlineStr">
        <is>
          <t>ccf1412f-9c86-4c06-8e59-132957765c94.jpg</t>
        </is>
      </c>
      <c r="B9672">
        <f>HYPERLINK("Объекты недвижимости, не соответствующие градостроительным нормам_00-022_Август/ccf1412f-9c86-4c06-8e59-132957765c94.jpg","open")</f>
        <v/>
      </c>
      <c r="C9672" t="inlineStr">
        <is>
          <t>99f3abba-c55b-49f0-9de5-9f88e9597cc0</t>
        </is>
      </c>
      <c r="D9672" t="n">
        <v>55.67955</v>
      </c>
      <c r="E9672" t="n">
        <v>37.64557</v>
      </c>
      <c r="F9672" t="inlineStr"/>
      <c r="G9672" t="inlineStr"/>
      <c r="H9672" t="inlineStr"/>
    </row>
    <row r="9673">
      <c r="A9673" t="inlineStr">
        <is>
          <t>88e59c0a-73b5-446c-9814-8d347033e567.jpg</t>
        </is>
      </c>
      <c r="B9673">
        <f>HYPERLINK("Объекты недвижимости, не соответствующие градостроительным нормам_00-022_Август/88e59c0a-73b5-446c-9814-8d347033e567.jpg","open")</f>
        <v/>
      </c>
      <c r="C9673" t="inlineStr">
        <is>
          <t>036c664f-5408-4fd0-b479-342c00468eeb</t>
        </is>
      </c>
      <c r="D9673" t="n">
        <v>55.66438</v>
      </c>
      <c r="E9673" t="n">
        <v>37.42051</v>
      </c>
      <c r="F9673" t="inlineStr"/>
      <c r="G9673" t="inlineStr"/>
      <c r="H9673" t="inlineStr"/>
    </row>
    <row r="9674">
      <c r="A9674" t="inlineStr">
        <is>
          <t>1b386399-ba1c-433b-9f7d-69601a9a3c23.jpg</t>
        </is>
      </c>
      <c r="B9674">
        <f>HYPERLINK("Объекты недвижимости, не соответствующие градостроительным нормам_00-022_Август/1b386399-ba1c-433b-9f7d-69601a9a3c23.jpg","open")</f>
        <v/>
      </c>
      <c r="C9674" t="inlineStr">
        <is>
          <t>cbf95b01-f708-45a3-9ec0-3603469b538e</t>
        </is>
      </c>
      <c r="D9674" t="n">
        <v>55.75318</v>
      </c>
      <c r="E9674" t="n">
        <v>37.58234</v>
      </c>
      <c r="F9674" t="inlineStr"/>
      <c r="G9674" t="inlineStr"/>
      <c r="H9674" t="inlineStr"/>
    </row>
    <row r="9675">
      <c r="A9675" t="inlineStr">
        <is>
          <t>85061d03-7f87-4834-a616-0e4fb4dcd4e9.jpg</t>
        </is>
      </c>
      <c r="B9675">
        <f>HYPERLINK("Объекты недвижимости, не соответствующие градостроительным нормам_00-022_Август/85061d03-7f87-4834-a616-0e4fb4dcd4e9.jpg","open")</f>
        <v/>
      </c>
      <c r="C9675" t="inlineStr">
        <is>
          <t>fb9a37cc-57a6-447c-98bb-0b299f09c809</t>
        </is>
      </c>
      <c r="D9675" t="n">
        <v>55.79066</v>
      </c>
      <c r="E9675" t="n">
        <v>37.81022</v>
      </c>
      <c r="F9675" t="inlineStr"/>
      <c r="G9675" t="inlineStr"/>
      <c r="H9675" t="inlineStr"/>
    </row>
    <row r="9676">
      <c r="A9676" t="inlineStr">
        <is>
          <t>2c1f53fd-9a55-4309-b67b-5f68f6a41237.jpg</t>
        </is>
      </c>
      <c r="B9676">
        <f>HYPERLINK("Объекты недвижимости, не соответствующие градостроительным нормам_00-022_Август/2c1f53fd-9a55-4309-b67b-5f68f6a41237.jpg","open")</f>
        <v/>
      </c>
      <c r="C9676" t="inlineStr">
        <is>
          <t>036c664f-5408-4fd0-b479-342c00468eeb</t>
        </is>
      </c>
      <c r="D9676" t="n">
        <v>55.66502</v>
      </c>
      <c r="E9676" t="n">
        <v>37.42157</v>
      </c>
      <c r="F9676" t="inlineStr"/>
      <c r="G9676" t="inlineStr"/>
      <c r="H9676" t="inlineStr"/>
    </row>
    <row r="9677">
      <c r="A9677" t="inlineStr">
        <is>
          <t>063d22df-8159-469b-bfeb-1abf2bec6646.jpg</t>
        </is>
      </c>
      <c r="B9677">
        <f>HYPERLINK("Объекты недвижимости, не соответствующие градостроительным нормам_00-022_Август/063d22df-8159-469b-bfeb-1abf2bec6646.jpg","open")</f>
        <v/>
      </c>
      <c r="C9677" t="inlineStr">
        <is>
          <t>caa4772d-6278-4484-a046-ee25514bf521</t>
        </is>
      </c>
      <c r="D9677" t="n">
        <v>55.72178</v>
      </c>
      <c r="E9677" t="n">
        <v>37.70866</v>
      </c>
      <c r="F9677" t="inlineStr"/>
      <c r="G9677" t="inlineStr"/>
      <c r="H9677" t="inlineStr"/>
    </row>
    <row r="9678">
      <c r="A9678" t="inlineStr">
        <is>
          <t>e110286c-5453-473c-81da-509f34b4582a.jpg</t>
        </is>
      </c>
      <c r="B9678">
        <f>HYPERLINK("Объекты недвижимости, не соответствующие градостроительным нормам_00-022_Август/e110286c-5453-473c-81da-509f34b4582a.jpg","open")</f>
        <v/>
      </c>
      <c r="C9678" t="inlineStr">
        <is>
          <t>ed2bf0f1-3a66-4913-896e-4420a9796c0b</t>
        </is>
      </c>
      <c r="D9678" t="n">
        <v>55.68494</v>
      </c>
      <c r="E9678" t="n">
        <v>37.54004</v>
      </c>
      <c r="F9678" t="inlineStr"/>
      <c r="G9678" t="inlineStr"/>
      <c r="H9678" t="inlineStr"/>
    </row>
    <row r="9679">
      <c r="A9679" t="inlineStr">
        <is>
          <t>539aac62-8888-438a-aa9f-d6aa099f0d80.jpg</t>
        </is>
      </c>
      <c r="B9679">
        <f>HYPERLINK("Объекты недвижимости, не соответствующие градостроительным нормам_00-022_Август/539aac62-8888-438a-aa9f-d6aa099f0d80.jpg","open")</f>
        <v/>
      </c>
      <c r="C9679" t="inlineStr">
        <is>
          <t>ed2bf0f1-3a66-4913-896e-4420a9796c0b</t>
        </is>
      </c>
      <c r="D9679" t="n">
        <v>55.68277</v>
      </c>
      <c r="E9679" t="n">
        <v>37.53669</v>
      </c>
      <c r="F9679" t="inlineStr"/>
      <c r="G9679" t="inlineStr"/>
      <c r="H9679" t="inlineStr"/>
    </row>
    <row r="9680">
      <c r="A9680" t="inlineStr">
        <is>
          <t>79a452e8-8447-4aed-9eeb-c8f88a8a8145.jpg</t>
        </is>
      </c>
      <c r="B9680">
        <f>HYPERLINK("Объекты недвижимости, не соответствующие градостроительным нормам_00-022_Август/79a452e8-8447-4aed-9eeb-c8f88a8a8145.jpg","open")</f>
        <v/>
      </c>
      <c r="C9680" t="inlineStr">
        <is>
          <t>31a713a9-b910-424b-b847-e0eaa2f70c70</t>
        </is>
      </c>
      <c r="D9680" t="n">
        <v>55.98483</v>
      </c>
      <c r="E9680" t="n">
        <v>37.15801</v>
      </c>
      <c r="F9680" t="inlineStr"/>
      <c r="G9680" t="inlineStr"/>
      <c r="H9680" t="inlineStr"/>
    </row>
    <row r="9681">
      <c r="A9681" t="inlineStr">
        <is>
          <t>7051ce06-3433-40c5-816d-cdd8fc3a45f1.jpg</t>
        </is>
      </c>
      <c r="B9681">
        <f>HYPERLINK("Объекты недвижимости, не соответствующие градостроительным нормам_00-022_Август/7051ce06-3433-40c5-816d-cdd8fc3a45f1.jpg","open")</f>
        <v/>
      </c>
      <c r="C9681" t="inlineStr">
        <is>
          <t>cbf95b01-f708-45a3-9ec0-3603469b538e</t>
        </is>
      </c>
      <c r="D9681" t="n">
        <v>55.75318</v>
      </c>
      <c r="E9681" t="n">
        <v>37.58234</v>
      </c>
      <c r="F9681" t="inlineStr"/>
      <c r="G9681" t="inlineStr"/>
      <c r="H9681" t="inlineStr"/>
    </row>
    <row r="9682">
      <c r="A9682" t="inlineStr">
        <is>
          <t>54bab458-ea29-4505-8592-ce49100c2d42.jpg</t>
        </is>
      </c>
      <c r="B9682">
        <f>HYPERLINK("Объекты недвижимости, не соответствующие градостроительным нормам_00-022_Август/54bab458-ea29-4505-8592-ce49100c2d42.jpg","open")</f>
        <v/>
      </c>
      <c r="C9682" t="inlineStr">
        <is>
          <t>b0429a31-0c70-4b9f-8ea5-73929d82f89e</t>
        </is>
      </c>
      <c r="D9682" t="n">
        <v>55.68155</v>
      </c>
      <c r="E9682" t="n">
        <v>37.6377</v>
      </c>
      <c r="F9682" t="inlineStr"/>
      <c r="G9682" t="inlineStr"/>
      <c r="H9682" t="inlineStr"/>
    </row>
    <row r="9683">
      <c r="A9683" t="inlineStr">
        <is>
          <t>4abaa3f6-9b34-4c3c-a860-fca6b6af9934.jpg</t>
        </is>
      </c>
      <c r="B9683">
        <f>HYPERLINK("Объекты недвижимости, не соответствующие градостроительным нормам_00-022_Август/4abaa3f6-9b34-4c3c-a860-fca6b6af9934.jpg","open")</f>
        <v/>
      </c>
      <c r="C9683" t="inlineStr">
        <is>
          <t>99f3abba-c55b-49f0-9de5-9f88e9597cc0</t>
        </is>
      </c>
      <c r="D9683" t="n">
        <v>55.68024</v>
      </c>
      <c r="E9683" t="n">
        <v>37.63556</v>
      </c>
      <c r="F9683" t="inlineStr"/>
      <c r="G9683" t="inlineStr"/>
      <c r="H9683" t="inlineStr"/>
    </row>
    <row r="9684">
      <c r="A9684" t="inlineStr">
        <is>
          <t>e86230ba-0e02-49dc-811d-dade45d86420.jpg</t>
        </is>
      </c>
      <c r="B9684">
        <f>HYPERLINK("Объекты недвижимости, не соответствующие градостроительным нормам_00-022_Август/e86230ba-0e02-49dc-811d-dade45d86420.jpg","open")</f>
        <v/>
      </c>
      <c r="C9684" t="inlineStr">
        <is>
          <t>93848fc8-17e7-4748-9ebc-c7e379e11d2f</t>
        </is>
      </c>
      <c r="D9684" t="n">
        <v>55.80045</v>
      </c>
      <c r="E9684" t="n">
        <v>37.77146</v>
      </c>
      <c r="F9684" t="inlineStr"/>
      <c r="G9684" t="inlineStr"/>
      <c r="H9684" t="inlineStr"/>
    </row>
    <row r="9685">
      <c r="A9685" t="inlineStr">
        <is>
          <t>a54e91bf-2c68-4f68-ac98-fd362b388949.jpg</t>
        </is>
      </c>
      <c r="B9685">
        <f>HYPERLINK("Объекты недвижимости, не соответствующие градостроительным нормам_00-022_Август/a54e91bf-2c68-4f68-ac98-fd362b388949.jpg","open")</f>
        <v/>
      </c>
      <c r="C9685" t="inlineStr">
        <is>
          <t>93848fc8-17e7-4748-9ebc-c7e379e11d2f</t>
        </is>
      </c>
      <c r="D9685" t="n">
        <v>55.8006</v>
      </c>
      <c r="E9685" t="n">
        <v>37.77141</v>
      </c>
      <c r="F9685" t="inlineStr"/>
      <c r="G9685" t="inlineStr"/>
      <c r="H9685" t="inlineStr"/>
    </row>
    <row r="9686">
      <c r="A9686" t="inlineStr">
        <is>
          <t>8a3f9b39-5533-4010-88a7-63b64f99faa2.jpg</t>
        </is>
      </c>
      <c r="B9686">
        <f>HYPERLINK("Объекты недвижимости, не соответствующие градостроительным нормам_00-022_Август/8a3f9b39-5533-4010-88a7-63b64f99faa2.jpg","open")</f>
        <v/>
      </c>
      <c r="C9686" t="inlineStr">
        <is>
          <t>0dd30d74-4dbc-46a8-b638-91e1431bb398</t>
        </is>
      </c>
      <c r="D9686" t="n">
        <v>55.80062</v>
      </c>
      <c r="E9686" t="n">
        <v>37.77142</v>
      </c>
      <c r="F9686" t="inlineStr"/>
      <c r="G9686" t="inlineStr"/>
      <c r="H9686" t="inlineStr"/>
    </row>
    <row r="9687">
      <c r="A9687" t="inlineStr">
        <is>
          <t>56c49e09-bb2b-427a-a6b1-ef5a69b000f3.jpg</t>
        </is>
      </c>
      <c r="B9687">
        <f>HYPERLINK("Объекты недвижимости, не соответствующие градостроительным нормам_00-022_Август/56c49e09-bb2b-427a-a6b1-ef5a69b000f3.jpg","open")</f>
        <v/>
      </c>
      <c r="C9687" t="inlineStr">
        <is>
          <t>cbf95b01-f708-45a3-9ec0-3603469b538e</t>
        </is>
      </c>
      <c r="D9687" t="n">
        <v>55.75318</v>
      </c>
      <c r="E9687" t="n">
        <v>37.58234</v>
      </c>
      <c r="F9687" t="inlineStr"/>
      <c r="G9687" t="inlineStr"/>
      <c r="H9687" t="inlineStr"/>
    </row>
    <row r="9688">
      <c r="A9688" t="inlineStr">
        <is>
          <t>25d4a8af-6223-436f-91dc-b56e689af6ce.jpg</t>
        </is>
      </c>
      <c r="B9688">
        <f>HYPERLINK("Объекты недвижимости, не соответствующие градостроительным нормам_00-022_Август/25d4a8af-6223-436f-91dc-b56e689af6ce.jpg","open")</f>
        <v/>
      </c>
      <c r="C9688" t="inlineStr">
        <is>
          <t>caa4772d-6278-4484-a046-ee25514bf521</t>
        </is>
      </c>
      <c r="D9688" t="n">
        <v>55.71485</v>
      </c>
      <c r="E9688" t="n">
        <v>37.73713</v>
      </c>
      <c r="F9688" t="inlineStr"/>
      <c r="G9688" t="inlineStr"/>
      <c r="H9688" t="inlineStr"/>
    </row>
    <row r="9689">
      <c r="A9689" t="inlineStr">
        <is>
          <t>5c1268b4-88e6-47fc-a6f0-2483f10e77a6.jpg</t>
        </is>
      </c>
      <c r="B9689">
        <f>HYPERLINK("Объекты недвижимости, не соответствующие градостроительным нормам_00-022_Август/5c1268b4-88e6-47fc-a6f0-2483f10e77a6.jpg","open")</f>
        <v/>
      </c>
      <c r="C9689" t="inlineStr">
        <is>
          <t>a1a9db89-3f74-42ef-8fad-ad69705102cd</t>
        </is>
      </c>
      <c r="D9689" t="n">
        <v>55.75318</v>
      </c>
      <c r="E9689" t="n">
        <v>37.58234</v>
      </c>
      <c r="F9689" t="inlineStr"/>
      <c r="G9689" t="inlineStr"/>
      <c r="H9689" t="inlineStr"/>
    </row>
    <row r="9690">
      <c r="A9690" t="inlineStr">
        <is>
          <t>c37d1039-7801-477f-a170-02d277a10289.jpg</t>
        </is>
      </c>
      <c r="B9690">
        <f>HYPERLINK("Объекты недвижимости, не соответствующие градостроительным нормам_00-022_Август/c37d1039-7801-477f-a170-02d277a10289.jpg","open")</f>
        <v/>
      </c>
      <c r="C9690" t="inlineStr">
        <is>
          <t>8cde1fd0-eca1-4510-86ab-3c743b65fdfc</t>
        </is>
      </c>
      <c r="D9690" t="n">
        <v>55.79626</v>
      </c>
      <c r="E9690" t="n">
        <v>37.56231</v>
      </c>
      <c r="F9690" t="inlineStr"/>
      <c r="G9690" t="inlineStr"/>
      <c r="H9690" t="inlineStr"/>
    </row>
    <row r="9691">
      <c r="A9691" t="inlineStr">
        <is>
          <t>138b6e33-0a48-4d91-983e-04d3f711eca1.jpg</t>
        </is>
      </c>
      <c r="B9691">
        <f>HYPERLINK("Объекты недвижимости, не соответствующие градостроительным нормам_00-022_Август/138b6e33-0a48-4d91-983e-04d3f711eca1.jpg","open")</f>
        <v/>
      </c>
      <c r="C9691" t="inlineStr">
        <is>
          <t>ed2bf0f1-3a66-4913-896e-4420a9796c0b</t>
        </is>
      </c>
      <c r="D9691" t="n">
        <v>55.61826</v>
      </c>
      <c r="E9691" t="n">
        <v>37.38907</v>
      </c>
      <c r="F9691" t="inlineStr"/>
      <c r="G9691" t="inlineStr"/>
      <c r="H9691" t="inlineStr"/>
    </row>
    <row r="9692">
      <c r="A9692" t="inlineStr">
        <is>
          <t>83a44408-cdf5-42fd-b202-fec27c00e275.jpg</t>
        </is>
      </c>
      <c r="B9692">
        <f>HYPERLINK("Объекты недвижимости, не соответствующие градостроительным нормам_00-022_Август/83a44408-cdf5-42fd-b202-fec27c00e275.jpg","open")</f>
        <v/>
      </c>
      <c r="C9692" t="inlineStr">
        <is>
          <t>2acfb2da-e3f6-464c-bd17-4b713522c142</t>
        </is>
      </c>
      <c r="D9692" t="n">
        <v>55.88132</v>
      </c>
      <c r="E9692" t="n">
        <v>37.59203</v>
      </c>
      <c r="F9692" t="inlineStr"/>
      <c r="G9692" t="inlineStr"/>
      <c r="H9692" t="inlineStr"/>
    </row>
    <row r="9693">
      <c r="A9693" t="inlineStr">
        <is>
          <t>bb205dc5-2106-4d08-97cf-fc8f80788c0f.jpg</t>
        </is>
      </c>
      <c r="B9693">
        <f>HYPERLINK("Объекты недвижимости, не соответствующие градостроительным нормам_00-022_Август/bb205dc5-2106-4d08-97cf-fc8f80788c0f.jpg","open")</f>
        <v/>
      </c>
      <c r="C9693" t="inlineStr">
        <is>
          <t>91248771-2c4d-44f3-b3cf-d536bd4ae73c</t>
        </is>
      </c>
      <c r="D9693" t="n">
        <v>55.7438</v>
      </c>
      <c r="E9693" t="n">
        <v>37.81889</v>
      </c>
      <c r="F9693" t="inlineStr"/>
      <c r="G9693" t="inlineStr"/>
      <c r="H9693" t="inlineStr"/>
    </row>
    <row r="9694">
      <c r="A9694" t="inlineStr">
        <is>
          <t>d780829a-d3a9-45bc-b96b-e00288cb20f6.jpg</t>
        </is>
      </c>
      <c r="B9694">
        <f>HYPERLINK("Объекты недвижимости, не соответствующие градостроительным нормам_00-022_Август/d780829a-d3a9-45bc-b96b-e00288cb20f6.jpg","open")</f>
        <v/>
      </c>
      <c r="C9694" t="inlineStr">
        <is>
          <t>2acfb2da-e3f6-464c-bd17-4b713522c142</t>
        </is>
      </c>
      <c r="D9694" t="n">
        <v>55.88173</v>
      </c>
      <c r="E9694" t="n">
        <v>37.59211</v>
      </c>
      <c r="F9694" t="inlineStr"/>
      <c r="G9694" t="inlineStr"/>
      <c r="H9694" t="inlineStr"/>
    </row>
    <row r="9695">
      <c r="A9695" t="inlineStr">
        <is>
          <t>f1ec04ce-3b3e-4f48-8db1-94d6ab69edb5.jpg</t>
        </is>
      </c>
      <c r="B9695">
        <f>HYPERLINK("Объекты недвижимости, не соответствующие градостроительным нормам_00-022_Август/f1ec04ce-3b3e-4f48-8db1-94d6ab69edb5.jpg","open")</f>
        <v/>
      </c>
      <c r="C9695" t="inlineStr">
        <is>
          <t>036c664f-5408-4fd0-b479-342c00468eeb</t>
        </is>
      </c>
      <c r="D9695" t="n">
        <v>55.65603</v>
      </c>
      <c r="E9695" t="n">
        <v>37.38406</v>
      </c>
      <c r="F9695" t="inlineStr"/>
      <c r="G9695" t="inlineStr"/>
      <c r="H9695" t="inlineStr"/>
    </row>
    <row r="9696">
      <c r="A9696" t="inlineStr">
        <is>
          <t>b6af5c32-5201-4b24-a2ad-2636ef210073.jpg</t>
        </is>
      </c>
      <c r="B9696">
        <f>HYPERLINK("Объекты недвижимости, не соответствующие градостроительным нормам_00-022_Август/b6af5c32-5201-4b24-a2ad-2636ef210073.jpg","open")</f>
        <v/>
      </c>
      <c r="C9696" t="inlineStr">
        <is>
          <t>2acfb2da-e3f6-464c-bd17-4b713522c142</t>
        </is>
      </c>
      <c r="D9696" t="n">
        <v>55.88141</v>
      </c>
      <c r="E9696" t="n">
        <v>37.59208</v>
      </c>
      <c r="F9696" t="inlineStr"/>
      <c r="G9696" t="inlineStr"/>
      <c r="H9696" t="inlineStr"/>
    </row>
    <row r="9697">
      <c r="A9697" t="inlineStr">
        <is>
          <t>7e670434-b535-44fd-b1e0-3a04a4a63317.jpg</t>
        </is>
      </c>
      <c r="B9697">
        <f>HYPERLINK("Объекты недвижимости, не соответствующие градостроительным нормам_00-022_Август/7e670434-b535-44fd-b1e0-3a04a4a63317.jpg","open")</f>
        <v/>
      </c>
      <c r="C9697" t="inlineStr">
        <is>
          <t>cbf95b01-f708-45a3-9ec0-3603469b538e</t>
        </is>
      </c>
      <c r="D9697" t="n">
        <v>55.75318</v>
      </c>
      <c r="E9697" t="n">
        <v>37.58234</v>
      </c>
      <c r="F9697" t="inlineStr"/>
      <c r="G9697" t="inlineStr"/>
      <c r="H9697" t="inlineStr"/>
    </row>
    <row r="9698">
      <c r="A9698" t="inlineStr">
        <is>
          <t>48f8371a-0116-473f-b4f4-c3edb81976e1.jpg</t>
        </is>
      </c>
      <c r="B9698">
        <f>HYPERLINK("Объекты недвижимости, не соответствующие градостроительным нормам_00-022_Август/48f8371a-0116-473f-b4f4-c3edb81976e1.jpg","open")</f>
        <v/>
      </c>
      <c r="C9698" t="inlineStr">
        <is>
          <t>cbf95b01-f708-45a3-9ec0-3603469b538e</t>
        </is>
      </c>
      <c r="D9698" t="n">
        <v>55.75318</v>
      </c>
      <c r="E9698" t="n">
        <v>37.58234</v>
      </c>
      <c r="F9698" t="inlineStr"/>
      <c r="G9698" t="inlineStr"/>
      <c r="H9698" t="inlineStr"/>
    </row>
    <row r="9699">
      <c r="A9699" t="inlineStr">
        <is>
          <t>c67fbbb3-4a6b-4358-ad59-59e39a97a73b.jpg</t>
        </is>
      </c>
      <c r="B9699">
        <f>HYPERLINK("Объекты недвижимости, не соответствующие градостроительным нормам_00-022_Август/c67fbbb3-4a6b-4358-ad59-59e39a97a73b.jpg","open")</f>
        <v/>
      </c>
      <c r="C9699" t="inlineStr">
        <is>
          <t>cbf95b01-f708-45a3-9ec0-3603469b538e</t>
        </is>
      </c>
      <c r="D9699" t="n">
        <v>55.75318</v>
      </c>
      <c r="E9699" t="n">
        <v>37.58234</v>
      </c>
      <c r="F9699" t="inlineStr"/>
      <c r="G9699" t="inlineStr"/>
      <c r="H9699" t="inlineStr"/>
    </row>
    <row r="9700">
      <c r="A9700" t="inlineStr">
        <is>
          <t>f86458c1-f3ac-4f3c-bed6-86cd6928fd19.jpg</t>
        </is>
      </c>
      <c r="B9700">
        <f>HYPERLINK("Объекты недвижимости, не соответствующие градостроительным нормам_00-022_Август/f86458c1-f3ac-4f3c-bed6-86cd6928fd19.jpg","open")</f>
        <v/>
      </c>
      <c r="C9700" t="inlineStr">
        <is>
          <t>a1a9db89-3f74-42ef-8fad-ad69705102cd</t>
        </is>
      </c>
      <c r="D9700" t="n">
        <v>55.75318</v>
      </c>
      <c r="E9700" t="n">
        <v>37.58234</v>
      </c>
      <c r="F9700" t="inlineStr"/>
      <c r="G9700" t="inlineStr"/>
      <c r="H9700" t="inlineStr"/>
    </row>
    <row r="9701">
      <c r="A9701" t="inlineStr">
        <is>
          <t>4e428c19-b7a3-48cc-81a9-721d91acce5a.jpg</t>
        </is>
      </c>
      <c r="B9701">
        <f>HYPERLINK("Объекты недвижимости, не соответствующие градостроительным нормам_00-022_Август/4e428c19-b7a3-48cc-81a9-721d91acce5a.jpg","open")</f>
        <v/>
      </c>
      <c r="C9701" t="inlineStr">
        <is>
          <t>f60286ac-55e7-4099-85bd-cc599a7a0c65</t>
        </is>
      </c>
      <c r="D9701" t="n">
        <v>55.73717</v>
      </c>
      <c r="E9701" t="n">
        <v>37.82101</v>
      </c>
      <c r="F9701" t="inlineStr"/>
      <c r="G9701" t="inlineStr"/>
      <c r="H9701" t="inlineStr"/>
    </row>
    <row r="9702">
      <c r="A9702" t="inlineStr">
        <is>
          <t>4554436c-40eb-479a-bc53-bd2750edcb39.jpg</t>
        </is>
      </c>
      <c r="B9702">
        <f>HYPERLINK("Объекты недвижимости, не соответствующие градостроительным нормам_00-022_Август/4554436c-40eb-479a-bc53-bd2750edcb39.jpg","open")</f>
        <v/>
      </c>
      <c r="C9702" t="inlineStr">
        <is>
          <t>acedacc2-0d8b-4fc1-9622-25621a89d071</t>
        </is>
      </c>
      <c r="D9702" t="n">
        <v>55.79546</v>
      </c>
      <c r="E9702" t="n">
        <v>37.76798</v>
      </c>
      <c r="F9702" t="inlineStr"/>
      <c r="G9702" t="inlineStr"/>
      <c r="H9702" t="inlineStr"/>
    </row>
    <row r="9703">
      <c r="A9703" t="inlineStr">
        <is>
          <t>8cd159b2-c89e-47de-adde-37d8072af9a2.jpg</t>
        </is>
      </c>
      <c r="B9703">
        <f>HYPERLINK("Объекты недвижимости, не соответствующие градостроительным нормам_00-022_Август/8cd159b2-c89e-47de-adde-37d8072af9a2.jpg","open")</f>
        <v/>
      </c>
      <c r="C9703" t="inlineStr">
        <is>
          <t>a1a9db89-3f74-42ef-8fad-ad69705102cd</t>
        </is>
      </c>
      <c r="D9703" t="n">
        <v>55.75318</v>
      </c>
      <c r="E9703" t="n">
        <v>37.58234</v>
      </c>
      <c r="F9703" t="inlineStr"/>
      <c r="G9703" t="inlineStr"/>
      <c r="H9703" t="inlineStr"/>
    </row>
    <row r="9704">
      <c r="A9704" t="inlineStr">
        <is>
          <t>9e8f6bac-b522-485e-9ee1-5bc2469bb029.jpg</t>
        </is>
      </c>
      <c r="B9704">
        <f>HYPERLINK("Объекты недвижимости, не соответствующие градостроительным нормам_00-022_Август/9e8f6bac-b522-485e-9ee1-5bc2469bb029.jpg","open")</f>
        <v/>
      </c>
      <c r="C9704" t="inlineStr">
        <is>
          <t>db8b536c-32f2-4d9a-ae08-679d227e61f1</t>
        </is>
      </c>
      <c r="D9704" t="n">
        <v>55.69808</v>
      </c>
      <c r="E9704" t="n">
        <v>37.57812</v>
      </c>
      <c r="F9704" t="inlineStr"/>
      <c r="G9704" t="inlineStr"/>
      <c r="H9704" t="inlineStr"/>
    </row>
    <row r="9705">
      <c r="A9705" t="inlineStr">
        <is>
          <t>88cd2138-6c91-408b-9cc4-932c33b11389.jpg</t>
        </is>
      </c>
      <c r="B9705">
        <f>HYPERLINK("Объекты недвижимости, не соответствующие градостроительным нормам_00-022_Август/88cd2138-6c91-408b-9cc4-932c33b11389.jpg","open")</f>
        <v/>
      </c>
      <c r="C9705" t="inlineStr">
        <is>
          <t>e85aff3b-73e8-4856-827e-477ccc0aea77</t>
        </is>
      </c>
      <c r="D9705" t="n">
        <v>55.97829</v>
      </c>
      <c r="E9705" t="n">
        <v>37.17493</v>
      </c>
      <c r="F9705" t="inlineStr"/>
      <c r="G9705" t="inlineStr"/>
      <c r="H9705" t="inlineStr"/>
    </row>
    <row r="9706">
      <c r="A9706" t="inlineStr">
        <is>
          <t>bd127a97-5a86-46a5-8011-8207ef3a3845.jpg</t>
        </is>
      </c>
      <c r="B9706">
        <f>HYPERLINK("Объекты недвижимости, не соответствующие градостроительным нормам_00-022_Август/bd127a97-5a86-46a5-8011-8207ef3a3845.jpg","open")</f>
        <v/>
      </c>
      <c r="C9706" t="inlineStr">
        <is>
          <t>936502dd-24a4-4256-9fdf-0d8fb72af3ed</t>
        </is>
      </c>
      <c r="D9706" t="n">
        <v>55.74815</v>
      </c>
      <c r="E9706" t="n">
        <v>37.70068</v>
      </c>
      <c r="F9706" t="inlineStr"/>
      <c r="G9706" t="inlineStr"/>
      <c r="H9706" t="inlineStr"/>
    </row>
    <row r="9707">
      <c r="A9707" t="inlineStr">
        <is>
          <t>115a02d7-a689-475b-8413-5ff8a7c38c5a.jpg</t>
        </is>
      </c>
      <c r="B9707">
        <f>HYPERLINK("Объекты недвижимости, не соответствующие градостроительным нормам_00-022_Август/115a02d7-a689-475b-8413-5ff8a7c38c5a.jpg","open")</f>
        <v/>
      </c>
      <c r="C9707" t="inlineStr">
        <is>
          <t>a28f597e-d1cd-4d3b-b572-c86d033412e9</t>
        </is>
      </c>
      <c r="D9707" t="n">
        <v>55.65345</v>
      </c>
      <c r="E9707" t="n">
        <v>37.38175</v>
      </c>
      <c r="F9707" t="inlineStr"/>
      <c r="G9707" t="inlineStr"/>
      <c r="H9707" t="inlineStr"/>
    </row>
    <row r="9708">
      <c r="A9708" t="inlineStr">
        <is>
          <t>2ffe4a60-e2e4-4ab2-a251-15b2d6db33bf.jpg</t>
        </is>
      </c>
      <c r="B9708">
        <f>HYPERLINK("Объекты недвижимости, не соответствующие градостроительным нормам_00-022_Август/2ffe4a60-e2e4-4ab2-a251-15b2d6db33bf.jpg","open")</f>
        <v/>
      </c>
      <c r="C9708" t="inlineStr">
        <is>
          <t>db8b536c-32f2-4d9a-ae08-679d227e61f1</t>
        </is>
      </c>
      <c r="D9708" t="n">
        <v>55.69838</v>
      </c>
      <c r="E9708" t="n">
        <v>37.57827</v>
      </c>
      <c r="F9708" t="inlineStr"/>
      <c r="G9708" t="inlineStr"/>
      <c r="H9708" t="inlineStr"/>
    </row>
    <row r="9709">
      <c r="A9709" t="inlineStr">
        <is>
          <t>2ba65347-b70f-472f-a736-3dff22703443.jpg</t>
        </is>
      </c>
      <c r="B9709">
        <f>HYPERLINK("Объекты недвижимости, не соответствующие градостроительным нормам_00-022_Август/2ba65347-b70f-472f-a736-3dff22703443.jpg","open")</f>
        <v/>
      </c>
      <c r="C9709" t="inlineStr">
        <is>
          <t>036c664f-5408-4fd0-b479-342c00468eeb</t>
        </is>
      </c>
      <c r="D9709" t="n">
        <v>55.65406</v>
      </c>
      <c r="E9709" t="n">
        <v>37.38945</v>
      </c>
      <c r="F9709" t="inlineStr"/>
      <c r="G9709" t="inlineStr"/>
      <c r="H9709" t="inlineStr"/>
    </row>
    <row r="9710">
      <c r="A9710" t="inlineStr">
        <is>
          <t>84b5868e-d326-41c0-8d0c-786212c62d94.jpg</t>
        </is>
      </c>
      <c r="B9710">
        <f>HYPERLINK("Объекты недвижимости, не соответствующие градостроительным нормам_00-022_Август/84b5868e-d326-41c0-8d0c-786212c62d94.jpg","open")</f>
        <v/>
      </c>
      <c r="C9710" t="inlineStr">
        <is>
          <t>cbf95b01-f708-45a3-9ec0-3603469b538e</t>
        </is>
      </c>
      <c r="D9710" t="n">
        <v>55.75318</v>
      </c>
      <c r="E9710" t="n">
        <v>37.58234</v>
      </c>
      <c r="F9710" t="inlineStr"/>
      <c r="G9710" t="inlineStr"/>
      <c r="H9710" t="inlineStr"/>
    </row>
    <row r="9711">
      <c r="A9711" t="inlineStr">
        <is>
          <t>f0a6b7f5-a203-455c-9ec9-1efd43e1b797.jpg</t>
        </is>
      </c>
      <c r="B9711">
        <f>HYPERLINK("Объекты недвижимости, не соответствующие градостроительным нормам_00-022_Август/f0a6b7f5-a203-455c-9ec9-1efd43e1b797.jpg","open")</f>
        <v/>
      </c>
      <c r="C9711" t="inlineStr">
        <is>
          <t>a1a9db89-3f74-42ef-8fad-ad69705102cd</t>
        </is>
      </c>
      <c r="D9711" t="n">
        <v>55.75318</v>
      </c>
      <c r="E9711" t="n">
        <v>37.58234</v>
      </c>
      <c r="F9711" t="inlineStr"/>
      <c r="G9711" t="inlineStr"/>
      <c r="H9711" t="inlineStr"/>
    </row>
    <row r="9712">
      <c r="A9712" t="inlineStr">
        <is>
          <t>648fe8a4-7688-434f-8e27-97171ef66dca.jpg</t>
        </is>
      </c>
      <c r="B9712">
        <f>HYPERLINK("Объекты недвижимости, не соответствующие градостроительным нормам_00-022_Август/648fe8a4-7688-434f-8e27-97171ef66dca.jpg","open")</f>
        <v/>
      </c>
      <c r="C9712" t="inlineStr">
        <is>
          <t>cbf95b01-f708-45a3-9ec0-3603469b538e</t>
        </is>
      </c>
      <c r="D9712" t="n">
        <v>55.75318</v>
      </c>
      <c r="E9712" t="n">
        <v>37.58234</v>
      </c>
      <c r="F9712" t="inlineStr"/>
      <c r="G9712" t="inlineStr"/>
      <c r="H9712" t="inlineStr"/>
    </row>
    <row r="9713">
      <c r="A9713" t="inlineStr">
        <is>
          <t>34fb3e1b-15e4-474d-8394-09a07455956e.jpg</t>
        </is>
      </c>
      <c r="B9713">
        <f>HYPERLINK("Объекты недвижимости, не соответствующие градостроительным нормам_00-022_Август/34fb3e1b-15e4-474d-8394-09a07455956e.jpg","open")</f>
        <v/>
      </c>
      <c r="C9713" t="inlineStr">
        <is>
          <t>cbf95b01-f708-45a3-9ec0-3603469b538e</t>
        </is>
      </c>
      <c r="D9713" t="n">
        <v>55.75318</v>
      </c>
      <c r="E9713" t="n">
        <v>37.58234</v>
      </c>
      <c r="F9713" t="inlineStr"/>
      <c r="G9713" t="inlineStr"/>
      <c r="H9713" t="inlineStr"/>
    </row>
    <row r="9714">
      <c r="A9714" t="inlineStr">
        <is>
          <t>2b64a1dd-12b4-4fa1-b8c0-b3420da7c17c.jpg</t>
        </is>
      </c>
      <c r="B9714">
        <f>HYPERLINK("Объекты недвижимости, не соответствующие градостроительным нормам_00-022_Август/2b64a1dd-12b4-4fa1-b8c0-b3420da7c17c.jpg","open")</f>
        <v/>
      </c>
      <c r="C9714" t="inlineStr">
        <is>
          <t>56702d00-3d38-4721-8f83-3846a59c1e44</t>
        </is>
      </c>
      <c r="D9714" t="n">
        <v>55.75234</v>
      </c>
      <c r="E9714" t="n">
        <v>37.57343</v>
      </c>
      <c r="F9714" t="inlineStr"/>
      <c r="G9714" t="inlineStr"/>
      <c r="H9714" t="inlineStr"/>
    </row>
    <row r="9715">
      <c r="A9715" t="inlineStr">
        <is>
          <t>e9d4f1e3-9c45-4c87-884e-8ce84d80ab05.jpg</t>
        </is>
      </c>
      <c r="B9715">
        <f>HYPERLINK("Объекты недвижимости, не соответствующие градостроительным нормам_00-022_Август/e9d4f1e3-9c45-4c87-884e-8ce84d80ab05.jpg","open")</f>
        <v/>
      </c>
      <c r="C9715" t="inlineStr">
        <is>
          <t>cbf95b01-f708-45a3-9ec0-3603469b538e</t>
        </is>
      </c>
      <c r="D9715" t="n">
        <v>55.75318</v>
      </c>
      <c r="E9715" t="n">
        <v>37.58234</v>
      </c>
      <c r="F9715" t="inlineStr"/>
      <c r="G9715" t="inlineStr"/>
      <c r="H9715" t="inlineStr"/>
    </row>
    <row r="9716">
      <c r="A9716" t="inlineStr">
        <is>
          <t>14de1d2a-bf19-4688-a3f9-3ca803638109.jpg</t>
        </is>
      </c>
      <c r="B9716">
        <f>HYPERLINK("Объекты недвижимости, не соответствующие градостроительным нормам_00-022_Август/14de1d2a-bf19-4688-a3f9-3ca803638109.jpg","open")</f>
        <v/>
      </c>
      <c r="C9716" t="inlineStr">
        <is>
          <t>acedacc2-0d8b-4fc1-9622-25621a89d071</t>
        </is>
      </c>
      <c r="D9716" t="n">
        <v>55.79544</v>
      </c>
      <c r="E9716" t="n">
        <v>37.76795</v>
      </c>
      <c r="F9716" t="inlineStr"/>
      <c r="G9716" t="inlineStr"/>
      <c r="H9716" t="inlineStr"/>
    </row>
    <row r="9717">
      <c r="A9717" t="inlineStr">
        <is>
          <t>5c355d41-d8c6-49b1-8918-2dc57cdfb92e.jpg</t>
        </is>
      </c>
      <c r="B9717">
        <f>HYPERLINK("Объекты недвижимости, не соответствующие градостроительным нормам_00-022_Август/5c355d41-d8c6-49b1-8918-2dc57cdfb92e.jpg","open")</f>
        <v/>
      </c>
      <c r="C9717" t="inlineStr">
        <is>
          <t>f6f80c84-5569-48fd-b627-6f41ce4c61c4</t>
        </is>
      </c>
      <c r="D9717" t="n">
        <v>55.69486</v>
      </c>
      <c r="E9717" t="n">
        <v>37.75377</v>
      </c>
      <c r="F9717" t="inlineStr"/>
      <c r="G9717" t="inlineStr"/>
      <c r="H9717" t="inlineStr"/>
    </row>
    <row r="9718">
      <c r="A9718" t="inlineStr">
        <is>
          <t>80a964a0-fff0-4a7a-abbb-b511d8be75fe.jpg</t>
        </is>
      </c>
      <c r="B9718">
        <f>HYPERLINK("Объекты недвижимости, не соответствующие градостроительным нормам_00-022_Август/80a964a0-fff0-4a7a-abbb-b511d8be75fe.jpg","open")</f>
        <v/>
      </c>
      <c r="C9718" t="inlineStr">
        <is>
          <t>50e4626c-a80e-42ab-b999-b5092c2c063f</t>
        </is>
      </c>
      <c r="D9718" t="n">
        <v>55.75234</v>
      </c>
      <c r="E9718" t="n">
        <v>37.57343</v>
      </c>
      <c r="F9718" t="inlineStr"/>
      <c r="G9718" t="inlineStr"/>
      <c r="H9718" t="inlineStr"/>
    </row>
    <row r="9719">
      <c r="A9719" t="inlineStr">
        <is>
          <t>d30451fc-f29e-4851-afdb-def7b3ea8971.jpg</t>
        </is>
      </c>
      <c r="B9719">
        <f>HYPERLINK("Объекты недвижимости, не соответствующие градостроительным нормам_00-022_Август/d30451fc-f29e-4851-afdb-def7b3ea8971.jpg","open")</f>
        <v/>
      </c>
      <c r="C9719" t="inlineStr">
        <is>
          <t>2acfb2da-e3f6-464c-bd17-4b713522c142</t>
        </is>
      </c>
      <c r="D9719" t="n">
        <v>55.8837</v>
      </c>
      <c r="E9719" t="n">
        <v>37.59081</v>
      </c>
      <c r="F9719" t="inlineStr"/>
      <c r="G9719" t="inlineStr"/>
      <c r="H9719" t="inlineStr"/>
    </row>
    <row r="9720">
      <c r="A9720" t="inlineStr">
        <is>
          <t>b30cf7bd-9351-493f-8625-be71e427928a.jpg</t>
        </is>
      </c>
      <c r="B9720">
        <f>HYPERLINK("Объекты недвижимости, не соответствующие градостроительным нормам_00-022_Август/b30cf7bd-9351-493f-8625-be71e427928a.jpg","open")</f>
        <v/>
      </c>
      <c r="C9720" t="inlineStr">
        <is>
          <t>57aae8a4-582b-4309-8045-c8127a9f86ae</t>
        </is>
      </c>
      <c r="D9720" t="n">
        <v>55.7961</v>
      </c>
      <c r="E9720" t="n">
        <v>37.77433</v>
      </c>
      <c r="F9720" t="inlineStr"/>
      <c r="G9720" t="inlineStr"/>
      <c r="H9720" t="inlineStr"/>
    </row>
    <row r="9721">
      <c r="A9721" t="inlineStr">
        <is>
          <t>944b7024-aec9-4239-b2b1-dac34489b8fb.jpg</t>
        </is>
      </c>
      <c r="B9721">
        <f>HYPERLINK("Объекты недвижимости, не соответствующие градостроительным нормам_00-022_Август/944b7024-aec9-4239-b2b1-dac34489b8fb.jpg","open")</f>
        <v/>
      </c>
      <c r="C9721" t="inlineStr">
        <is>
          <t>fce890a6-27da-4062-a046-08262a160ee6</t>
        </is>
      </c>
      <c r="D9721" t="n">
        <v>55.82129</v>
      </c>
      <c r="E9721" t="n">
        <v>37.44683</v>
      </c>
      <c r="F9721" t="inlineStr"/>
      <c r="G9721" t="inlineStr"/>
      <c r="H9721" t="inlineStr"/>
    </row>
    <row r="9722">
      <c r="A9722" t="inlineStr">
        <is>
          <t>3d01c1f9-6a1e-478c-be74-233f8c1f5f48.jpg</t>
        </is>
      </c>
      <c r="B9722">
        <f>HYPERLINK("Объекты недвижимости, не соответствующие градостроительным нормам_00-022_Август/3d01c1f9-6a1e-478c-be74-233f8c1f5f48.jpg","open")</f>
        <v/>
      </c>
      <c r="C9722" t="inlineStr">
        <is>
          <t>fce890a6-27da-4062-a046-08262a160ee6</t>
        </is>
      </c>
      <c r="D9722" t="n">
        <v>55.82689</v>
      </c>
      <c r="E9722" t="n">
        <v>37.42459</v>
      </c>
      <c r="F9722" t="inlineStr"/>
      <c r="G9722" t="inlineStr"/>
      <c r="H9722" t="inlineStr"/>
    </row>
    <row r="9723">
      <c r="A9723" t="inlineStr">
        <is>
          <t>f5112e2b-8de7-4c7f-82cf-8e8c55d18ac9.jpg</t>
        </is>
      </c>
      <c r="B9723">
        <f>HYPERLINK("Объекты недвижимости, не соответствующие градостроительным нормам_00-022_Август/f5112e2b-8de7-4c7f-82cf-8e8c55d18ac9.jpg","open")</f>
        <v/>
      </c>
      <c r="C9723" t="inlineStr">
        <is>
          <t>50e4626c-a80e-42ab-b999-b5092c2c063f</t>
        </is>
      </c>
      <c r="D9723" t="n">
        <v>55.75234</v>
      </c>
      <c r="E9723" t="n">
        <v>37.57343</v>
      </c>
      <c r="F9723" t="inlineStr"/>
      <c r="G9723" t="inlineStr"/>
      <c r="H9723" t="inlineStr"/>
    </row>
    <row r="9724">
      <c r="A9724" t="inlineStr">
        <is>
          <t>0f4ea7c3-3fc8-46ea-87fe-61a9c703ba16.jpg</t>
        </is>
      </c>
      <c r="B9724">
        <f>HYPERLINK("Объекты недвижимости, не соответствующие градостроительным нормам_00-022_Август/0f4ea7c3-3fc8-46ea-87fe-61a9c703ba16.jpg","open")</f>
        <v/>
      </c>
      <c r="C9724" t="inlineStr">
        <is>
          <t>1a55986c-2c3f-40c0-b3d1-014dce77832e</t>
        </is>
      </c>
      <c r="D9724" t="n">
        <v>55.59929</v>
      </c>
      <c r="E9724" t="n">
        <v>37.17705</v>
      </c>
      <c r="F9724" t="inlineStr"/>
      <c r="G9724" t="inlineStr"/>
      <c r="H9724" t="inlineStr"/>
    </row>
    <row r="9725">
      <c r="A9725" t="inlineStr">
        <is>
          <t>eacf27d9-ef9c-4514-ab06-52ec3450083c.jpg</t>
        </is>
      </c>
      <c r="B9725">
        <f>HYPERLINK("Объекты недвижимости, не соответствующие градостроительным нормам_00-022_Август/eacf27d9-ef9c-4514-ab06-52ec3450083c.jpg","open")</f>
        <v/>
      </c>
      <c r="C9725" t="inlineStr">
        <is>
          <t>ed2bf0f1-3a66-4913-896e-4420a9796c0b</t>
        </is>
      </c>
      <c r="D9725" t="n">
        <v>55.59929</v>
      </c>
      <c r="E9725" t="n">
        <v>37.177</v>
      </c>
      <c r="F9725" t="inlineStr"/>
      <c r="G9725" t="inlineStr"/>
      <c r="H9725" t="inlineStr"/>
    </row>
    <row r="9726">
      <c r="A9726" t="inlineStr">
        <is>
          <t>b5fcf05a-191c-41fb-85e7-94729c109166.jpg</t>
        </is>
      </c>
      <c r="B9726">
        <f>HYPERLINK("Объекты недвижимости, не соответствующие градостроительным нормам_00-022_Август/b5fcf05a-191c-41fb-85e7-94729c109166.jpg","open")</f>
        <v/>
      </c>
      <c r="C9726" t="inlineStr">
        <is>
          <t>fce890a6-27da-4062-a046-08262a160ee6</t>
        </is>
      </c>
      <c r="D9726" t="n">
        <v>55.82735</v>
      </c>
      <c r="E9726" t="n">
        <v>37.4213</v>
      </c>
      <c r="F9726" t="inlineStr"/>
      <c r="G9726" t="inlineStr"/>
      <c r="H9726" t="inlineStr"/>
    </row>
    <row r="9727">
      <c r="A9727" t="inlineStr">
        <is>
          <t>ff21f6a7-cbe2-4293-8703-8f7cf5729810.jpg</t>
        </is>
      </c>
      <c r="B9727">
        <f>HYPERLINK("Объекты недвижимости, не соответствующие градостроительным нормам_00-022_Август/ff21f6a7-cbe2-4293-8703-8f7cf5729810.jpg","open")</f>
        <v/>
      </c>
      <c r="C9727" t="inlineStr">
        <is>
          <t>936502dd-24a4-4256-9fdf-0d8fb72af3ed</t>
        </is>
      </c>
      <c r="D9727" t="n">
        <v>55.67837</v>
      </c>
      <c r="E9727" t="n">
        <v>37.67815</v>
      </c>
      <c r="F9727" t="inlineStr"/>
      <c r="G9727" t="inlineStr"/>
      <c r="H9727" t="inlineStr"/>
    </row>
    <row r="9728">
      <c r="A9728" t="inlineStr">
        <is>
          <t>c2b41d1c-1088-4752-91c6-641cf7421358.jpg</t>
        </is>
      </c>
      <c r="B9728">
        <f>HYPERLINK("Объекты недвижимости, не соответствующие градостроительным нормам_00-022_Август/c2b41d1c-1088-4752-91c6-641cf7421358.jpg","open")</f>
        <v/>
      </c>
      <c r="C9728" t="inlineStr">
        <is>
          <t>e85aff3b-73e8-4856-827e-477ccc0aea77</t>
        </is>
      </c>
      <c r="D9728" t="n">
        <v>56.01011</v>
      </c>
      <c r="E9728" t="n">
        <v>37.19468</v>
      </c>
      <c r="F9728" t="inlineStr"/>
      <c r="G9728" t="inlineStr"/>
      <c r="H9728" t="inlineStr"/>
    </row>
    <row r="9729">
      <c r="A9729" t="inlineStr">
        <is>
          <t>673b93e0-13a2-498a-bad6-7b9533c28d3b.jpg</t>
        </is>
      </c>
      <c r="B9729">
        <f>HYPERLINK("Объекты недвижимости, не соответствующие градостроительным нормам_00-022_Август/673b93e0-13a2-498a-bad6-7b9533c28d3b.jpg","open")</f>
        <v/>
      </c>
      <c r="C9729" t="inlineStr">
        <is>
          <t>6e2567a0-1fb9-40d5-a0e7-0adb480d2965</t>
        </is>
      </c>
      <c r="D9729" t="n">
        <v>55.78966</v>
      </c>
      <c r="E9729" t="n">
        <v>37.69908</v>
      </c>
      <c r="F9729" t="inlineStr"/>
      <c r="G9729" t="inlineStr"/>
      <c r="H9729" t="inlineStr"/>
    </row>
    <row r="9730">
      <c r="A9730" t="inlineStr">
        <is>
          <t>d2f1e66b-afd9-4746-9ec6-699c8f0f5c15.jpg</t>
        </is>
      </c>
      <c r="B9730">
        <f>HYPERLINK("Объекты недвижимости, не соответствующие градостроительным нормам_00-022_Август/d2f1e66b-afd9-4746-9ec6-699c8f0f5c15.jpg","open")</f>
        <v/>
      </c>
      <c r="C9730" t="inlineStr">
        <is>
          <t>cbf95b01-f708-45a3-9ec0-3603469b538e</t>
        </is>
      </c>
      <c r="D9730" t="n">
        <v>55.67102</v>
      </c>
      <c r="E9730" t="n">
        <v>37.62587</v>
      </c>
      <c r="F9730" t="inlineStr"/>
      <c r="G9730" t="inlineStr"/>
      <c r="H9730" t="inlineStr"/>
    </row>
    <row r="9731">
      <c r="A9731" t="inlineStr">
        <is>
          <t>a1359ee9-4949-42c5-828d-086b9c0adeb9.jpg</t>
        </is>
      </c>
      <c r="B9731">
        <f>HYPERLINK("Объекты недвижимости, не соответствующие градостроительным нормам_00-022_Август/a1359ee9-4949-42c5-828d-086b9c0adeb9.jpg","open")</f>
        <v/>
      </c>
      <c r="C9731" t="inlineStr">
        <is>
          <t>9fb3d110-951f-48da-9d90-cfd7e1b5800d</t>
        </is>
      </c>
      <c r="D9731" t="n">
        <v>55.66725</v>
      </c>
      <c r="E9731" t="n">
        <v>37.46873</v>
      </c>
      <c r="F9731" t="inlineStr"/>
      <c r="G9731" t="inlineStr"/>
      <c r="H9731" t="inlineStr"/>
    </row>
    <row r="9732">
      <c r="A9732" t="inlineStr">
        <is>
          <t>b12e8357-4240-4b68-89e4-65e7207a14d6.jpg</t>
        </is>
      </c>
      <c r="B9732">
        <f>HYPERLINK("Объекты недвижимости, не соответствующие градостроительным нормам_00-022_Август/b12e8357-4240-4b68-89e4-65e7207a14d6.jpg","open")</f>
        <v/>
      </c>
      <c r="C9732" t="inlineStr">
        <is>
          <t>cbf95b01-f708-45a3-9ec0-3603469b538e</t>
        </is>
      </c>
      <c r="D9732" t="n">
        <v>55.65112</v>
      </c>
      <c r="E9732" t="n">
        <v>37.61937</v>
      </c>
      <c r="F9732" t="inlineStr"/>
      <c r="G9732" t="inlineStr"/>
      <c r="H9732" t="inlineStr"/>
    </row>
    <row r="9733">
      <c r="A9733" t="inlineStr">
        <is>
          <t>b7db485a-f06c-49a6-a6c4-a007b2dc9c1e.jpg</t>
        </is>
      </c>
      <c r="B9733">
        <f>HYPERLINK("Объекты недвижимости, не соответствующие градостроительным нормам_00-022_Август/b7db485a-f06c-49a6-a6c4-a007b2dc9c1e.jpg","open")</f>
        <v/>
      </c>
      <c r="C9733" t="inlineStr">
        <is>
          <t>cbf95b01-f708-45a3-9ec0-3603469b538e</t>
        </is>
      </c>
      <c r="D9733" t="n">
        <v>55.65012</v>
      </c>
      <c r="E9733" t="n">
        <v>37.61936</v>
      </c>
      <c r="F9733" t="inlineStr"/>
      <c r="G9733" t="inlineStr"/>
      <c r="H9733" t="inlineStr"/>
    </row>
    <row r="9734">
      <c r="A9734" t="inlineStr">
        <is>
          <t>b40d6c85-2843-47e3-bf72-c9ac18ca78a0.jpg</t>
        </is>
      </c>
      <c r="B9734">
        <f>HYPERLINK("Объекты недвижимости, не соответствующие градостроительным нормам_00-022_Август/b40d6c85-2843-47e3-bf72-c9ac18ca78a0.jpg","open")</f>
        <v/>
      </c>
      <c r="C9734" t="inlineStr">
        <is>
          <t>685d9054-b74f-49ab-857b-109fd2cec80d</t>
        </is>
      </c>
      <c r="D9734" t="n">
        <v>55.75496</v>
      </c>
      <c r="E9734" t="n">
        <v>37.83433</v>
      </c>
      <c r="F9734" t="inlineStr"/>
      <c r="G9734" t="inlineStr"/>
      <c r="H9734" t="inlineStr"/>
    </row>
    <row r="9735">
      <c r="A9735" t="inlineStr">
        <is>
          <t>7b8316b1-5939-402f-b281-30cb1c52a352.jpg</t>
        </is>
      </c>
      <c r="B9735">
        <f>HYPERLINK("Объекты недвижимости, не соответствующие градостроительным нормам_00-022_Август/7b8316b1-5939-402f-b281-30cb1c52a352.jpg","open")</f>
        <v/>
      </c>
      <c r="C9735" t="inlineStr">
        <is>
          <t>e90a3ac0-5b70-4ede-abeb-382371713306</t>
        </is>
      </c>
      <c r="D9735" t="n">
        <v>55.69838</v>
      </c>
      <c r="E9735" t="n">
        <v>37.57827</v>
      </c>
      <c r="F9735" t="inlineStr"/>
      <c r="G9735" t="inlineStr"/>
      <c r="H9735" t="inlineStr"/>
    </row>
    <row r="9736">
      <c r="A9736" t="inlineStr">
        <is>
          <t>dd2d67c3-3b7f-453f-8aeb-e5ee9a298309.jpg</t>
        </is>
      </c>
      <c r="B9736">
        <f>HYPERLINK("Объекты недвижимости, не соответствующие градостроительным нормам_00-022_Август/dd2d67c3-3b7f-453f-8aeb-e5ee9a298309.jpg","open")</f>
        <v/>
      </c>
      <c r="C9736" t="inlineStr">
        <is>
          <t>6e2567a0-1fb9-40d5-a0e7-0adb480d2965</t>
        </is>
      </c>
      <c r="D9736" t="n">
        <v>55.76539</v>
      </c>
      <c r="E9736" t="n">
        <v>37.67625</v>
      </c>
      <c r="F9736" t="inlineStr"/>
      <c r="G9736" t="inlineStr"/>
      <c r="H9736" t="inlineStr"/>
    </row>
    <row r="9737">
      <c r="A9737" t="inlineStr">
        <is>
          <t>359a56e2-cab4-4f7a-b0e2-9793afdd3886.jpg</t>
        </is>
      </c>
      <c r="B9737">
        <f>HYPERLINK("Объекты недвижимости, не соответствующие градостроительным нормам_00-022_Август/359a56e2-cab4-4f7a-b0e2-9793afdd3886.jpg","open")</f>
        <v/>
      </c>
      <c r="C9737" t="inlineStr">
        <is>
          <t>6e2567a0-1fb9-40d5-a0e7-0adb480d2965</t>
        </is>
      </c>
      <c r="D9737" t="n">
        <v>55.76539</v>
      </c>
      <c r="E9737" t="n">
        <v>37.67625</v>
      </c>
      <c r="F9737" t="inlineStr"/>
      <c r="G9737" t="inlineStr"/>
      <c r="H9737" t="inlineStr"/>
    </row>
    <row r="9738">
      <c r="A9738" t="inlineStr">
        <is>
          <t>54b7177e-c97e-48d5-b0a2-4b7968c09efd.jpg</t>
        </is>
      </c>
      <c r="B9738">
        <f>HYPERLINK("Объекты недвижимости, не соответствующие градостроительным нормам_00-022_Август/54b7177e-c97e-48d5-b0a2-4b7968c09efd.jpg","open")</f>
        <v/>
      </c>
      <c r="C9738" t="inlineStr">
        <is>
          <t>dd48f742-b338-42e2-bbaf-b3a9701b437c</t>
        </is>
      </c>
      <c r="D9738" t="n">
        <v>55.77415</v>
      </c>
      <c r="E9738" t="n">
        <v>37.59225</v>
      </c>
      <c r="F9738" t="inlineStr"/>
      <c r="G9738" t="inlineStr"/>
      <c r="H9738" t="inlineStr"/>
    </row>
    <row r="9739">
      <c r="A9739" t="inlineStr">
        <is>
          <t>a08d775b-81c4-4f87-a8bc-b5d921c915f8.jpg</t>
        </is>
      </c>
      <c r="B9739">
        <f>HYPERLINK("Объекты недвижимости, не соответствующие градостроительным нормам_00-022_Август/a08d775b-81c4-4f87-a8bc-b5d921c915f8.jpg","open")</f>
        <v/>
      </c>
      <c r="C9739" t="inlineStr">
        <is>
          <t>fb9a37cc-57a6-447c-98bb-0b299f09c809</t>
        </is>
      </c>
      <c r="D9739" t="n">
        <v>55.68454</v>
      </c>
      <c r="E9739" t="n">
        <v>37.66428</v>
      </c>
      <c r="F9739" t="inlineStr"/>
      <c r="G9739" t="inlineStr"/>
      <c r="H9739" t="inlineStr"/>
    </row>
    <row r="9740">
      <c r="A9740" t="inlineStr">
        <is>
          <t>e634f288-0fed-461f-b2a7-ed3b7b440ef5.jpg</t>
        </is>
      </c>
      <c r="B9740">
        <f>HYPERLINK("Объекты недвижимости, не соответствующие градостроительным нормам_00-022_Август/e634f288-0fed-461f-b2a7-ed3b7b440ef5.jpg","open")</f>
        <v/>
      </c>
      <c r="C9740" t="inlineStr">
        <is>
          <t>50e4626c-a80e-42ab-b999-b5092c2c063f</t>
        </is>
      </c>
      <c r="D9740" t="n">
        <v>55.75234</v>
      </c>
      <c r="E9740" t="n">
        <v>37.57343</v>
      </c>
      <c r="F9740" t="inlineStr"/>
      <c r="G9740" t="inlineStr"/>
      <c r="H9740" t="inlineStr"/>
    </row>
    <row r="9741">
      <c r="A9741" t="inlineStr">
        <is>
          <t>633293df-cdaa-48ad-a431-4a35d9c1ce5f.jpg</t>
        </is>
      </c>
      <c r="B9741">
        <f>HYPERLINK("Объекты недвижимости, не соответствующие градостроительным нормам_00-022_Август/633293df-cdaa-48ad-a431-4a35d9c1ce5f.jpg","open")</f>
        <v/>
      </c>
      <c r="C9741" t="inlineStr">
        <is>
          <t>f20fbc2b-b369-4734-bb66-92af02fbb0d1</t>
        </is>
      </c>
      <c r="D9741" t="n">
        <v>55.68359</v>
      </c>
      <c r="E9741" t="n">
        <v>37.52191</v>
      </c>
      <c r="F9741" t="inlineStr"/>
      <c r="G9741" t="inlineStr"/>
      <c r="H9741" t="inlineStr"/>
    </row>
    <row r="9742">
      <c r="A9742" t="inlineStr">
        <is>
          <t>266aa970-b651-4330-af71-c5ed2ddac55c.jpg</t>
        </is>
      </c>
      <c r="B9742">
        <f>HYPERLINK("Объекты недвижимости, не соответствующие градостроительным нормам_00-022_Август/266aa970-b651-4330-af71-c5ed2ddac55c.jpg","open")</f>
        <v/>
      </c>
      <c r="C9742" t="inlineStr">
        <is>
          <t>8b2675e2-7f40-47a9-a462-7c9feecd299c</t>
        </is>
      </c>
      <c r="D9742" t="n">
        <v>55.71605</v>
      </c>
      <c r="E9742" t="n">
        <v>37.77129</v>
      </c>
      <c r="F9742" t="inlineStr"/>
      <c r="G9742" t="inlineStr"/>
      <c r="H9742" t="inlineStr"/>
    </row>
    <row r="9743">
      <c r="A9743" t="inlineStr">
        <is>
          <t>28a21ba5-fef9-4ee7-baa1-e8ef161a7512.jpg</t>
        </is>
      </c>
      <c r="B9743">
        <f>HYPERLINK("Объекты недвижимости, не соответствующие градостроительным нормам_00-022_Август/28a21ba5-fef9-4ee7-baa1-e8ef161a7512.jpg","open")</f>
        <v/>
      </c>
      <c r="C9743" t="inlineStr">
        <is>
          <t>030e8755-17c1-44eb-9530-707d0d3121cb</t>
        </is>
      </c>
      <c r="D9743" t="n">
        <v>55.68029</v>
      </c>
      <c r="E9743" t="n">
        <v>37.67116</v>
      </c>
      <c r="F9743" t="inlineStr"/>
      <c r="G9743" t="inlineStr"/>
      <c r="H9743" t="inlineStr"/>
    </row>
    <row r="9744">
      <c r="A9744" t="inlineStr">
        <is>
          <t>663d3fd3-5254-4d79-8513-6336a616b186.jpg</t>
        </is>
      </c>
      <c r="B9744">
        <f>HYPERLINK("Объекты недвижимости, не соответствующие градостроительным нормам_00-022_Август/663d3fd3-5254-4d79-8513-6336a616b186.jpg","open")</f>
        <v/>
      </c>
      <c r="C9744" t="inlineStr">
        <is>
          <t>55da50d9-6d31-4c29-a85b-6a228578c6de</t>
        </is>
      </c>
      <c r="D9744" t="n">
        <v>55.71326</v>
      </c>
      <c r="E9744" t="n">
        <v>37.76076</v>
      </c>
      <c r="F9744" t="inlineStr"/>
      <c r="G9744" t="inlineStr"/>
      <c r="H9744" t="inlineStr"/>
    </row>
    <row r="9745">
      <c r="A9745" t="inlineStr">
        <is>
          <t>0871dfb7-f092-4fba-a457-42b4384fe496.jpg</t>
        </is>
      </c>
      <c r="B9745">
        <f>HYPERLINK("Объекты недвижимости, не соответствующие градостроительным нормам_00-022_Август/0871dfb7-f092-4fba-a457-42b4384fe496.jpg","open")</f>
        <v/>
      </c>
      <c r="C9745" t="inlineStr">
        <is>
          <t>8b2675e2-7f40-47a9-a462-7c9feecd299c</t>
        </is>
      </c>
      <c r="D9745" t="n">
        <v>55.7132</v>
      </c>
      <c r="E9745" t="n">
        <v>37.7607</v>
      </c>
      <c r="F9745" t="inlineStr"/>
      <c r="G9745" t="inlineStr"/>
      <c r="H9745" t="inlineStr"/>
    </row>
    <row r="9746">
      <c r="A9746" t="inlineStr">
        <is>
          <t>8f4b90ec-4641-4abb-807e-de07528d056f.jpg</t>
        </is>
      </c>
      <c r="B9746">
        <f>HYPERLINK("Объекты недвижимости, не соответствующие градостроительным нормам_00-022_Август/8f4b90ec-4641-4abb-807e-de07528d056f.jpg","open")</f>
        <v/>
      </c>
      <c r="C9746" t="inlineStr">
        <is>
          <t>1c951e11-4940-43c6-a447-394097e5609a</t>
        </is>
      </c>
      <c r="D9746" t="n">
        <v>55.97956</v>
      </c>
      <c r="E9746" t="n">
        <v>37.4265</v>
      </c>
      <c r="F9746" t="inlineStr"/>
      <c r="G9746" t="inlineStr"/>
      <c r="H9746" t="inlineStr"/>
    </row>
    <row r="9747">
      <c r="A9747" t="inlineStr">
        <is>
          <t>912c156a-963e-4712-b82a-514ae64889af.jpg</t>
        </is>
      </c>
      <c r="B9747">
        <f>HYPERLINK("Объекты недвижимости, не соответствующие градостроительным нормам_00-022_Август/912c156a-963e-4712-b82a-514ae64889af.jpg","open")</f>
        <v/>
      </c>
      <c r="C9747" t="inlineStr">
        <is>
          <t>29ad9edb-d533-4272-a986-be24eb004851</t>
        </is>
      </c>
      <c r="D9747" t="n">
        <v>55.75585</v>
      </c>
      <c r="E9747" t="n">
        <v>37.53262</v>
      </c>
      <c r="F9747" t="inlineStr"/>
      <c r="G9747" t="inlineStr"/>
      <c r="H9747" t="inlineStr"/>
    </row>
    <row r="9748">
      <c r="A9748" t="inlineStr">
        <is>
          <t>963c39b5-3b9e-43b6-b5ff-570a60f43f1f.jpg</t>
        </is>
      </c>
      <c r="B9748">
        <f>HYPERLINK("Объекты недвижимости, не соответствующие градостроительным нормам_00-022_Август/963c39b5-3b9e-43b6-b5ff-570a60f43f1f.jpg","open")</f>
        <v/>
      </c>
      <c r="C9748" t="inlineStr">
        <is>
          <t>29ad9edb-d533-4272-a986-be24eb004851</t>
        </is>
      </c>
      <c r="D9748" t="n">
        <v>55.74563</v>
      </c>
      <c r="E9748" t="n">
        <v>37.47649</v>
      </c>
      <c r="F9748" t="inlineStr"/>
      <c r="G9748" t="inlineStr"/>
      <c r="H9748" t="inlineStr"/>
    </row>
    <row r="9749">
      <c r="A9749" t="inlineStr">
        <is>
          <t>d317576d-dfef-428b-8746-ad15a09f3e73.jpg</t>
        </is>
      </c>
      <c r="B9749">
        <f>HYPERLINK("Объекты недвижимости, не соответствующие градостроительным нормам_00-022_Август/d317576d-dfef-428b-8746-ad15a09f3e73.jpg","open")</f>
        <v/>
      </c>
      <c r="C9749" t="inlineStr">
        <is>
          <t>fb9a37cc-57a6-447c-98bb-0b299f09c809</t>
        </is>
      </c>
      <c r="D9749" t="n">
        <v>55.68489</v>
      </c>
      <c r="E9749" t="n">
        <v>37.69595</v>
      </c>
      <c r="F9749" t="inlineStr"/>
      <c r="G9749" t="inlineStr"/>
      <c r="H9749" t="inlineStr"/>
    </row>
    <row r="9750">
      <c r="A9750" t="inlineStr">
        <is>
          <t>98e15fe6-6e81-470c-8da2-5d3c0a4b862f.jpg</t>
        </is>
      </c>
      <c r="B9750">
        <f>HYPERLINK("Объекты недвижимости, не соответствующие градостроительным нормам_00-022_Август/98e15fe6-6e81-470c-8da2-5d3c0a4b862f.jpg","open")</f>
        <v/>
      </c>
      <c r="C9750" t="inlineStr">
        <is>
          <t>8996eb30-6497-4318-8a0e-b95314b8172e</t>
        </is>
      </c>
      <c r="D9750" t="n">
        <v>56.00188</v>
      </c>
      <c r="E9750" t="n">
        <v>37.23856</v>
      </c>
      <c r="F9750" t="inlineStr"/>
      <c r="G9750" t="inlineStr"/>
      <c r="H9750" t="inlineStr"/>
    </row>
    <row r="9751">
      <c r="A9751" t="inlineStr">
        <is>
          <t>330998ec-0a8f-46ea-b1a5-32a0d379a788.jpg</t>
        </is>
      </c>
      <c r="B9751">
        <f>HYPERLINK("Объекты недвижимости, не соответствующие градостроительным нормам_00-022_Август/330998ec-0a8f-46ea-b1a5-32a0d379a788.jpg","open")</f>
        <v/>
      </c>
      <c r="C9751" t="inlineStr">
        <is>
          <t>789f6c51-64ee-4078-b7bd-443af8b8b68a</t>
        </is>
      </c>
      <c r="D9751" t="n">
        <v>55.88596</v>
      </c>
      <c r="E9751" t="n">
        <v>37.58959</v>
      </c>
      <c r="F9751" t="inlineStr"/>
      <c r="G9751" t="inlineStr"/>
      <c r="H9751" t="inlineStr"/>
    </row>
    <row r="9752">
      <c r="A9752" t="inlineStr">
        <is>
          <t>99eb8a1c-31ae-4016-abb2-cf7a77f41cd2.jpg</t>
        </is>
      </c>
      <c r="B9752">
        <f>HYPERLINK("Объекты недвижимости, не соответствующие градостроительным нормам_00-022_Август/99eb8a1c-31ae-4016-abb2-cf7a77f41cd2.jpg","open")</f>
        <v/>
      </c>
      <c r="C9752" t="inlineStr">
        <is>
          <t>91248771-2c4d-44f3-b3cf-d536bd4ae73c</t>
        </is>
      </c>
      <c r="D9752" t="n">
        <v>55.66634</v>
      </c>
      <c r="E9752" t="n">
        <v>37.87702</v>
      </c>
      <c r="F9752" t="inlineStr"/>
      <c r="G9752" t="inlineStr"/>
      <c r="H9752" t="inlineStr"/>
    </row>
    <row r="9753">
      <c r="A9753" t="inlineStr">
        <is>
          <t>e1c39221-1a4d-4d4f-8080-76e0971f4e96.jpg</t>
        </is>
      </c>
      <c r="B9753">
        <f>HYPERLINK("Объекты недвижимости, не соответствующие градостроительным нормам_00-022_Август/e1c39221-1a4d-4d4f-8080-76e0971f4e96.jpg","open")</f>
        <v/>
      </c>
      <c r="C9753" t="inlineStr">
        <is>
          <t>50e4626c-a80e-42ab-b999-b5092c2c063f</t>
        </is>
      </c>
      <c r="D9753" t="n">
        <v>55.75234</v>
      </c>
      <c r="E9753" t="n">
        <v>37.57343</v>
      </c>
      <c r="F9753" t="inlineStr"/>
      <c r="G9753" t="inlineStr"/>
      <c r="H9753" t="inlineStr"/>
    </row>
    <row r="9754">
      <c r="A9754" t="inlineStr">
        <is>
          <t>282613b6-4c2b-422b-86ec-0e33f59aa0f4.jpg</t>
        </is>
      </c>
      <c r="B9754">
        <f>HYPERLINK("Объекты недвижимости, не соответствующие градостроительным нормам_00-022_Август/282613b6-4c2b-422b-86ec-0e33f59aa0f4.jpg","open")</f>
        <v/>
      </c>
      <c r="C9754" t="inlineStr">
        <is>
          <t>1c951e11-4940-43c6-a447-394097e5609a</t>
        </is>
      </c>
      <c r="D9754" t="n">
        <v>55.80355</v>
      </c>
      <c r="E9754" t="n">
        <v>37.5828</v>
      </c>
      <c r="F9754" t="inlineStr"/>
      <c r="G9754" t="inlineStr"/>
      <c r="H9754" t="inlineStr"/>
    </row>
    <row r="9755">
      <c r="A9755" t="inlineStr">
        <is>
          <t>4638b0d0-b33d-4da4-884e-0837cb1b028d.jpg</t>
        </is>
      </c>
      <c r="B9755">
        <f>HYPERLINK("Объекты недвижимости, не соответствующие градостроительным нормам_00-022_Август/4638b0d0-b33d-4da4-884e-0837cb1b028d.jpg","open")</f>
        <v/>
      </c>
      <c r="C9755" t="inlineStr">
        <is>
          <t>8cde1fd0-eca1-4510-86ab-3c743b65fdfc</t>
        </is>
      </c>
      <c r="D9755" t="n">
        <v>55.80355</v>
      </c>
      <c r="E9755" t="n">
        <v>37.5828</v>
      </c>
      <c r="F9755" t="inlineStr"/>
      <c r="G9755" t="inlineStr"/>
      <c r="H9755" t="inlineStr"/>
    </row>
    <row r="9756">
      <c r="A9756" t="inlineStr">
        <is>
          <t>2594e806-2a1a-4488-ad54-2c5798467382.jpg</t>
        </is>
      </c>
      <c r="B9756">
        <f>HYPERLINK("Объекты недвижимости, не соответствующие градостроительным нормам_00-022_Август/2594e806-2a1a-4488-ad54-2c5798467382.jpg","open")</f>
        <v/>
      </c>
      <c r="C9756" t="inlineStr">
        <is>
          <t>b0b7ea82-53be-40d0-b992-e2fd18611d5c</t>
        </is>
      </c>
      <c r="D9756" t="n">
        <v>55.68254</v>
      </c>
      <c r="E9756" t="n">
        <v>37.5233</v>
      </c>
      <c r="F9756" t="inlineStr"/>
      <c r="G9756" t="inlineStr"/>
      <c r="H9756" t="inlineStr"/>
    </row>
    <row r="9757">
      <c r="A9757" t="inlineStr">
        <is>
          <t>637baf07-ab1f-4081-a899-9c9128194ed7.jpg</t>
        </is>
      </c>
      <c r="B9757">
        <f>HYPERLINK("Объекты недвижимости, не соответствующие градостроительным нормам_00-022_Август/637baf07-ab1f-4081-a899-9c9128194ed7.jpg","open")</f>
        <v/>
      </c>
      <c r="C9757" t="inlineStr">
        <is>
          <t>71239877-3cfe-4ed6-87a7-5c84ab51c75a</t>
        </is>
      </c>
      <c r="D9757" t="n">
        <v>55.74872</v>
      </c>
      <c r="E9757" t="n">
        <v>37.58506</v>
      </c>
      <c r="F9757" t="inlineStr"/>
      <c r="G9757" t="inlineStr"/>
      <c r="H9757" t="inlineStr"/>
    </row>
    <row r="9758">
      <c r="A9758" t="inlineStr">
        <is>
          <t>8900aaa2-d6e5-4f6a-bc06-2663d4d5fd64.jpg</t>
        </is>
      </c>
      <c r="B9758">
        <f>HYPERLINK("Объекты недвижимости, не соответствующие градостроительным нормам_00-022_Август/8900aaa2-d6e5-4f6a-bc06-2663d4d5fd64.jpg","open")</f>
        <v/>
      </c>
      <c r="C9758" t="inlineStr">
        <is>
          <t>8cde1fd0-eca1-4510-86ab-3c743b65fdfc</t>
        </is>
      </c>
      <c r="D9758" t="n">
        <v>55.79591</v>
      </c>
      <c r="E9758" t="n">
        <v>37.58384</v>
      </c>
      <c r="F9758" t="inlineStr"/>
      <c r="G9758" t="inlineStr"/>
      <c r="H9758" t="inlineStr"/>
    </row>
    <row r="9759">
      <c r="A9759" t="inlineStr">
        <is>
          <t>777d973b-6443-4829-a71d-43cca62b6804.jpg</t>
        </is>
      </c>
      <c r="B9759">
        <f>HYPERLINK("Объекты недвижимости, не соответствующие градостроительным нормам_00-022_Август/777d973b-6443-4829-a71d-43cca62b6804.jpg","open")</f>
        <v/>
      </c>
      <c r="C9759" t="inlineStr">
        <is>
          <t>8beacb4f-617e-4b34-8030-60c4dff5f8d1</t>
        </is>
      </c>
      <c r="D9759" t="n">
        <v>55.74872</v>
      </c>
      <c r="E9759" t="n">
        <v>37.58506</v>
      </c>
      <c r="F9759" t="inlineStr"/>
      <c r="G9759" t="inlineStr"/>
      <c r="H9759" t="inlineStr"/>
    </row>
    <row r="9760">
      <c r="A9760" t="inlineStr">
        <is>
          <t>4e3f36cb-134c-4d0c-a0d5-86123e61f6de.jpg</t>
        </is>
      </c>
      <c r="B9760">
        <f>HYPERLINK("Объекты недвижимости, не соответствующие градостроительным нормам_00-022_Август/4e3f36cb-134c-4d0c-a0d5-86123e61f6de.jpg","open")</f>
        <v/>
      </c>
      <c r="C9760" t="inlineStr">
        <is>
          <t>0dd30d74-4dbc-46a8-b638-91e1431bb398</t>
        </is>
      </c>
      <c r="D9760" t="n">
        <v>55.7954</v>
      </c>
      <c r="E9760" t="n">
        <v>37.76802</v>
      </c>
      <c r="F9760" t="inlineStr"/>
      <c r="G9760" t="inlineStr"/>
      <c r="H9760" t="inlineStr"/>
    </row>
    <row r="9761">
      <c r="A9761" t="inlineStr">
        <is>
          <t>2996b4ae-2b1f-446c-a7d0-812be5062adf.jpg</t>
        </is>
      </c>
      <c r="B9761">
        <f>HYPERLINK("Объекты недвижимости, не соответствующие градостроительным нормам_00-022_Август/2996b4ae-2b1f-446c-a7d0-812be5062adf.jpg","open")</f>
        <v/>
      </c>
      <c r="C9761" t="inlineStr">
        <is>
          <t>93848fc8-17e7-4748-9ebc-c7e379e11d2f</t>
        </is>
      </c>
      <c r="D9761" t="n">
        <v>55.79541</v>
      </c>
      <c r="E9761" t="n">
        <v>37.76804</v>
      </c>
      <c r="F9761" t="inlineStr"/>
      <c r="G9761" t="inlineStr"/>
      <c r="H9761" t="inlineStr"/>
    </row>
    <row r="9762">
      <c r="A9762" t="inlineStr">
        <is>
          <t>ec8090b5-90e3-421a-90c6-28492ac69e9d.jpg</t>
        </is>
      </c>
      <c r="B9762">
        <f>HYPERLINK("Объекты недвижимости, не соответствующие градостроительным нормам_00-022_Август/ec8090b5-90e3-421a-90c6-28492ac69e9d.jpg","open")</f>
        <v/>
      </c>
      <c r="C9762" t="inlineStr">
        <is>
          <t>8beacb4f-617e-4b34-8030-60c4dff5f8d1</t>
        </is>
      </c>
      <c r="D9762" t="n">
        <v>55.74872</v>
      </c>
      <c r="E9762" t="n">
        <v>37.58506</v>
      </c>
      <c r="F9762" t="inlineStr"/>
      <c r="G9762" t="inlineStr"/>
      <c r="H9762" t="inlineStr"/>
    </row>
    <row r="9763">
      <c r="A9763" t="inlineStr">
        <is>
          <t>13502dae-c7e9-4e5a-b0bf-a82f9ca22be3.jpg</t>
        </is>
      </c>
      <c r="B9763">
        <f>HYPERLINK("Объекты недвижимости, не соответствующие градостроительным нормам_00-022_Август/13502dae-c7e9-4e5a-b0bf-a82f9ca22be3.jpg","open")</f>
        <v/>
      </c>
      <c r="C9763" t="inlineStr">
        <is>
          <t>c008bda0-324b-4c90-9c2f-36cfc930e0b5</t>
        </is>
      </c>
      <c r="D9763" t="n">
        <v>55.76548</v>
      </c>
      <c r="E9763" t="n">
        <v>37.51243</v>
      </c>
      <c r="F9763" t="inlineStr"/>
      <c r="G9763" t="inlineStr"/>
      <c r="H9763" t="inlineStr"/>
    </row>
    <row r="9764">
      <c r="A9764" t="inlineStr">
        <is>
          <t>9f246adc-6718-4cdb-9bf2-04a87075e9df.jpg</t>
        </is>
      </c>
      <c r="B9764">
        <f>HYPERLINK("Объекты недвижимости, не соответствующие градостроительным нормам_00-022_Август/9f246adc-6718-4cdb-9bf2-04a87075e9df.jpg","open")</f>
        <v/>
      </c>
      <c r="C9764" t="inlineStr">
        <is>
          <t>29ad9edb-d533-4272-a986-be24eb004851</t>
        </is>
      </c>
      <c r="D9764" t="n">
        <v>55.76548</v>
      </c>
      <c r="E9764" t="n">
        <v>37.51243</v>
      </c>
      <c r="F9764" t="inlineStr"/>
      <c r="G9764" t="inlineStr"/>
      <c r="H9764" t="inlineStr"/>
    </row>
    <row r="9765">
      <c r="A9765" t="inlineStr">
        <is>
          <t>8635726f-9a41-4adb-873b-8fa0e8b2dd46.jpg</t>
        </is>
      </c>
      <c r="B9765">
        <f>HYPERLINK("Объекты недвижимости, не соответствующие градостроительным нормам_00-022_Август/8635726f-9a41-4adb-873b-8fa0e8b2dd46.jpg","open")</f>
        <v/>
      </c>
      <c r="C9765" t="inlineStr">
        <is>
          <t>9f88688f-4c81-42a8-b76a-3c3e7edf869e</t>
        </is>
      </c>
      <c r="D9765" t="n">
        <v>55.97808</v>
      </c>
      <c r="E9765" t="n">
        <v>37.42881</v>
      </c>
      <c r="F9765" t="inlineStr"/>
      <c r="G9765" t="inlineStr"/>
      <c r="H9765" t="inlineStr"/>
    </row>
    <row r="9766">
      <c r="A9766" t="inlineStr">
        <is>
          <t>beda8c45-a5f5-4321-bf6d-c98c550786c0.jpg</t>
        </is>
      </c>
      <c r="B9766">
        <f>HYPERLINK("Объекты недвижимости, не соответствующие градостроительным нормам_00-022_Август/beda8c45-a5f5-4321-bf6d-c98c550786c0.jpg","open")</f>
        <v/>
      </c>
      <c r="C9766" t="inlineStr">
        <is>
          <t>9f88688f-4c81-42a8-b76a-3c3e7edf869e</t>
        </is>
      </c>
      <c r="D9766" t="n">
        <v>55.96713</v>
      </c>
      <c r="E9766" t="n">
        <v>37.4263</v>
      </c>
      <c r="F9766" t="inlineStr"/>
      <c r="G9766" t="inlineStr"/>
      <c r="H9766" t="inlineStr"/>
    </row>
    <row r="9767">
      <c r="A9767" t="inlineStr">
        <is>
          <t>9d7a6b44-64a0-47d6-8524-9f6cc0a0d0cf.jpg</t>
        </is>
      </c>
      <c r="B9767">
        <f>HYPERLINK("Объекты недвижимости, не соответствующие градостроительным нормам_00-022_Август/9d7a6b44-64a0-47d6-8524-9f6cc0a0d0cf.jpg","open")</f>
        <v/>
      </c>
      <c r="C9767" t="inlineStr">
        <is>
          <t>91248771-2c4d-44f3-b3cf-d536bd4ae73c</t>
        </is>
      </c>
      <c r="D9767" t="n">
        <v>55.66634</v>
      </c>
      <c r="E9767" t="n">
        <v>37.87702</v>
      </c>
      <c r="F9767" t="inlineStr"/>
      <c r="G9767" t="inlineStr"/>
      <c r="H9767" t="inlineStr"/>
    </row>
    <row r="9768">
      <c r="A9768" t="inlineStr">
        <is>
          <t>5fd06f8c-64f4-442a-a352-0e7ed2bb2fbc.jpg</t>
        </is>
      </c>
      <c r="B9768">
        <f>HYPERLINK("Объекты недвижимости, не соответствующие градостроительным нормам_00-022_Август/5fd06f8c-64f4-442a-a352-0e7ed2bb2fbc.jpg","open")</f>
        <v/>
      </c>
      <c r="C9768" t="inlineStr">
        <is>
          <t>b0b7ea82-53be-40d0-b992-e2fd18611d5c</t>
        </is>
      </c>
      <c r="D9768" t="n">
        <v>55.6881</v>
      </c>
      <c r="E9768" t="n">
        <v>37.52877</v>
      </c>
      <c r="F9768" t="inlineStr"/>
      <c r="G9768" t="inlineStr"/>
      <c r="H9768" t="inlineStr"/>
    </row>
    <row r="9769">
      <c r="A9769" t="inlineStr">
        <is>
          <t>d3b47101-521e-48e4-b857-2f2baaf90b05.jpg</t>
        </is>
      </c>
      <c r="B9769">
        <f>HYPERLINK("Объекты недвижимости, не соответствующие градостроительным нормам_00-022_Август/d3b47101-521e-48e4-b857-2f2baaf90b05.jpg","open")</f>
        <v/>
      </c>
      <c r="C9769" t="inlineStr">
        <is>
          <t>f20fbc2b-b369-4734-bb66-92af02fbb0d1</t>
        </is>
      </c>
      <c r="D9769" t="n">
        <v>55.68817</v>
      </c>
      <c r="E9769" t="n">
        <v>37.52887</v>
      </c>
      <c r="F9769" t="inlineStr"/>
      <c r="G9769" t="inlineStr"/>
      <c r="H9769" t="inlineStr"/>
    </row>
    <row r="9770">
      <c r="A9770" t="inlineStr">
        <is>
          <t>f5b3f0ed-a24b-4f80-a457-c816268f0659.jpg</t>
        </is>
      </c>
      <c r="B9770">
        <f>HYPERLINK("Объекты недвижимости, не соответствующие градостроительным нормам_00-022_Август/f5b3f0ed-a24b-4f80-a457-c816268f0659.jpg","open")</f>
        <v/>
      </c>
      <c r="C9770" t="inlineStr">
        <is>
          <t>e85aff3b-73e8-4856-827e-477ccc0aea77</t>
        </is>
      </c>
      <c r="D9770" t="n">
        <v>55.90355</v>
      </c>
      <c r="E9770" t="n">
        <v>37.4179</v>
      </c>
      <c r="F9770" t="inlineStr"/>
      <c r="G9770" t="inlineStr"/>
      <c r="H9770" t="inlineStr"/>
    </row>
    <row r="9771">
      <c r="A9771" t="inlineStr">
        <is>
          <t>f939951b-0c38-4c53-b462-5ce6756c8574.jpg</t>
        </is>
      </c>
      <c r="B9771">
        <f>HYPERLINK("Объекты недвижимости, не соответствующие градостроительным нормам_00-022_Август/f939951b-0c38-4c53-b462-5ce6756c8574.jpg","open")</f>
        <v/>
      </c>
      <c r="C9771" t="inlineStr">
        <is>
          <t>93848fc8-17e7-4748-9ebc-c7e379e11d2f</t>
        </is>
      </c>
      <c r="D9771" t="n">
        <v>55.7983</v>
      </c>
      <c r="E9771" t="n">
        <v>37.76855</v>
      </c>
      <c r="F9771" t="inlineStr"/>
      <c r="G9771" t="inlineStr"/>
      <c r="H9771" t="inlineStr"/>
    </row>
    <row r="9772">
      <c r="A9772" t="inlineStr">
        <is>
          <t>af521683-e30f-4f09-9e58-aaee045b2f08.jpg</t>
        </is>
      </c>
      <c r="B9772">
        <f>HYPERLINK("Объекты недвижимости, не соответствующие градостроительным нормам_00-022_Август/af521683-e30f-4f09-9e58-aaee045b2f08.jpg","open")</f>
        <v/>
      </c>
      <c r="C9772" t="inlineStr">
        <is>
          <t>2acfb2da-e3f6-464c-bd17-4b713522c142</t>
        </is>
      </c>
      <c r="D9772" t="n">
        <v>55.88218</v>
      </c>
      <c r="E9772" t="n">
        <v>37.58501</v>
      </c>
      <c r="F9772" t="inlineStr"/>
      <c r="G9772" t="inlineStr"/>
      <c r="H9772" t="inlineStr"/>
    </row>
    <row r="9773">
      <c r="A9773" t="inlineStr">
        <is>
          <t>b1eef160-bbcd-410e-84cd-dd8784897bd4.jpg</t>
        </is>
      </c>
      <c r="B9773">
        <f>HYPERLINK("Объекты недвижимости, не соответствующие градостроительным нормам_00-022_Август/b1eef160-bbcd-410e-84cd-dd8784897bd4.jpg","open")</f>
        <v/>
      </c>
      <c r="C9773" t="inlineStr">
        <is>
          <t>789f6c51-64ee-4078-b7bd-443af8b8b68a</t>
        </is>
      </c>
      <c r="D9773" t="n">
        <v>55.88219</v>
      </c>
      <c r="E9773" t="n">
        <v>37.58497</v>
      </c>
      <c r="F9773" t="inlineStr"/>
      <c r="G9773" t="inlineStr"/>
      <c r="H9773" t="inlineStr"/>
    </row>
    <row r="9774">
      <c r="A9774" t="inlineStr">
        <is>
          <t>4c33f631-a1e7-4766-b908-d1ac1eee79fc.jpg</t>
        </is>
      </c>
      <c r="B9774">
        <f>HYPERLINK("Объекты недвижимости, не соответствующие градостроительным нормам_00-022_Август/4c33f631-a1e7-4766-b908-d1ac1eee79fc.jpg","open")</f>
        <v/>
      </c>
      <c r="C9774" t="inlineStr">
        <is>
          <t>caa4772d-6278-4484-a046-ee25514bf521</t>
        </is>
      </c>
      <c r="D9774" t="n">
        <v>55.7029</v>
      </c>
      <c r="E9774" t="n">
        <v>37.75114</v>
      </c>
      <c r="F9774" t="inlineStr"/>
      <c r="G9774" t="inlineStr"/>
      <c r="H9774" t="inlineStr"/>
    </row>
    <row r="9775">
      <c r="A9775" t="inlineStr">
        <is>
          <t>a70bfbf9-6d13-4db6-8376-236b12e81e4f.jpg</t>
        </is>
      </c>
      <c r="B9775">
        <f>HYPERLINK("Объекты недвижимости, не соответствующие градостроительным нормам_00-022_Август/a70bfbf9-6d13-4db6-8376-236b12e81e4f.jpg","open")</f>
        <v/>
      </c>
      <c r="C9775" t="inlineStr">
        <is>
          <t>caa4772d-6278-4484-a046-ee25514bf521</t>
        </is>
      </c>
      <c r="D9775" t="n">
        <v>55.69888</v>
      </c>
      <c r="E9775" t="n">
        <v>37.75373</v>
      </c>
      <c r="F9775" t="inlineStr"/>
      <c r="G9775" t="inlineStr"/>
      <c r="H9775" t="inlineStr"/>
    </row>
    <row r="9776">
      <c r="A9776" t="inlineStr">
        <is>
          <t>38735c09-a168-43c3-850c-37de89551f5f.jpg</t>
        </is>
      </c>
      <c r="B9776">
        <f>HYPERLINK("Объекты недвижимости, не соответствующие градостроительным нормам_00-022_Август/38735c09-a168-43c3-850c-37de89551f5f.jpg","open")</f>
        <v/>
      </c>
      <c r="C9776" t="inlineStr">
        <is>
          <t>57812597-37e6-414c-8b11-8c661dbfeb70</t>
        </is>
      </c>
      <c r="D9776" t="n">
        <v>55.8979</v>
      </c>
      <c r="E9776" t="n">
        <v>38.00465</v>
      </c>
      <c r="F9776" t="inlineStr"/>
      <c r="G9776" t="inlineStr"/>
      <c r="H9776" t="inlineStr"/>
    </row>
    <row r="9777">
      <c r="A9777" t="inlineStr">
        <is>
          <t>3551f77c-a3f4-476d-8002-5848d64db4ea.jpg</t>
        </is>
      </c>
      <c r="B9777">
        <f>HYPERLINK("Объекты недвижимости, не соответствующие градостроительным нормам_00-022_Август/3551f77c-a3f4-476d-8002-5848d64db4ea.jpg","open")</f>
        <v/>
      </c>
      <c r="C9777" t="inlineStr">
        <is>
          <t>036c664f-5408-4fd0-b479-342c00468eeb</t>
        </is>
      </c>
      <c r="D9777" t="n">
        <v>55.64566</v>
      </c>
      <c r="E9777" t="n">
        <v>37.40279</v>
      </c>
      <c r="F9777" t="inlineStr"/>
      <c r="G9777" t="inlineStr"/>
      <c r="H9777" t="inlineStr"/>
    </row>
    <row r="9778">
      <c r="A9778" t="inlineStr">
        <is>
          <t>f3fc0ef3-74b0-4899-98d5-393981725526.jpg</t>
        </is>
      </c>
      <c r="B9778">
        <f>HYPERLINK("Объекты недвижимости, не соответствующие градостроительным нормам_00-022_Август/f3fc0ef3-74b0-4899-98d5-393981725526.jpg","open")</f>
        <v/>
      </c>
      <c r="C9778" t="inlineStr">
        <is>
          <t>f389b777-2837-46f0-983f-56af24850601</t>
        </is>
      </c>
      <c r="D9778" t="n">
        <v>55.8979</v>
      </c>
      <c r="E9778" t="n">
        <v>38.00465</v>
      </c>
      <c r="F9778" t="inlineStr"/>
      <c r="G9778" t="inlineStr"/>
      <c r="H9778" t="inlineStr"/>
    </row>
    <row r="9779">
      <c r="A9779" t="inlineStr">
        <is>
          <t>944aa08b-4d56-484e-bd3c-fb7e8986399d.jpg</t>
        </is>
      </c>
      <c r="B9779">
        <f>HYPERLINK("Объекты недвижимости, не соответствующие градостроительным нормам_00-022_Август/944aa08b-4d56-484e-bd3c-fb7e8986399d.jpg","open")</f>
        <v/>
      </c>
      <c r="C9779" t="inlineStr">
        <is>
          <t>57812597-37e6-414c-8b11-8c661dbfeb70</t>
        </is>
      </c>
      <c r="D9779" t="n">
        <v>55.76825</v>
      </c>
      <c r="E9779" t="n">
        <v>37.68002</v>
      </c>
      <c r="F9779" t="inlineStr"/>
      <c r="G9779" t="inlineStr"/>
      <c r="H9779" t="inlineStr"/>
    </row>
    <row r="9780">
      <c r="A9780" t="inlineStr">
        <is>
          <t>3f877638-28e1-4cb2-a5dd-a2fae2e2a6f8.jpg</t>
        </is>
      </c>
      <c r="B9780">
        <f>HYPERLINK("Объекты недвижимости, не соответствующие градостроительным нормам_00-022_Август/3f877638-28e1-4cb2-a5dd-a2fae2e2a6f8.jpg","open")</f>
        <v/>
      </c>
      <c r="C9780" t="inlineStr">
        <is>
          <t>57812597-37e6-414c-8b11-8c661dbfeb70</t>
        </is>
      </c>
      <c r="D9780" t="n">
        <v>55.76855</v>
      </c>
      <c r="E9780" t="n">
        <v>37.68145</v>
      </c>
      <c r="F9780" t="inlineStr"/>
      <c r="G9780" t="inlineStr"/>
      <c r="H9780" t="inlineStr"/>
    </row>
    <row r="9781">
      <c r="A9781" t="inlineStr">
        <is>
          <t>dbeb5f2c-d575-4738-b64f-b1aa6695fb87.jpg</t>
        </is>
      </c>
      <c r="B9781">
        <f>HYPERLINK("Объекты недвижимости, не соответствующие градостроительным нормам_00-022_Август/dbeb5f2c-d575-4738-b64f-b1aa6695fb87.jpg","open")</f>
        <v/>
      </c>
      <c r="C9781" t="inlineStr">
        <is>
          <t>036c664f-5408-4fd0-b479-342c00468eeb</t>
        </is>
      </c>
      <c r="D9781" t="n">
        <v>55.64445</v>
      </c>
      <c r="E9781" t="n">
        <v>37.40611</v>
      </c>
      <c r="F9781" t="inlineStr"/>
      <c r="G9781" t="inlineStr"/>
      <c r="H9781" t="inlineStr"/>
    </row>
    <row r="9782">
      <c r="A9782" t="inlineStr">
        <is>
          <t>a4e1878f-58c4-4f4e-838e-daa908c60196.jpg</t>
        </is>
      </c>
      <c r="B9782">
        <f>HYPERLINK("Объекты недвижимости, не соответствующие градостроительным нормам_00-022_Август/a4e1878f-58c4-4f4e-838e-daa908c60196.jpg","open")</f>
        <v/>
      </c>
      <c r="C9782" t="inlineStr">
        <is>
          <t>936502dd-24a4-4256-9fdf-0d8fb72af3ed</t>
        </is>
      </c>
      <c r="D9782" t="n">
        <v>55.68411</v>
      </c>
      <c r="E9782" t="n">
        <v>37.66963</v>
      </c>
      <c r="F9782" t="inlineStr"/>
      <c r="G9782" t="inlineStr"/>
      <c r="H9782" t="inlineStr"/>
    </row>
    <row r="9783">
      <c r="A9783" t="inlineStr">
        <is>
          <t>01605cd1-9591-4f55-87af-d85b7d220bb7.jpg</t>
        </is>
      </c>
      <c r="B9783">
        <f>HYPERLINK("Объекты недвижимости, не соответствующие градостроительным нормам_00-022_Август/01605cd1-9591-4f55-87af-d85b7d220bb7.jpg","open")</f>
        <v/>
      </c>
      <c r="C9783" t="inlineStr">
        <is>
          <t>030e8755-17c1-44eb-9530-707d0d3121cb</t>
        </is>
      </c>
      <c r="D9783" t="n">
        <v>55.68463</v>
      </c>
      <c r="E9783" t="n">
        <v>37.67021</v>
      </c>
      <c r="F9783" t="inlineStr"/>
      <c r="G9783" t="inlineStr"/>
      <c r="H9783" t="inlineStr"/>
    </row>
    <row r="9784">
      <c r="A9784" t="inlineStr">
        <is>
          <t>5bc58c85-8c67-4dda-a6e9-cdde43e0dfc4.jpg</t>
        </is>
      </c>
      <c r="B9784">
        <f>HYPERLINK("Объекты недвижимости, не соответствующие градостроительным нормам_00-022_Август/5bc58c85-8c67-4dda-a6e9-cdde43e0dfc4.jpg","open")</f>
        <v/>
      </c>
      <c r="C9784" t="inlineStr">
        <is>
          <t>a28f597e-d1cd-4d3b-b572-c86d033412e9</t>
        </is>
      </c>
      <c r="D9784" t="n">
        <v>55.6466</v>
      </c>
      <c r="E9784" t="n">
        <v>37.40557</v>
      </c>
      <c r="F9784" t="inlineStr"/>
      <c r="G9784" t="inlineStr"/>
      <c r="H9784" t="inlineStr"/>
    </row>
    <row r="9785">
      <c r="A9785" t="inlineStr">
        <is>
          <t>8999f96c-f711-4ddd-bb0a-dc02b1ca584f.jpg</t>
        </is>
      </c>
      <c r="B9785">
        <f>HYPERLINK("Объекты недвижимости, не соответствующие градостроительным нормам_00-022_Август/8999f96c-f711-4ddd-bb0a-dc02b1ca584f.jpg","open")</f>
        <v/>
      </c>
      <c r="C9785" t="inlineStr">
        <is>
          <t>789f6c51-64ee-4078-b7bd-443af8b8b68a</t>
        </is>
      </c>
      <c r="D9785" t="n">
        <v>55.88126</v>
      </c>
      <c r="E9785" t="n">
        <v>37.57835</v>
      </c>
      <c r="F9785" t="inlineStr"/>
      <c r="G9785" t="inlineStr"/>
      <c r="H9785" t="inlineStr"/>
    </row>
    <row r="9786">
      <c r="A9786" t="inlineStr">
        <is>
          <t>414444e9-ca5d-4232-8f21-8934f7fcc1c9.jpg</t>
        </is>
      </c>
      <c r="B9786">
        <f>HYPERLINK("Объекты недвижимости, не соответствующие градостроительным нормам_00-022_Август/414444e9-ca5d-4232-8f21-8934f7fcc1c9.jpg","open")</f>
        <v/>
      </c>
      <c r="C9786" t="inlineStr">
        <is>
          <t>2acfb2da-e3f6-464c-bd17-4b713522c142</t>
        </is>
      </c>
      <c r="D9786" t="n">
        <v>55.88126</v>
      </c>
      <c r="E9786" t="n">
        <v>37.57826</v>
      </c>
      <c r="F9786" t="inlineStr"/>
      <c r="G9786" t="inlineStr"/>
      <c r="H9786" t="inlineStr"/>
    </row>
    <row r="9787">
      <c r="A9787" t="inlineStr">
        <is>
          <t>b9b44ed6-ea5e-4161-8a6f-d1297200d91c.jpg</t>
        </is>
      </c>
      <c r="B9787">
        <f>HYPERLINK("Объекты недвижимости, не соответствующие градостроительным нормам_00-022_Август/b9b44ed6-ea5e-4161-8a6f-d1297200d91c.jpg","open")</f>
        <v/>
      </c>
      <c r="C9787" t="inlineStr">
        <is>
          <t>a1a9db89-3f74-42ef-8fad-ad69705102cd</t>
        </is>
      </c>
      <c r="D9787" t="n">
        <v>55.6199</v>
      </c>
      <c r="E9787" t="n">
        <v>37.66747</v>
      </c>
      <c r="F9787" t="inlineStr"/>
      <c r="G9787" t="inlineStr"/>
      <c r="H9787" t="inlineStr"/>
    </row>
    <row r="9788">
      <c r="A9788" t="inlineStr">
        <is>
          <t>50595ca6-9ceb-4f7a-983e-6a78ff84a819.jpg</t>
        </is>
      </c>
      <c r="B9788">
        <f>HYPERLINK("Объекты недвижимости, не соответствующие градостроительным нормам_00-022_Август/50595ca6-9ceb-4f7a-983e-6a78ff84a819.jpg","open")</f>
        <v/>
      </c>
      <c r="C9788" t="inlineStr">
        <is>
          <t>9f88688f-4c81-42a8-b76a-3c3e7edf869e</t>
        </is>
      </c>
      <c r="D9788" t="n">
        <v>55.96782</v>
      </c>
      <c r="E9788" t="n">
        <v>37.4285</v>
      </c>
      <c r="F9788" t="inlineStr"/>
      <c r="G9788" t="inlineStr"/>
      <c r="H9788" t="inlineStr"/>
    </row>
    <row r="9789">
      <c r="A9789" t="inlineStr">
        <is>
          <t>92a001f5-5596-41a5-8fc4-9cb6a3c57214.jpg</t>
        </is>
      </c>
      <c r="B9789">
        <f>HYPERLINK("Объекты недвижимости, не соответствующие градостроительным нормам_00-022_Август/92a001f5-5596-41a5-8fc4-9cb6a3c57214.jpg","open")</f>
        <v/>
      </c>
      <c r="C9789" t="inlineStr">
        <is>
          <t>fce890a6-27da-4062-a046-08262a160ee6</t>
        </is>
      </c>
      <c r="D9789" t="n">
        <v>55.96782</v>
      </c>
      <c r="E9789" t="n">
        <v>37.4285</v>
      </c>
      <c r="F9789" t="inlineStr"/>
      <c r="G9789" t="inlineStr"/>
      <c r="H9789" t="inlineStr"/>
    </row>
    <row r="9790">
      <c r="A9790" t="inlineStr">
        <is>
          <t>388e2985-9900-4d9d-8c7f-17594767663f.jpg</t>
        </is>
      </c>
      <c r="B9790">
        <f>HYPERLINK("Объекты недвижимости, не соответствующие градостроительным нормам_00-022_Август/388e2985-9900-4d9d-8c7f-17594767663f.jpg","open")</f>
        <v/>
      </c>
      <c r="C9790" t="inlineStr">
        <is>
          <t>b0b7ea82-53be-40d0-b992-e2fd18611d5c</t>
        </is>
      </c>
      <c r="D9790" t="n">
        <v>55.68455</v>
      </c>
      <c r="E9790" t="n">
        <v>37.53349</v>
      </c>
      <c r="F9790" t="inlineStr"/>
      <c r="G9790" t="inlineStr"/>
      <c r="H9790" t="inlineStr"/>
    </row>
    <row r="9791">
      <c r="A9791" t="inlineStr">
        <is>
          <t>f06f0404-dadf-4549-8e34-14c52f09f738.jpg</t>
        </is>
      </c>
      <c r="B9791">
        <f>HYPERLINK("Объекты недвижимости, не соответствующие градостроительным нормам_00-022_Август/f06f0404-dadf-4549-8e34-14c52f09f738.jpg","open")</f>
        <v/>
      </c>
      <c r="C9791" t="inlineStr">
        <is>
          <t>789f6c51-64ee-4078-b7bd-443af8b8b68a</t>
        </is>
      </c>
      <c r="D9791" t="n">
        <v>55.88121</v>
      </c>
      <c r="E9791" t="n">
        <v>37.57745</v>
      </c>
      <c r="F9791" t="inlineStr"/>
      <c r="G9791" t="inlineStr"/>
      <c r="H9791" t="inlineStr"/>
    </row>
    <row r="9792">
      <c r="A9792" t="inlineStr">
        <is>
          <t>981fd3c7-dc6a-489a-956a-5f59a7b1d84b.jpg</t>
        </is>
      </c>
      <c r="B9792">
        <f>HYPERLINK("Объекты недвижимости, не соответствующие градостроительным нормам_00-022_Август/981fd3c7-dc6a-489a-956a-5f59a7b1d84b.jpg","open")</f>
        <v/>
      </c>
      <c r="C9792" t="inlineStr">
        <is>
          <t>036c664f-5408-4fd0-b479-342c00468eeb</t>
        </is>
      </c>
      <c r="D9792" t="n">
        <v>55.64835</v>
      </c>
      <c r="E9792" t="n">
        <v>37.40354</v>
      </c>
      <c r="F9792" t="inlineStr"/>
      <c r="G9792" t="inlineStr"/>
      <c r="H9792" t="inlineStr"/>
    </row>
    <row r="9793">
      <c r="A9793" t="inlineStr">
        <is>
          <t>0bf21a9b-d2f0-4ccd-a36f-47030a4bbbf1.jpg</t>
        </is>
      </c>
      <c r="B9793">
        <f>HYPERLINK("Объекты недвижимости, не соответствующие градостроительным нормам_00-022_Август/0bf21a9b-d2f0-4ccd-a36f-47030a4bbbf1.jpg","open")</f>
        <v/>
      </c>
      <c r="C9793" t="inlineStr">
        <is>
          <t>a28f597e-d1cd-4d3b-b572-c86d033412e9</t>
        </is>
      </c>
      <c r="D9793" t="n">
        <v>55.64846</v>
      </c>
      <c r="E9793" t="n">
        <v>37.40338</v>
      </c>
      <c r="F9793" t="inlineStr"/>
      <c r="G9793" t="inlineStr"/>
      <c r="H9793" t="inlineStr"/>
    </row>
    <row r="9794">
      <c r="A9794" t="inlineStr">
        <is>
          <t>bab3472f-e96d-4b0e-bd99-99e1dc72781b.jpg</t>
        </is>
      </c>
      <c r="B9794">
        <f>HYPERLINK("Объекты недвижимости, не соответствующие градостроительным нормам_00-022_Август/bab3472f-e96d-4b0e-bd99-99e1dc72781b.jpg","open")</f>
        <v/>
      </c>
      <c r="C9794" t="inlineStr">
        <is>
          <t>8cde1fd0-eca1-4510-86ab-3c743b65fdfc</t>
        </is>
      </c>
      <c r="D9794" t="n">
        <v>55.8152</v>
      </c>
      <c r="E9794" t="n">
        <v>37.57132</v>
      </c>
      <c r="F9794" t="inlineStr"/>
      <c r="G9794" t="inlineStr"/>
      <c r="H9794" t="inlineStr"/>
    </row>
    <row r="9795">
      <c r="A9795" t="inlineStr">
        <is>
          <t>79ed135e-0ca9-4492-bccf-8ab6bafa2463.jpg</t>
        </is>
      </c>
      <c r="B9795">
        <f>HYPERLINK("Объекты недвижимости, не соответствующие градостроительным нормам_00-022_Август/79ed135e-0ca9-4492-bccf-8ab6bafa2463.jpg","open")</f>
        <v/>
      </c>
      <c r="C9795" t="inlineStr">
        <is>
          <t>93848fc8-17e7-4748-9ebc-c7e379e11d2f</t>
        </is>
      </c>
      <c r="D9795" t="n">
        <v>55.79321</v>
      </c>
      <c r="E9795" t="n">
        <v>37.7734</v>
      </c>
      <c r="F9795" t="inlineStr"/>
      <c r="G9795" t="inlineStr"/>
      <c r="H9795" t="inlineStr"/>
    </row>
    <row r="9796">
      <c r="A9796" t="inlineStr">
        <is>
          <t>1a78210c-7526-44ff-b03f-b5f1f062350b.jpg</t>
        </is>
      </c>
      <c r="B9796">
        <f>HYPERLINK("Объекты недвижимости, не соответствующие градостроительным нормам_00-022_Август/1a78210c-7526-44ff-b03f-b5f1f062350b.jpg","open")</f>
        <v/>
      </c>
      <c r="C9796" t="inlineStr">
        <is>
          <t>f389b777-2837-46f0-983f-56af24850601</t>
        </is>
      </c>
      <c r="D9796" t="n">
        <v>55.76437</v>
      </c>
      <c r="E9796" t="n">
        <v>37.68062</v>
      </c>
      <c r="F9796" t="inlineStr"/>
      <c r="G9796" t="inlineStr"/>
      <c r="H9796" t="inlineStr"/>
    </row>
    <row r="9797">
      <c r="A9797" t="inlineStr">
        <is>
          <t>988e3f28-900b-4445-b09b-6853fa2773f7.jpg</t>
        </is>
      </c>
      <c r="B9797">
        <f>HYPERLINK("Объекты недвижимости, не соответствующие градостроительным нормам_00-022_Август/988e3f28-900b-4445-b09b-6853fa2773f7.jpg","open")</f>
        <v/>
      </c>
      <c r="C9797" t="inlineStr">
        <is>
          <t>b0429a31-0c70-4b9f-8ea5-73929d82f89e</t>
        </is>
      </c>
      <c r="D9797" t="n">
        <v>55.66825</v>
      </c>
      <c r="E9797" t="n">
        <v>37.64958</v>
      </c>
      <c r="F9797" t="inlineStr"/>
      <c r="G9797" t="inlineStr"/>
      <c r="H9797" t="inlineStr"/>
    </row>
    <row r="9798">
      <c r="A9798" t="inlineStr">
        <is>
          <t>dea2cb82-69db-458e-91ce-77c4dba7902e.jpg</t>
        </is>
      </c>
      <c r="B9798">
        <f>HYPERLINK("Объекты недвижимости, не соответствующие градостроительным нормам_00-022_Август/dea2cb82-69db-458e-91ce-77c4dba7902e.jpg","open")</f>
        <v/>
      </c>
      <c r="C9798" t="inlineStr">
        <is>
          <t>b6b3590f-f506-4399-8205-e7ac710132e7</t>
        </is>
      </c>
      <c r="D9798" t="n">
        <v>55.80901</v>
      </c>
      <c r="E9798" t="n">
        <v>37.52813</v>
      </c>
      <c r="F9798" t="inlineStr"/>
      <c r="G9798" t="inlineStr"/>
      <c r="H9798" t="inlineStr"/>
    </row>
    <row r="9799">
      <c r="A9799" t="inlineStr">
        <is>
          <t>9cb1005a-15d4-45c0-8ec3-b56326d227ee.jpg</t>
        </is>
      </c>
      <c r="B9799">
        <f>HYPERLINK("Объекты недвижимости, не соответствующие градостроительным нормам_00-022_Август/9cb1005a-15d4-45c0-8ec3-b56326d227ee.jpg","open")</f>
        <v/>
      </c>
      <c r="C9799" t="inlineStr">
        <is>
          <t>030e8755-17c1-44eb-9530-707d0d3121cb</t>
        </is>
      </c>
      <c r="D9799" t="n">
        <v>55.68312</v>
      </c>
      <c r="E9799" t="n">
        <v>37.67675</v>
      </c>
      <c r="F9799" t="inlineStr"/>
      <c r="G9799" t="inlineStr"/>
      <c r="H9799" t="inlineStr"/>
    </row>
    <row r="9800">
      <c r="A9800" t="inlineStr">
        <is>
          <t>9cd700ae-ee96-4e36-bd93-7bdd6b4bfd8a.jpg</t>
        </is>
      </c>
      <c r="B9800">
        <f>HYPERLINK("Объекты недвижимости, не соответствующие градостроительным нормам_00-022_Август/9cd700ae-ee96-4e36-bd93-7bdd6b4bfd8a.jpg","open")</f>
        <v/>
      </c>
      <c r="C9800" t="inlineStr">
        <is>
          <t>caa4772d-6278-4484-a046-ee25514bf521</t>
        </is>
      </c>
      <c r="D9800" t="n">
        <v>55.70282</v>
      </c>
      <c r="E9800" t="n">
        <v>37.76607</v>
      </c>
      <c r="F9800" t="inlineStr"/>
      <c r="G9800" t="inlineStr"/>
      <c r="H9800" t="inlineStr"/>
    </row>
    <row r="9801">
      <c r="A9801" t="inlineStr">
        <is>
          <t>a1d1456c-5bb6-4da9-83dd-0e20f59c1b5d.jpg</t>
        </is>
      </c>
      <c r="B9801">
        <f>HYPERLINK("Объекты недвижимости, не соответствующие градостроительным нормам_00-022_Август/a1d1456c-5bb6-4da9-83dd-0e20f59c1b5d.jpg","open")</f>
        <v/>
      </c>
      <c r="C9801" t="inlineStr">
        <is>
          <t>030e8755-17c1-44eb-9530-707d0d3121cb</t>
        </is>
      </c>
      <c r="D9801" t="n">
        <v>55.67244</v>
      </c>
      <c r="E9801" t="n">
        <v>37.68383</v>
      </c>
      <c r="F9801" t="inlineStr"/>
      <c r="G9801" t="inlineStr"/>
      <c r="H9801" t="inlineStr"/>
    </row>
    <row r="9802">
      <c r="A9802" t="inlineStr">
        <is>
          <t>2a181ef1-058b-4a5b-a69c-125ff04621f1.jpg</t>
        </is>
      </c>
      <c r="B9802">
        <f>HYPERLINK("Объекты недвижимости, не соответствующие градостроительным нормам_00-022_Август/2a181ef1-058b-4a5b-a69c-125ff04621f1.jpg","open")</f>
        <v/>
      </c>
      <c r="C9802" t="inlineStr">
        <is>
          <t>57812597-37e6-414c-8b11-8c661dbfeb70</t>
        </is>
      </c>
      <c r="D9802" t="n">
        <v>55.75005</v>
      </c>
      <c r="E9802" t="n">
        <v>37.66901</v>
      </c>
      <c r="F9802" t="inlineStr"/>
      <c r="G9802" t="inlineStr"/>
      <c r="H9802" t="inlineStr"/>
    </row>
    <row r="9803">
      <c r="A9803" t="inlineStr">
        <is>
          <t>e4c96622-aca2-4471-b786-a2b0e14230a0.jpg</t>
        </is>
      </c>
      <c r="B9803">
        <f>HYPERLINK("Объекты недвижимости, не соответствующие градостроительным нормам_00-022_Август/e4c96622-aca2-4471-b786-a2b0e14230a0.jpg","open")</f>
        <v/>
      </c>
      <c r="C9803" t="inlineStr">
        <is>
          <t>57812597-37e6-414c-8b11-8c661dbfeb70</t>
        </is>
      </c>
      <c r="D9803" t="n">
        <v>55.75005</v>
      </c>
      <c r="E9803" t="n">
        <v>37.66901</v>
      </c>
      <c r="F9803" t="inlineStr"/>
      <c r="G9803" t="inlineStr"/>
      <c r="H9803" t="inlineStr"/>
    </row>
    <row r="9804">
      <c r="A9804" t="inlineStr">
        <is>
          <t>7120fa78-9876-43c4-8c22-8657d0fca416.jpg</t>
        </is>
      </c>
      <c r="B9804">
        <f>HYPERLINK("Объекты недвижимости, не соответствующие градостроительным нормам_00-022_Август/7120fa78-9876-43c4-8c22-8657d0fca416.jpg","open")</f>
        <v/>
      </c>
      <c r="C9804" t="inlineStr">
        <is>
          <t>f389b777-2837-46f0-983f-56af24850601</t>
        </is>
      </c>
      <c r="D9804" t="n">
        <v>55.75005</v>
      </c>
      <c r="E9804" t="n">
        <v>37.66901</v>
      </c>
      <c r="F9804" t="inlineStr"/>
      <c r="G9804" t="inlineStr"/>
      <c r="H9804" t="inlineStr"/>
    </row>
    <row r="9805">
      <c r="A9805" t="inlineStr">
        <is>
          <t>5b150913-ca4e-4076-b00b-e0d3a8da73e7.jpg</t>
        </is>
      </c>
      <c r="B9805">
        <f>HYPERLINK("Объекты недвижимости, не соответствующие градостроительным нормам_00-022_Август/5b150913-ca4e-4076-b00b-e0d3a8da73e7.jpg","open")</f>
        <v/>
      </c>
      <c r="C9805" t="inlineStr">
        <is>
          <t>57812597-37e6-414c-8b11-8c661dbfeb70</t>
        </is>
      </c>
      <c r="D9805" t="n">
        <v>55.75005</v>
      </c>
      <c r="E9805" t="n">
        <v>37.66901</v>
      </c>
      <c r="F9805" t="inlineStr"/>
      <c r="G9805" t="inlineStr"/>
      <c r="H9805" t="inlineStr"/>
    </row>
    <row r="9806">
      <c r="A9806" t="inlineStr">
        <is>
          <t>b9929e7f-5ecc-4792-a9f0-aaaad1bba83b.jpg</t>
        </is>
      </c>
      <c r="B9806">
        <f>HYPERLINK("Объекты недвижимости, не соответствующие градостроительным нормам_00-022_Август/b9929e7f-5ecc-4792-a9f0-aaaad1bba83b.jpg","open")</f>
        <v/>
      </c>
      <c r="C9806" t="inlineStr">
        <is>
          <t>fb9a37cc-57a6-447c-98bb-0b299f09c809</t>
        </is>
      </c>
      <c r="D9806" t="n">
        <v>55.69938</v>
      </c>
      <c r="E9806" t="n">
        <v>37.58954</v>
      </c>
      <c r="F9806" t="inlineStr"/>
      <c r="G9806" t="inlineStr"/>
      <c r="H9806" t="inlineStr"/>
    </row>
    <row r="9807">
      <c r="A9807" t="inlineStr">
        <is>
          <t>41226d69-5c4d-49fa-ac5b-c6e319fe0899.jpg</t>
        </is>
      </c>
      <c r="B9807">
        <f>HYPERLINK("Объекты недвижимости, не соответствующие градостроительным нормам_00-022_Август/41226d69-5c4d-49fa-ac5b-c6e319fe0899.jpg","open")</f>
        <v/>
      </c>
      <c r="C9807" t="inlineStr">
        <is>
          <t>036c664f-5408-4fd0-b479-342c00468eeb</t>
        </is>
      </c>
      <c r="D9807" t="n">
        <v>55.6497</v>
      </c>
      <c r="E9807" t="n">
        <v>37.40092</v>
      </c>
      <c r="F9807" t="inlineStr"/>
      <c r="G9807" t="inlineStr"/>
      <c r="H9807" t="inlineStr"/>
    </row>
    <row r="9808">
      <c r="A9808" t="inlineStr">
        <is>
          <t>1ea5c131-2dfa-403f-8888-ac0562058717.jpg</t>
        </is>
      </c>
      <c r="B9808">
        <f>HYPERLINK("Объекты недвижимости, не соответствующие градостроительным нормам_00-022_Август/1ea5c131-2dfa-403f-8888-ac0562058717.jpg","open")</f>
        <v/>
      </c>
      <c r="C9808" t="inlineStr">
        <is>
          <t>50e4626c-a80e-42ab-b999-b5092c2c063f</t>
        </is>
      </c>
      <c r="D9808" t="n">
        <v>55.97864</v>
      </c>
      <c r="E9808" t="n">
        <v>37.40197</v>
      </c>
      <c r="F9808" t="inlineStr"/>
      <c r="G9808" t="inlineStr"/>
      <c r="H9808" t="inlineStr"/>
    </row>
    <row r="9809">
      <c r="A9809" t="inlineStr">
        <is>
          <t>75dc210f-7648-4d5f-a60f-ef3704a99341.jpg</t>
        </is>
      </c>
      <c r="B9809">
        <f>HYPERLINK("Объекты недвижимости, не соответствующие градостроительным нормам_00-022_Август/75dc210f-7648-4d5f-a60f-ef3704a99341.jpg","open")</f>
        <v/>
      </c>
      <c r="C9809" t="inlineStr">
        <is>
          <t>f6f80c84-5569-48fd-b627-6f41ce4c61c4</t>
        </is>
      </c>
      <c r="D9809" t="n">
        <v>55.69697</v>
      </c>
      <c r="E9809" t="n">
        <v>37.78952</v>
      </c>
      <c r="F9809" t="inlineStr"/>
      <c r="G9809" t="inlineStr"/>
      <c r="H9809" t="inlineStr"/>
    </row>
    <row r="9810">
      <c r="A9810" t="inlineStr">
        <is>
          <t>4ff63794-d53f-425d-8c79-54e519b01c7b.jpg</t>
        </is>
      </c>
      <c r="B9810">
        <f>HYPERLINK("Объекты недвижимости, не соответствующие градостроительным нормам_00-022_Август/4ff63794-d53f-425d-8c79-54e519b01c7b.jpg","open")</f>
        <v/>
      </c>
      <c r="C9810" t="inlineStr">
        <is>
          <t>caa4772d-6278-4484-a046-ee25514bf521</t>
        </is>
      </c>
      <c r="D9810" t="n">
        <v>55.69694</v>
      </c>
      <c r="E9810" t="n">
        <v>37.78969</v>
      </c>
      <c r="F9810" t="inlineStr"/>
      <c r="G9810" t="inlineStr"/>
      <c r="H9810" t="inlineStr"/>
    </row>
    <row r="9811">
      <c r="A9811" t="inlineStr">
        <is>
          <t>ba889aff-79f8-41c8-adfe-410ffb5f50da.jpg</t>
        </is>
      </c>
      <c r="B9811">
        <f>HYPERLINK("Объекты недвижимости, не соответствующие градостроительным нормам_00-022_Август/ba889aff-79f8-41c8-adfe-410ffb5f50da.jpg","open")</f>
        <v/>
      </c>
      <c r="C9811" t="inlineStr">
        <is>
          <t>31a713a9-b910-424b-b847-e0eaa2f70c70</t>
        </is>
      </c>
      <c r="D9811" t="n">
        <v>55.97791</v>
      </c>
      <c r="E9811" t="n">
        <v>37.18287</v>
      </c>
      <c r="F9811" t="inlineStr"/>
      <c r="G9811" t="inlineStr"/>
      <c r="H9811" t="inlineStr"/>
    </row>
    <row r="9812">
      <c r="A9812" t="inlineStr">
        <is>
          <t>808eff7f-80f0-4266-82cb-70d69a822278.jpg</t>
        </is>
      </c>
      <c r="B9812">
        <f>HYPERLINK("Объекты недвижимости, не соответствующие градостроительным нормам_00-022_Август/808eff7f-80f0-4266-82cb-70d69a822278.jpg","open")</f>
        <v/>
      </c>
      <c r="C9812" t="inlineStr">
        <is>
          <t>2acfb2da-e3f6-464c-bd17-4b713522c142</t>
        </is>
      </c>
      <c r="D9812" t="n">
        <v>55.88093</v>
      </c>
      <c r="E9812" t="n">
        <v>37.57267</v>
      </c>
      <c r="F9812" t="inlineStr"/>
      <c r="G9812" t="inlineStr"/>
      <c r="H9812" t="inlineStr"/>
    </row>
    <row r="9813">
      <c r="A9813" t="inlineStr">
        <is>
          <t>2cee9def-e23b-4d4e-87c3-f3e86559586c.jpg</t>
        </is>
      </c>
      <c r="B9813">
        <f>HYPERLINK("Объекты недвижимости, не соответствующие градостроительным нормам_00-022_Август/2cee9def-e23b-4d4e-87c3-f3e86559586c.jpg","open")</f>
        <v/>
      </c>
      <c r="C9813" t="inlineStr">
        <is>
          <t>50e4626c-a80e-42ab-b999-b5092c2c063f</t>
        </is>
      </c>
      <c r="D9813" t="n">
        <v>55.97864</v>
      </c>
      <c r="E9813" t="n">
        <v>37.40197</v>
      </c>
      <c r="F9813" t="inlineStr"/>
      <c r="G9813" t="inlineStr"/>
      <c r="H9813" t="inlineStr"/>
    </row>
    <row r="9814">
      <c r="A9814" t="inlineStr">
        <is>
          <t>d04bd082-1b9d-4ef2-8340-0db49004438c.jpg</t>
        </is>
      </c>
      <c r="B9814">
        <f>HYPERLINK("Объекты недвижимости, не соответствующие градостроительным нормам_00-022_Август/d04bd082-1b9d-4ef2-8340-0db49004438c.jpg","open")</f>
        <v/>
      </c>
      <c r="C9814" t="inlineStr">
        <is>
          <t>9fb3d110-951f-48da-9d90-cfd7e1b5800d</t>
        </is>
      </c>
      <c r="D9814" t="n">
        <v>55.66301</v>
      </c>
      <c r="E9814" t="n">
        <v>37.47184</v>
      </c>
      <c r="F9814" t="inlineStr"/>
      <c r="G9814" t="inlineStr"/>
      <c r="H9814" t="inlineStr"/>
    </row>
    <row r="9815">
      <c r="A9815" t="inlineStr">
        <is>
          <t>c3b1fb46-1056-4a1b-82f8-65fecf845cc2.jpg</t>
        </is>
      </c>
      <c r="B9815">
        <f>HYPERLINK("Объекты недвижимости, не соответствующие градостроительным нормам_00-022_Август/c3b1fb46-1056-4a1b-82f8-65fecf845cc2.jpg","open")</f>
        <v/>
      </c>
      <c r="C9815" t="inlineStr">
        <is>
          <t>50e4626c-a80e-42ab-b999-b5092c2c063f</t>
        </is>
      </c>
      <c r="D9815" t="n">
        <v>55.97864</v>
      </c>
      <c r="E9815" t="n">
        <v>37.40197</v>
      </c>
      <c r="F9815" t="inlineStr"/>
      <c r="G9815" t="inlineStr"/>
      <c r="H9815" t="inlineStr"/>
    </row>
    <row r="9816">
      <c r="A9816" t="inlineStr">
        <is>
          <t>6cd3dd50-b945-41ea-8a35-1664e9cb2479.jpg</t>
        </is>
      </c>
      <c r="B9816">
        <f>HYPERLINK("Объекты недвижимости, не соответствующие градостроительным нормам_00-022_Август/6cd3dd50-b945-41ea-8a35-1664e9cb2479.jpg","open")</f>
        <v/>
      </c>
      <c r="C9816" t="inlineStr">
        <is>
          <t>ffd931da-542f-43e9-979f-5552b17fe3dc</t>
        </is>
      </c>
      <c r="D9816" t="n">
        <v>55.71889</v>
      </c>
      <c r="E9816" t="n">
        <v>37.83064</v>
      </c>
      <c r="F9816" t="inlineStr"/>
      <c r="G9816" t="inlineStr"/>
      <c r="H9816" t="inlineStr"/>
    </row>
    <row r="9817">
      <c r="A9817" t="inlineStr">
        <is>
          <t>4f6900d4-e326-4d79-9f44-4f1fd2d6bf4b.jpg</t>
        </is>
      </c>
      <c r="B9817">
        <f>HYPERLINK("Объекты недвижимости, не соответствующие градостроительным нормам_00-022_Август/4f6900d4-e326-4d79-9f44-4f1fd2d6bf4b.jpg","open")</f>
        <v/>
      </c>
      <c r="C9817" t="inlineStr">
        <is>
          <t>fb9a37cc-57a6-447c-98bb-0b299f09c809</t>
        </is>
      </c>
      <c r="D9817" t="n">
        <v>55.74255</v>
      </c>
      <c r="E9817" t="n">
        <v>37.46193</v>
      </c>
      <c r="F9817" t="inlineStr"/>
      <c r="G9817" t="inlineStr"/>
      <c r="H9817" t="inlineStr"/>
    </row>
    <row r="9818">
      <c r="A9818" t="inlineStr">
        <is>
          <t>748dc8b6-53e4-400d-8f6f-475c941fbe27.jpg</t>
        </is>
      </c>
      <c r="B9818">
        <f>HYPERLINK("Объекты недвижимости, не соответствующие градостроительным нормам_00-022_Август/748dc8b6-53e4-400d-8f6f-475c941fbe27.jpg","open")</f>
        <v/>
      </c>
      <c r="C9818" t="inlineStr">
        <is>
          <t>c008bda0-324b-4c90-9c2f-36cfc930e0b5</t>
        </is>
      </c>
      <c r="D9818" t="n">
        <v>55.97091</v>
      </c>
      <c r="E9818" t="n">
        <v>37.39954</v>
      </c>
      <c r="F9818" t="inlineStr"/>
      <c r="G9818" t="inlineStr"/>
      <c r="H9818" t="inlineStr"/>
    </row>
    <row r="9819">
      <c r="A9819" t="inlineStr">
        <is>
          <t>8e29951c-ebed-48fb-9102-26bed3309aa3.jpg</t>
        </is>
      </c>
      <c r="B9819">
        <f>HYPERLINK("Объекты недвижимости, не соответствующие градостроительным нормам_00-022_Август/8e29951c-ebed-48fb-9102-26bed3309aa3.jpg","open")</f>
        <v/>
      </c>
      <c r="C9819" t="inlineStr">
        <is>
          <t>b0429a31-0c70-4b9f-8ea5-73929d82f89e</t>
        </is>
      </c>
      <c r="D9819" t="n">
        <v>55.66836</v>
      </c>
      <c r="E9819" t="n">
        <v>37.65776</v>
      </c>
      <c r="F9819" t="inlineStr"/>
      <c r="G9819" t="inlineStr"/>
      <c r="H9819" t="inlineStr"/>
    </row>
    <row r="9820">
      <c r="A9820" t="inlineStr">
        <is>
          <t>cadae1a6-d328-448a-a3ea-b763d261d2a4.jpg</t>
        </is>
      </c>
      <c r="B9820">
        <f>HYPERLINK("Объекты недвижимости, не соответствующие градостроительным нормам_00-022_Август/cadae1a6-d328-448a-a3ea-b763d261d2a4.jpg","open")</f>
        <v/>
      </c>
      <c r="C9820" t="inlineStr">
        <is>
          <t>ffd931da-542f-43e9-979f-5552b17fe3dc</t>
        </is>
      </c>
      <c r="D9820" t="n">
        <v>55.71866</v>
      </c>
      <c r="E9820" t="n">
        <v>37.82567</v>
      </c>
      <c r="F9820" t="inlineStr"/>
      <c r="G9820" t="inlineStr"/>
      <c r="H9820" t="inlineStr"/>
    </row>
    <row r="9821">
      <c r="A9821" t="inlineStr">
        <is>
          <t>a75a9e10-6be8-4940-be09-2f8162c20739.jpg</t>
        </is>
      </c>
      <c r="B9821">
        <f>HYPERLINK("Объекты недвижимости, не соответствующие градостроительным нормам_00-022_Август/a75a9e10-6be8-4940-be09-2f8162c20739.jpg","open")</f>
        <v/>
      </c>
      <c r="C9821" t="inlineStr">
        <is>
          <t>50e4626c-a80e-42ab-b999-b5092c2c063f</t>
        </is>
      </c>
      <c r="D9821" t="n">
        <v>55.97864</v>
      </c>
      <c r="E9821" t="n">
        <v>37.40197</v>
      </c>
      <c r="F9821" t="inlineStr"/>
      <c r="G9821" t="inlineStr"/>
      <c r="H9821" t="inlineStr"/>
    </row>
    <row r="9822">
      <c r="A9822" t="inlineStr">
        <is>
          <t>4c09d320-78be-41cf-9b6b-ba30ecc1ef18.jpg</t>
        </is>
      </c>
      <c r="B9822">
        <f>HYPERLINK("Объекты недвижимости, не соответствующие градостроительным нормам_00-022_Август/4c09d320-78be-41cf-9b6b-ba30ecc1ef18.jpg","open")</f>
        <v/>
      </c>
      <c r="C9822" t="inlineStr">
        <is>
          <t>ad64e6b9-1ed5-44d7-a101-4945a1f9dec6</t>
        </is>
      </c>
      <c r="D9822" t="n">
        <v>55.56639</v>
      </c>
      <c r="E9822" t="n">
        <v>37.56958</v>
      </c>
      <c r="F9822" t="inlineStr"/>
      <c r="G9822" t="inlineStr"/>
      <c r="H9822" t="inlineStr"/>
    </row>
    <row r="9823">
      <c r="A9823" t="inlineStr">
        <is>
          <t>56ba0cc1-6bb6-4c0c-8696-cdad3475ce99.jpg</t>
        </is>
      </c>
      <c r="B9823">
        <f>HYPERLINK("Объекты недвижимости, не соответствующие градостроительным нормам_00-022_Август/56ba0cc1-6bb6-4c0c-8696-cdad3475ce99.jpg","open")</f>
        <v/>
      </c>
      <c r="C9823" t="inlineStr">
        <is>
          <t>12e795ad-2aa7-49de-b2da-2c6aa35a4559</t>
        </is>
      </c>
      <c r="D9823" t="n">
        <v>55.56639</v>
      </c>
      <c r="E9823" t="n">
        <v>37.56969</v>
      </c>
      <c r="F9823" t="inlineStr"/>
      <c r="G9823" t="inlineStr"/>
      <c r="H9823" t="inlineStr"/>
    </row>
    <row r="9824">
      <c r="A9824" t="inlineStr">
        <is>
          <t>378fa2f1-de51-4805-8ba6-14d55db31cf9.jpg</t>
        </is>
      </c>
      <c r="B9824">
        <f>HYPERLINK("Объекты недвижимости, не соответствующие градостроительным нормам_00-022_Август/378fa2f1-de51-4805-8ba6-14d55db31cf9.jpg","open")</f>
        <v/>
      </c>
      <c r="C9824" t="inlineStr">
        <is>
          <t>31a713a9-b910-424b-b847-e0eaa2f70c70</t>
        </is>
      </c>
      <c r="D9824" t="n">
        <v>55.97847</v>
      </c>
      <c r="E9824" t="n">
        <v>37.17931</v>
      </c>
      <c r="F9824" t="inlineStr"/>
      <c r="G9824" t="inlineStr"/>
      <c r="H9824" t="inlineStr"/>
    </row>
    <row r="9825">
      <c r="A9825" t="inlineStr">
        <is>
          <t>b5b42229-f4b0-481e-bdbc-aba4a8231e5c.jpg</t>
        </is>
      </c>
      <c r="B9825">
        <f>HYPERLINK("Объекты недвижимости, не соответствующие градостроительным нормам_00-022_Август/b5b42229-f4b0-481e-bdbc-aba4a8231e5c.jpg","open")</f>
        <v/>
      </c>
      <c r="C9825" t="inlineStr">
        <is>
          <t>5e5b9944-4f9e-4223-bf96-0bc0c8a93dfa</t>
        </is>
      </c>
      <c r="D9825" t="n">
        <v>55.7139</v>
      </c>
      <c r="E9825" t="n">
        <v>37.66078</v>
      </c>
      <c r="F9825" t="inlineStr"/>
      <c r="G9825" t="inlineStr"/>
      <c r="H9825" t="inlineStr"/>
    </row>
    <row r="9826">
      <c r="A9826" t="inlineStr">
        <is>
          <t>5475e70d-0463-4083-9aaf-841ce1844289.jpg</t>
        </is>
      </c>
      <c r="B9826">
        <f>HYPERLINK("Объекты недвижимости, не соответствующие градостроительным нормам_00-022_Август/5475e70d-0463-4083-9aaf-841ce1844289.jpg","open")</f>
        <v/>
      </c>
      <c r="C9826" t="inlineStr">
        <is>
          <t>57aae8a4-582b-4309-8045-c8127a9f86ae</t>
        </is>
      </c>
      <c r="D9826" t="n">
        <v>55.78941</v>
      </c>
      <c r="E9826" t="n">
        <v>37.78518</v>
      </c>
      <c r="F9826" t="inlineStr"/>
      <c r="G9826" t="inlineStr"/>
      <c r="H9826" t="inlineStr"/>
    </row>
    <row r="9827">
      <c r="A9827" t="inlineStr">
        <is>
          <t>b8ece68a-b185-445f-8397-1a298b44ae66.jpg</t>
        </is>
      </c>
      <c r="B9827">
        <f>HYPERLINK("Объекты недвижимости, не соответствующие градостроительным нормам_00-022_Август/b8ece68a-b185-445f-8397-1a298b44ae66.jpg","open")</f>
        <v/>
      </c>
      <c r="C9827" t="inlineStr">
        <is>
          <t>8b2675e2-7f40-47a9-a462-7c9feecd299c</t>
        </is>
      </c>
      <c r="D9827" t="n">
        <v>55.70785</v>
      </c>
      <c r="E9827" t="n">
        <v>37.65846</v>
      </c>
      <c r="F9827" t="inlineStr"/>
      <c r="G9827" t="inlineStr"/>
      <c r="H9827" t="inlineStr"/>
    </row>
    <row r="9828">
      <c r="A9828" t="inlineStr">
        <is>
          <t>3f98ffa2-2d4f-4f78-8a7b-930287c83b52.jpg</t>
        </is>
      </c>
      <c r="B9828">
        <f>HYPERLINK("Объекты недвижимости, не соответствующие градостроительным нормам_00-022_Август/3f98ffa2-2d4f-4f78-8a7b-930287c83b52.jpg","open")</f>
        <v/>
      </c>
      <c r="C9828" t="inlineStr">
        <is>
          <t>036c664f-5408-4fd0-b479-342c00468eeb</t>
        </is>
      </c>
      <c r="D9828" t="n">
        <v>55.65014</v>
      </c>
      <c r="E9828" t="n">
        <v>37.39683</v>
      </c>
      <c r="F9828" t="inlineStr"/>
      <c r="G9828" t="inlineStr"/>
      <c r="H9828" t="inlineStr"/>
    </row>
    <row r="9829">
      <c r="A9829" t="inlineStr">
        <is>
          <t>2c2c810f-7900-40c0-9e4f-ea7ca806f947.jpg</t>
        </is>
      </c>
      <c r="B9829">
        <f>HYPERLINK("Объекты недвижимости, не соответствующие градостроительным нормам_00-022_Август/2c2c810f-7900-40c0-9e4f-ea7ca806f947.jpg","open")</f>
        <v/>
      </c>
      <c r="C9829" t="inlineStr">
        <is>
          <t>936502dd-24a4-4256-9fdf-0d8fb72af3ed</t>
        </is>
      </c>
      <c r="D9829" t="n">
        <v>55.68527</v>
      </c>
      <c r="E9829" t="n">
        <v>37.67957</v>
      </c>
      <c r="F9829" t="inlineStr"/>
      <c r="G9829" t="inlineStr"/>
      <c r="H9829" t="inlineStr"/>
    </row>
    <row r="9830">
      <c r="A9830" t="inlineStr">
        <is>
          <t>a815820d-d2b5-4a7b-9e4b-d4fd6cec9e65.jpg</t>
        </is>
      </c>
      <c r="B9830">
        <f>HYPERLINK("Объекты недвижимости, не соответствующие градостроительным нормам_00-022_Август/a815820d-d2b5-4a7b-9e4b-d4fd6cec9e65.jpg","open")</f>
        <v/>
      </c>
      <c r="C9830" t="inlineStr">
        <is>
          <t>cbf95b01-f708-45a3-9ec0-3603469b538e</t>
        </is>
      </c>
      <c r="D9830" t="n">
        <v>55.63717</v>
      </c>
      <c r="E9830" t="n">
        <v>37.69319</v>
      </c>
      <c r="F9830" t="inlineStr"/>
      <c r="G9830" t="inlineStr"/>
      <c r="H9830" t="inlineStr"/>
    </row>
    <row r="9831">
      <c r="A9831" t="inlineStr">
        <is>
          <t>643de6ee-3c8d-4908-8adf-1cbd9b03dd3a.jpg</t>
        </is>
      </c>
      <c r="B9831">
        <f>HYPERLINK("Объекты недвижимости, не соответствующие градостроительным нормам_00-022_Август/643de6ee-3c8d-4908-8adf-1cbd9b03dd3a.jpg","open")</f>
        <v/>
      </c>
      <c r="C9831" t="inlineStr">
        <is>
          <t>50e4626c-a80e-42ab-b999-b5092c2c063f</t>
        </is>
      </c>
      <c r="D9831" t="n">
        <v>55.97864</v>
      </c>
      <c r="E9831" t="n">
        <v>37.40197</v>
      </c>
      <c r="F9831" t="inlineStr"/>
      <c r="G9831" t="inlineStr"/>
      <c r="H9831" t="inlineStr"/>
    </row>
    <row r="9832">
      <c r="A9832" t="inlineStr">
        <is>
          <t>55a9dc76-2b1a-4f19-a7ec-a98b76b454a0.jpg</t>
        </is>
      </c>
      <c r="B9832">
        <f>HYPERLINK("Объекты недвижимости, не соответствующие градостроительным нормам_00-022_Август/55a9dc76-2b1a-4f19-a7ec-a98b76b454a0.jpg","open")</f>
        <v/>
      </c>
      <c r="C9832" t="inlineStr">
        <is>
          <t>50e4626c-a80e-42ab-b999-b5092c2c063f</t>
        </is>
      </c>
      <c r="D9832" t="n">
        <v>55.97864</v>
      </c>
      <c r="E9832" t="n">
        <v>37.40197</v>
      </c>
      <c r="F9832" t="inlineStr"/>
      <c r="G9832" t="inlineStr"/>
      <c r="H9832" t="inlineStr"/>
    </row>
    <row r="9833">
      <c r="A9833" t="inlineStr">
        <is>
          <t>766ff01c-1573-40c5-8c4e-55ad3592d76f.jpg</t>
        </is>
      </c>
      <c r="B9833">
        <f>HYPERLINK("Объекты недвижимости, не соответствующие градостроительным нормам_00-022_Август/766ff01c-1573-40c5-8c4e-55ad3592d76f.jpg","open")</f>
        <v/>
      </c>
      <c r="C9833" t="inlineStr">
        <is>
          <t>caa4772d-6278-4484-a046-ee25514bf521</t>
        </is>
      </c>
      <c r="D9833" t="n">
        <v>55.70292</v>
      </c>
      <c r="E9833" t="n">
        <v>37.76597</v>
      </c>
      <c r="F9833" t="inlineStr"/>
      <c r="G9833" t="inlineStr"/>
      <c r="H9833" t="inlineStr"/>
    </row>
    <row r="9834">
      <c r="A9834" t="inlineStr">
        <is>
          <t>a8d30f03-649e-4015-808d-5ebf2caa54af.jpg</t>
        </is>
      </c>
      <c r="B9834">
        <f>HYPERLINK("Объекты недвижимости, не соответствующие градостроительным нормам_00-022_Август/a8d30f03-649e-4015-808d-5ebf2caa54af.jpg","open")</f>
        <v/>
      </c>
      <c r="C9834" t="inlineStr">
        <is>
          <t>50e4626c-a80e-42ab-b999-b5092c2c063f</t>
        </is>
      </c>
      <c r="D9834" t="n">
        <v>55.97864</v>
      </c>
      <c r="E9834" t="n">
        <v>37.40197</v>
      </c>
      <c r="F9834" t="inlineStr"/>
      <c r="G9834" t="inlineStr"/>
      <c r="H9834" t="inlineStr"/>
    </row>
    <row r="9835">
      <c r="A9835" t="inlineStr">
        <is>
          <t>cdb0e30b-6e9f-48dc-b2ac-a7f47904163c.jpg</t>
        </is>
      </c>
      <c r="B9835">
        <f>HYPERLINK("Объекты недвижимости, не соответствующие градостроительным нормам_00-022_Август/cdb0e30b-6e9f-48dc-b2ac-a7f47904163c.jpg","open")</f>
        <v/>
      </c>
      <c r="C9835" t="inlineStr">
        <is>
          <t>56702d00-3d38-4721-8f83-3846a59c1e44</t>
        </is>
      </c>
      <c r="D9835" t="n">
        <v>55.97864</v>
      </c>
      <c r="E9835" t="n">
        <v>37.40197</v>
      </c>
      <c r="F9835" t="inlineStr"/>
      <c r="G9835" t="inlineStr"/>
      <c r="H9835" t="inlineStr"/>
    </row>
    <row r="9836">
      <c r="A9836" t="inlineStr">
        <is>
          <t>907da178-8cab-4487-a2da-328080676034.jpg</t>
        </is>
      </c>
      <c r="B9836">
        <f>HYPERLINK("Объекты недвижимости, не соответствующие градостроительным нормам_00-022_Август/907da178-8cab-4487-a2da-328080676034.jpg","open")</f>
        <v/>
      </c>
      <c r="C9836" t="inlineStr">
        <is>
          <t>56702d00-3d38-4721-8f83-3846a59c1e44</t>
        </is>
      </c>
      <c r="D9836" t="n">
        <v>55.97864</v>
      </c>
      <c r="E9836" t="n">
        <v>37.40197</v>
      </c>
      <c r="F9836" t="inlineStr"/>
      <c r="G9836" t="inlineStr"/>
      <c r="H9836" t="inlineStr"/>
    </row>
    <row r="9837">
      <c r="A9837" t="inlineStr">
        <is>
          <t>82f211b7-25ef-4df4-9882-582ecfed5937.jpg</t>
        </is>
      </c>
      <c r="B9837">
        <f>HYPERLINK("Объекты недвижимости, не соответствующие градостроительным нормам_00-022_Август/82f211b7-25ef-4df4-9882-582ecfed5937.jpg","open")</f>
        <v/>
      </c>
      <c r="C9837" t="inlineStr">
        <is>
          <t>50e4626c-a80e-42ab-b999-b5092c2c063f</t>
        </is>
      </c>
      <c r="D9837" t="n">
        <v>55.97864</v>
      </c>
      <c r="E9837" t="n">
        <v>37.40197</v>
      </c>
      <c r="F9837" t="inlineStr"/>
      <c r="G9837" t="inlineStr"/>
      <c r="H9837" t="inlineStr"/>
    </row>
    <row r="9838">
      <c r="A9838" t="inlineStr">
        <is>
          <t>be0bb9f4-6467-45ee-9b3e-b55c03f68027.jpg</t>
        </is>
      </c>
      <c r="B9838">
        <f>HYPERLINK("Объекты недвижимости, не соответствующие градостроительным нормам_00-022_Август/be0bb9f4-6467-45ee-9b3e-b55c03f68027.jpg","open")</f>
        <v/>
      </c>
      <c r="C9838" t="inlineStr">
        <is>
          <t>6e2567a0-1fb9-40d5-a0e7-0adb480d2965</t>
        </is>
      </c>
      <c r="D9838" t="n">
        <v>55.73814</v>
      </c>
      <c r="E9838" t="n">
        <v>37.66255</v>
      </c>
      <c r="F9838" t="inlineStr"/>
      <c r="G9838" t="inlineStr"/>
      <c r="H9838" t="inlineStr"/>
    </row>
    <row r="9839">
      <c r="A9839" t="inlineStr">
        <is>
          <t>d6981a0f-9dff-4a88-a099-b56bcceaef2f.jpg</t>
        </is>
      </c>
      <c r="B9839">
        <f>HYPERLINK("Объекты недвижимости, не соответствующие градостроительным нормам_00-022_Август/d6981a0f-9dff-4a88-a099-b56bcceaef2f.jpg","open")</f>
        <v/>
      </c>
      <c r="C9839" t="inlineStr">
        <is>
          <t>fce890a6-27da-4062-a046-08262a160ee6</t>
        </is>
      </c>
      <c r="D9839" t="n">
        <v>55.97572</v>
      </c>
      <c r="E9839" t="n">
        <v>37.39656</v>
      </c>
      <c r="F9839" t="inlineStr"/>
      <c r="G9839" t="inlineStr"/>
      <c r="H9839" t="inlineStr"/>
    </row>
    <row r="9840">
      <c r="A9840" t="inlineStr">
        <is>
          <t>6a7fe8e0-4df3-42ab-921c-e47941f1dbe8.jpg</t>
        </is>
      </c>
      <c r="B9840">
        <f>HYPERLINK("Объекты недвижимости, не соответствующие градостроительным нормам_00-022_Август/6a7fe8e0-4df3-42ab-921c-e47941f1dbe8.jpg","open")</f>
        <v/>
      </c>
      <c r="C9840" t="inlineStr">
        <is>
          <t>6e2567a0-1fb9-40d5-a0e7-0adb480d2965</t>
        </is>
      </c>
      <c r="D9840" t="n">
        <v>55.73805</v>
      </c>
      <c r="E9840" t="n">
        <v>37.66223</v>
      </c>
      <c r="F9840" t="inlineStr"/>
      <c r="G9840" t="inlineStr"/>
      <c r="H9840" t="inlineStr"/>
    </row>
    <row r="9841">
      <c r="A9841" t="inlineStr">
        <is>
          <t>1ea7aa1f-9c51-48f9-8d64-a5e78bd36d68.jpg</t>
        </is>
      </c>
      <c r="B9841">
        <f>HYPERLINK("Объекты недвижимости, не соответствующие градостроительным нормам_00-022_Август/1ea7aa1f-9c51-48f9-8d64-a5e78bd36d68.jpg","open")</f>
        <v/>
      </c>
      <c r="C9841" t="inlineStr">
        <is>
          <t>cbf95b01-f708-45a3-9ec0-3603469b538e</t>
        </is>
      </c>
      <c r="D9841" t="n">
        <v>55.63059</v>
      </c>
      <c r="E9841" t="n">
        <v>37.7477</v>
      </c>
      <c r="F9841" t="inlineStr"/>
      <c r="G9841" t="inlineStr"/>
      <c r="H9841" t="inlineStr"/>
    </row>
    <row r="9842">
      <c r="A9842" t="inlineStr">
        <is>
          <t>89f34746-8ed2-4441-9bd9-4bb503991426.jpg</t>
        </is>
      </c>
      <c r="B9842">
        <f>HYPERLINK("Объекты недвижимости, не соответствующие градостроительным нормам_00-022_Август/89f34746-8ed2-4441-9bd9-4bb503991426.jpg","open")</f>
        <v/>
      </c>
      <c r="C9842" t="inlineStr">
        <is>
          <t>50e4626c-a80e-42ab-b999-b5092c2c063f</t>
        </is>
      </c>
      <c r="D9842" t="n">
        <v>55.7644</v>
      </c>
      <c r="E9842" t="n">
        <v>37.67445</v>
      </c>
      <c r="F9842" t="inlineStr"/>
      <c r="G9842" t="inlineStr"/>
      <c r="H9842" t="inlineStr"/>
    </row>
    <row r="9843">
      <c r="A9843" t="inlineStr">
        <is>
          <t>d7d5a4da-2222-48a6-bb14-374042f57f33.jpg</t>
        </is>
      </c>
      <c r="B9843">
        <f>HYPERLINK("Объекты недвижимости, не соответствующие градостроительным нормам_00-022_Август/d7d5a4da-2222-48a6-bb14-374042f57f33.jpg","open")</f>
        <v/>
      </c>
      <c r="C9843" t="inlineStr">
        <is>
          <t>1231bbc5-e64c-4dc7-9acc-77710f47607a</t>
        </is>
      </c>
      <c r="D9843" t="n">
        <v>55.68716</v>
      </c>
      <c r="E9843" t="n">
        <v>37.59602</v>
      </c>
      <c r="F9843" t="inlineStr"/>
      <c r="G9843" t="inlineStr"/>
      <c r="H9843" t="inlineStr"/>
    </row>
    <row r="9844">
      <c r="A9844" t="inlineStr">
        <is>
          <t>643e3c95-4ea4-417b-9538-111fa6511647.jpg</t>
        </is>
      </c>
      <c r="B9844">
        <f>HYPERLINK("Объекты недвижимости, не соответствующие градостроительным нормам_00-022_Август/643e3c95-4ea4-417b-9538-111fa6511647.jpg","open")</f>
        <v/>
      </c>
      <c r="C9844" t="inlineStr">
        <is>
          <t>fce890a6-27da-4062-a046-08262a160ee6</t>
        </is>
      </c>
      <c r="D9844" t="n">
        <v>55.97572</v>
      </c>
      <c r="E9844" t="n">
        <v>37.39656</v>
      </c>
      <c r="F9844" t="inlineStr"/>
      <c r="G9844" t="inlineStr"/>
      <c r="H9844" t="inlineStr"/>
    </row>
    <row r="9845">
      <c r="A9845" t="inlineStr">
        <is>
          <t>4a810330-6658-4eb7-8289-607d92236d69.jpg</t>
        </is>
      </c>
      <c r="B9845">
        <f>HYPERLINK("Объекты недвижимости, не соответствующие градостроительным нормам_00-022_Август/4a810330-6658-4eb7-8289-607d92236d69.jpg","open")</f>
        <v/>
      </c>
      <c r="C9845" t="inlineStr">
        <is>
          <t>50e4626c-a80e-42ab-b999-b5092c2c063f</t>
        </is>
      </c>
      <c r="D9845" t="n">
        <v>55.76399</v>
      </c>
      <c r="E9845" t="n">
        <v>37.67416</v>
      </c>
      <c r="F9845" t="inlineStr"/>
      <c r="G9845" t="inlineStr"/>
      <c r="H9845" t="inlineStr"/>
    </row>
    <row r="9846">
      <c r="A9846" t="inlineStr">
        <is>
          <t>509ee4c9-0095-43b6-bfa6-b9b2a5fb9363.jpg</t>
        </is>
      </c>
      <c r="B9846">
        <f>HYPERLINK("Объекты недвижимости, не соответствующие градостроительным нормам_00-022_Август/509ee4c9-0095-43b6-bfa6-b9b2a5fb9363.jpg","open")</f>
        <v/>
      </c>
      <c r="C9846" t="inlineStr">
        <is>
          <t>789f6c51-64ee-4078-b7bd-443af8b8b68a</t>
        </is>
      </c>
      <c r="D9846" t="n">
        <v>55.87615</v>
      </c>
      <c r="E9846" t="n">
        <v>37.5767</v>
      </c>
      <c r="F9846" t="inlineStr"/>
      <c r="G9846" t="inlineStr"/>
      <c r="H9846" t="inlineStr"/>
    </row>
    <row r="9847">
      <c r="A9847" t="inlineStr">
        <is>
          <t>c3b69059-48ae-4d13-8524-62f070676ef5.jpg</t>
        </is>
      </c>
      <c r="B9847">
        <f>HYPERLINK("Объекты недвижимости, не соответствующие градостроительным нормам_00-022_Август/c3b69059-48ae-4d13-8524-62f070676ef5.jpg","open")</f>
        <v/>
      </c>
      <c r="C9847" t="inlineStr">
        <is>
          <t>2acfb2da-e3f6-464c-bd17-4b713522c142</t>
        </is>
      </c>
      <c r="D9847" t="n">
        <v>55.87615</v>
      </c>
      <c r="E9847" t="n">
        <v>37.5767</v>
      </c>
      <c r="F9847" t="inlineStr"/>
      <c r="G9847" t="inlineStr"/>
      <c r="H9847" t="inlineStr"/>
    </row>
    <row r="9848">
      <c r="A9848" t="inlineStr">
        <is>
          <t>f452b5f7-43c4-42a7-a416-a970a7cafe90.jpg</t>
        </is>
      </c>
      <c r="B9848">
        <f>HYPERLINK("Объекты недвижимости, не соответствующие градостроительным нормам_00-022_Август/f452b5f7-43c4-42a7-a416-a970a7cafe90.jpg","open")</f>
        <v/>
      </c>
      <c r="C9848" t="inlineStr">
        <is>
          <t>a28f597e-d1cd-4d3b-b572-c86d033412e9</t>
        </is>
      </c>
      <c r="D9848" t="n">
        <v>55.65606</v>
      </c>
      <c r="E9848" t="n">
        <v>37.40255</v>
      </c>
      <c r="F9848" t="inlineStr"/>
      <c r="G9848" t="inlineStr"/>
      <c r="H9848" t="inlineStr"/>
    </row>
    <row r="9849">
      <c r="A9849" t="inlineStr">
        <is>
          <t>9b8b1585-1bfa-4fb0-8359-446e1f32e632.jpg</t>
        </is>
      </c>
      <c r="B9849">
        <f>HYPERLINK("Объекты недвижимости, не соответствующие градостроительным нормам_00-022_Август/9b8b1585-1bfa-4fb0-8359-446e1f32e632.jpg","open")</f>
        <v/>
      </c>
      <c r="C9849" t="inlineStr">
        <is>
          <t>936502dd-24a4-4256-9fdf-0d8fb72af3ed</t>
        </is>
      </c>
      <c r="D9849" t="n">
        <v>55.68856</v>
      </c>
      <c r="E9849" t="n">
        <v>37.68956</v>
      </c>
      <c r="F9849" t="inlineStr"/>
      <c r="G9849" t="inlineStr"/>
      <c r="H9849" t="inlineStr"/>
    </row>
    <row r="9850">
      <c r="A9850" t="inlineStr">
        <is>
          <t>808f32e1-d1f8-4683-9af4-17c0bf219a6b.jpg</t>
        </is>
      </c>
      <c r="B9850">
        <f>HYPERLINK("Объекты недвижимости, не соответствующие градостроительным нормам_00-022_Август/808f32e1-d1f8-4683-9af4-17c0bf219a6b.jpg","open")</f>
        <v/>
      </c>
      <c r="C9850" t="inlineStr">
        <is>
          <t>b6b3590f-f506-4399-8205-e7ac710132e7</t>
        </is>
      </c>
      <c r="D9850" t="n">
        <v>55.97811</v>
      </c>
      <c r="E9850" t="n">
        <v>37.42883</v>
      </c>
      <c r="F9850" t="inlineStr"/>
      <c r="G9850" t="inlineStr"/>
      <c r="H9850" t="inlineStr"/>
    </row>
    <row r="9851">
      <c r="A9851" t="inlineStr">
        <is>
          <t>b4fbfbe1-9ab4-4123-9039-702aa98fde48.jpg</t>
        </is>
      </c>
      <c r="B9851">
        <f>HYPERLINK("Объекты недвижимости, не соответствующие градостроительным нормам_00-022_Август/b4fbfbe1-9ab4-4123-9039-702aa98fde48.jpg","open")</f>
        <v/>
      </c>
      <c r="C9851" t="inlineStr">
        <is>
          <t>f6f80c84-5569-48fd-b627-6f41ce4c61c4</t>
        </is>
      </c>
      <c r="D9851" t="n">
        <v>55.70717</v>
      </c>
      <c r="E9851" t="n">
        <v>37.76772</v>
      </c>
      <c r="F9851" t="inlineStr"/>
      <c r="G9851" t="inlineStr"/>
      <c r="H9851" t="inlineStr"/>
    </row>
    <row r="9852">
      <c r="A9852" t="inlineStr">
        <is>
          <t>abd72c1e-ba78-421b-a918-22c5c66090a0.jpg</t>
        </is>
      </c>
      <c r="B9852">
        <f>HYPERLINK("Объекты недвижимости, не соответствующие градостроительным нормам_00-022_Август/abd72c1e-ba78-421b-a918-22c5c66090a0.jpg","open")</f>
        <v/>
      </c>
      <c r="C9852" t="inlineStr">
        <is>
          <t>036c664f-5408-4fd0-b479-342c00468eeb</t>
        </is>
      </c>
      <c r="D9852" t="n">
        <v>55.65531</v>
      </c>
      <c r="E9852" t="n">
        <v>37.40448</v>
      </c>
      <c r="F9852" t="inlineStr"/>
      <c r="G9852" t="inlineStr"/>
      <c r="H9852" t="inlineStr"/>
    </row>
    <row r="9853">
      <c r="A9853" t="inlineStr">
        <is>
          <t>0b0d8b66-7eda-4614-ade4-a1b66c117535.jpg</t>
        </is>
      </c>
      <c r="B9853">
        <f>HYPERLINK("Объекты недвижимости, не соответствующие градостроительным нормам_00-022_Август/0b0d8b66-7eda-4614-ade4-a1b66c117535.jpg","open")</f>
        <v/>
      </c>
      <c r="C9853" t="inlineStr">
        <is>
          <t>936502dd-24a4-4256-9fdf-0d8fb72af3ed</t>
        </is>
      </c>
      <c r="D9853" t="n">
        <v>55.68806</v>
      </c>
      <c r="E9853" t="n">
        <v>37.69192</v>
      </c>
      <c r="F9853" t="inlineStr"/>
      <c r="G9853" t="inlineStr"/>
      <c r="H9853" t="inlineStr"/>
    </row>
    <row r="9854">
      <c r="A9854" t="inlineStr">
        <is>
          <t>d909d9ca-0f5b-49ea-8ba5-9e86e76acbe0.jpg</t>
        </is>
      </c>
      <c r="B9854">
        <f>HYPERLINK("Объекты недвижимости, не соответствующие градостроительным нормам_00-022_Август/d909d9ca-0f5b-49ea-8ba5-9e86e76acbe0.jpg","open")</f>
        <v/>
      </c>
      <c r="C9854" t="inlineStr">
        <is>
          <t>9f88688f-4c81-42a8-b76a-3c3e7edf869e</t>
        </is>
      </c>
      <c r="D9854" t="n">
        <v>55.97572</v>
      </c>
      <c r="E9854" t="n">
        <v>37.39656</v>
      </c>
      <c r="F9854" t="inlineStr"/>
      <c r="G9854" t="inlineStr"/>
      <c r="H9854" t="inlineStr"/>
    </row>
    <row r="9855">
      <c r="A9855" t="inlineStr">
        <is>
          <t>f26c3169-273e-49a8-9fc4-0b88904fff8b.jpg</t>
        </is>
      </c>
      <c r="B9855">
        <f>HYPERLINK("Объекты недвижимости, не соответствующие градостроительным нормам_00-022_Август/f26c3169-273e-49a8-9fc4-0b88904fff8b.jpg","open")</f>
        <v/>
      </c>
      <c r="C9855" t="inlineStr">
        <is>
          <t>fce890a6-27da-4062-a046-08262a160ee6</t>
        </is>
      </c>
      <c r="D9855" t="n">
        <v>55.97572</v>
      </c>
      <c r="E9855" t="n">
        <v>37.39656</v>
      </c>
      <c r="F9855" t="inlineStr"/>
      <c r="G9855" t="inlineStr"/>
      <c r="H9855" t="inlineStr"/>
    </row>
    <row r="9856">
      <c r="A9856" t="inlineStr">
        <is>
          <t>25849f31-0586-40bd-b50a-cb7e11ec0f30.jpg</t>
        </is>
      </c>
      <c r="B9856">
        <f>HYPERLINK("Объекты недвижимости, не соответствующие градостроительным нормам_00-022_Август/25849f31-0586-40bd-b50a-cb7e11ec0f30.jpg","open")</f>
        <v/>
      </c>
      <c r="C9856" t="inlineStr">
        <is>
          <t>8cde1fd0-eca1-4510-86ab-3c743b65fdfc</t>
        </is>
      </c>
      <c r="D9856" t="n">
        <v>55.83588</v>
      </c>
      <c r="E9856" t="n">
        <v>37.55211</v>
      </c>
      <c r="F9856" t="inlineStr"/>
      <c r="G9856" t="inlineStr"/>
      <c r="H9856" t="inlineStr"/>
    </row>
    <row r="9857">
      <c r="A9857" t="inlineStr">
        <is>
          <t>aab60df8-e4a9-40be-829f-bf3b28f7a04a.jpg</t>
        </is>
      </c>
      <c r="B9857">
        <f>HYPERLINK("Объекты недвижимости, не соответствующие градостроительным нормам_00-022_Август/aab60df8-e4a9-40be-829f-bf3b28f7a04a.jpg","open")</f>
        <v/>
      </c>
      <c r="C9857" t="inlineStr">
        <is>
          <t>b0b7ea82-53be-40d0-b992-e2fd18611d5c</t>
        </is>
      </c>
      <c r="D9857" t="n">
        <v>55.67971</v>
      </c>
      <c r="E9857" t="n">
        <v>37.54185</v>
      </c>
      <c r="F9857" t="inlineStr"/>
      <c r="G9857" t="inlineStr"/>
      <c r="H9857" t="inlineStr"/>
    </row>
    <row r="9858">
      <c r="A9858" t="inlineStr">
        <is>
          <t>84c26242-6b82-4eb6-b2ff-3320eae505ac.jpg</t>
        </is>
      </c>
      <c r="B9858">
        <f>HYPERLINK("Объекты недвижимости, не соответствующие градостроительным нормам_00-022_Август/84c26242-6b82-4eb6-b2ff-3320eae505ac.jpg","open")</f>
        <v/>
      </c>
      <c r="C9858" t="inlineStr">
        <is>
          <t>2acfb2da-e3f6-464c-bd17-4b713522c142</t>
        </is>
      </c>
      <c r="D9858" t="n">
        <v>55.87615</v>
      </c>
      <c r="E9858" t="n">
        <v>37.5767</v>
      </c>
      <c r="F9858" t="inlineStr"/>
      <c r="G9858" t="inlineStr"/>
      <c r="H9858" t="inlineStr"/>
    </row>
    <row r="9859">
      <c r="A9859" t="inlineStr">
        <is>
          <t>27373eb3-d4a9-4e91-a0ff-ef2c7c325a5b.jpg</t>
        </is>
      </c>
      <c r="B9859">
        <f>HYPERLINK("Объекты недвижимости, не соответствующие градостроительным нормам_00-022_Август/27373eb3-d4a9-4e91-a0ff-ef2c7c325a5b.jpg","open")</f>
        <v/>
      </c>
      <c r="C9859" t="inlineStr">
        <is>
          <t>789f6c51-64ee-4078-b7bd-443af8b8b68a</t>
        </is>
      </c>
      <c r="D9859" t="n">
        <v>55.87615</v>
      </c>
      <c r="E9859" t="n">
        <v>37.5767</v>
      </c>
      <c r="F9859" t="inlineStr"/>
      <c r="G9859" t="inlineStr"/>
      <c r="H9859" t="inlineStr"/>
    </row>
    <row r="9860">
      <c r="A9860" t="inlineStr">
        <is>
          <t>a2fd3b0c-e4be-43b1-8a4a-f484ed672511.jpg</t>
        </is>
      </c>
      <c r="B9860">
        <f>HYPERLINK("Объекты недвижимости, не соответствующие градостроительным нормам_00-022_Август/a2fd3b0c-e4be-43b1-8a4a-f484ed672511.jpg","open")</f>
        <v/>
      </c>
      <c r="C9860" t="inlineStr">
        <is>
          <t>57aae8a4-582b-4309-8045-c8127a9f86ae</t>
        </is>
      </c>
      <c r="D9860" t="n">
        <v>55.78898</v>
      </c>
      <c r="E9860" t="n">
        <v>37.79337</v>
      </c>
      <c r="F9860" t="inlineStr"/>
      <c r="G9860" t="inlineStr"/>
      <c r="H9860" t="inlineStr"/>
    </row>
    <row r="9861">
      <c r="A9861" t="inlineStr">
        <is>
          <t>09ad370e-bf5c-4c46-a97b-34151eb77013.jpg</t>
        </is>
      </c>
      <c r="B9861">
        <f>HYPERLINK("Объекты недвижимости, не соответствующие градостроительным нормам_00-022_Август/09ad370e-bf5c-4c46-a97b-34151eb77013.jpg","open")</f>
        <v/>
      </c>
      <c r="C9861" t="inlineStr">
        <is>
          <t>acedacc2-0d8b-4fc1-9622-25621a89d071</t>
        </is>
      </c>
      <c r="D9861" t="n">
        <v>55.78899</v>
      </c>
      <c r="E9861" t="n">
        <v>37.79339</v>
      </c>
      <c r="F9861" t="inlineStr"/>
      <c r="G9861" t="inlineStr"/>
      <c r="H9861" t="inlineStr"/>
    </row>
    <row r="9862">
      <c r="A9862" t="inlineStr">
        <is>
          <t>aa3b6820-a8be-46a9-bbf8-3f476e3964fa.jpg</t>
        </is>
      </c>
      <c r="B9862">
        <f>HYPERLINK("Объекты недвижимости, не соответствующие градостроительным нормам_00-022_Август/aa3b6820-a8be-46a9-bbf8-3f476e3964fa.jpg","open")</f>
        <v/>
      </c>
      <c r="C9862" t="inlineStr">
        <is>
          <t>b6b3590f-f506-4399-8205-e7ac710132e7</t>
        </is>
      </c>
      <c r="D9862" t="n">
        <v>55.80566</v>
      </c>
      <c r="E9862" t="n">
        <v>37.51164</v>
      </c>
      <c r="F9862" t="inlineStr"/>
      <c r="G9862" t="inlineStr"/>
      <c r="H9862" t="inlineStr"/>
    </row>
    <row r="9863">
      <c r="A9863" t="inlineStr">
        <is>
          <t>4c391a63-61f8-4272-b61e-274ce2ebdeab.jpg</t>
        </is>
      </c>
      <c r="B9863">
        <f>HYPERLINK("Объекты недвижимости, не соответствующие градостроительным нормам_00-022_Август/4c391a63-61f8-4272-b61e-274ce2ebdeab.jpg","open")</f>
        <v/>
      </c>
      <c r="C9863" t="inlineStr">
        <is>
          <t>f6f80c84-5569-48fd-b627-6f41ce4c61c4</t>
        </is>
      </c>
      <c r="D9863" t="n">
        <v>55.71323</v>
      </c>
      <c r="E9863" t="n">
        <v>37.76068</v>
      </c>
      <c r="F9863" t="inlineStr"/>
      <c r="G9863" t="inlineStr"/>
      <c r="H9863" t="inlineStr"/>
    </row>
    <row r="9864">
      <c r="A9864" t="inlineStr">
        <is>
          <t>ce2dff7d-ac22-4d18-b03f-6244fa75145a.jpg</t>
        </is>
      </c>
      <c r="B9864">
        <f>HYPERLINK("Объекты недвижимости, не соответствующие градостроительным нормам_00-022_Август/ce2dff7d-ac22-4d18-b03f-6244fa75145a.jpg","open")</f>
        <v/>
      </c>
      <c r="C9864" t="inlineStr">
        <is>
          <t>caa4772d-6278-4484-a046-ee25514bf521</t>
        </is>
      </c>
      <c r="D9864" t="n">
        <v>55.71319</v>
      </c>
      <c r="E9864" t="n">
        <v>37.76067</v>
      </c>
      <c r="F9864" t="inlineStr"/>
      <c r="G9864" t="inlineStr"/>
      <c r="H9864" t="inlineStr"/>
    </row>
    <row r="9865">
      <c r="A9865" t="inlineStr">
        <is>
          <t>307e8369-017e-426b-aca5-04459b098755.jpg</t>
        </is>
      </c>
      <c r="B9865">
        <f>HYPERLINK("Объекты недвижимости, не соответствующие градостроительным нормам_00-022_Август/307e8369-017e-426b-aca5-04459b098755.jpg","open")</f>
        <v/>
      </c>
      <c r="C9865" t="inlineStr">
        <is>
          <t>acedacc2-0d8b-4fc1-9622-25621a89d071</t>
        </is>
      </c>
      <c r="D9865" t="n">
        <v>55.78904</v>
      </c>
      <c r="E9865" t="n">
        <v>37.79337</v>
      </c>
      <c r="F9865" t="inlineStr"/>
      <c r="G9865" t="inlineStr"/>
      <c r="H9865" t="inlineStr"/>
    </row>
    <row r="9866">
      <c r="A9866" t="inlineStr">
        <is>
          <t>634817dc-d6d0-4b50-8d82-a2d418637bd6.jpg</t>
        </is>
      </c>
      <c r="B9866">
        <f>HYPERLINK("Объекты недвижимости, не соответствующие градостроительным нормам_00-022_Август/634817dc-d6d0-4b50-8d82-a2d418637bd6.jpg","open")</f>
        <v/>
      </c>
      <c r="C9866" t="inlineStr">
        <is>
          <t>685d9054-b74f-49ab-857b-109fd2cec80d</t>
        </is>
      </c>
      <c r="D9866" t="n">
        <v>55.68353</v>
      </c>
      <c r="E9866" t="n">
        <v>37.59807</v>
      </c>
      <c r="F9866" t="inlineStr"/>
      <c r="G9866" t="inlineStr"/>
      <c r="H9866" t="inlineStr"/>
    </row>
    <row r="9867">
      <c r="A9867" t="inlineStr">
        <is>
          <t>e6af3fbd-7e63-46d6-a7b6-d626a4f4c8ab.jpg</t>
        </is>
      </c>
      <c r="B9867">
        <f>HYPERLINK("Объекты недвижимости, не соответствующие градостроительным нормам_00-022_Август/e6af3fbd-7e63-46d6-a7b6-d626a4f4c8ab.jpg","open")</f>
        <v/>
      </c>
      <c r="C9867" t="inlineStr">
        <is>
          <t>57aae8a4-582b-4309-8045-c8127a9f86ae</t>
        </is>
      </c>
      <c r="D9867" t="n">
        <v>55.78904</v>
      </c>
      <c r="E9867" t="n">
        <v>37.79332</v>
      </c>
      <c r="F9867" t="inlineStr"/>
      <c r="G9867" t="inlineStr"/>
      <c r="H9867" t="inlineStr"/>
    </row>
    <row r="9868">
      <c r="A9868" t="inlineStr">
        <is>
          <t>2a82cdbf-2e1f-4a1b-b0b3-3d968b24b801.jpg</t>
        </is>
      </c>
      <c r="B9868">
        <f>HYPERLINK("Объекты недвижимости, не соответствующие градостроительным нормам_00-022_Август/2a82cdbf-2e1f-4a1b-b0b3-3d968b24b801.jpg","open")</f>
        <v/>
      </c>
      <c r="C9868" t="inlineStr">
        <is>
          <t>a1a9db89-3f74-42ef-8fad-ad69705102cd</t>
        </is>
      </c>
      <c r="D9868" t="n">
        <v>55.64712</v>
      </c>
      <c r="E9868" t="n">
        <v>37.66853</v>
      </c>
      <c r="F9868" t="inlineStr"/>
      <c r="G9868" t="inlineStr"/>
      <c r="H9868" t="inlineStr"/>
    </row>
    <row r="9869">
      <c r="A9869" t="inlineStr">
        <is>
          <t>7540ab94-69bf-4e66-b410-3ba312c22212.jpg</t>
        </is>
      </c>
      <c r="B9869">
        <f>HYPERLINK("Объекты недвижимости, не соответствующие градостроительным нормам_00-022_Август/7540ab94-69bf-4e66-b410-3ba312c22212.jpg","open")</f>
        <v/>
      </c>
      <c r="C9869" t="inlineStr">
        <is>
          <t>685d9054-b74f-49ab-857b-109fd2cec80d</t>
        </is>
      </c>
      <c r="D9869" t="n">
        <v>55.684</v>
      </c>
      <c r="E9869" t="n">
        <v>37.59809</v>
      </c>
      <c r="F9869" t="inlineStr"/>
      <c r="G9869" t="inlineStr"/>
      <c r="H9869" t="inlineStr"/>
    </row>
    <row r="9870">
      <c r="A9870" t="inlineStr">
        <is>
          <t>11935a9a-9b19-43fe-a48d-cf020053cc6d.jpg</t>
        </is>
      </c>
      <c r="B9870">
        <f>HYPERLINK("Объекты недвижимости, не соответствующие градостроительным нормам_00-022_Август/11935a9a-9b19-43fe-a48d-cf020053cc6d.jpg","open")</f>
        <v/>
      </c>
      <c r="C9870" t="inlineStr">
        <is>
          <t>1231bbc5-e64c-4dc7-9acc-77710f47607a</t>
        </is>
      </c>
      <c r="D9870" t="n">
        <v>55.68411</v>
      </c>
      <c r="E9870" t="n">
        <v>37.59791</v>
      </c>
      <c r="F9870" t="inlineStr"/>
      <c r="G9870" t="inlineStr"/>
      <c r="H9870" t="inlineStr"/>
    </row>
    <row r="9871">
      <c r="A9871" t="inlineStr">
        <is>
          <t>b972d3e5-8177-46e7-aa2b-cf340977452d.jpg</t>
        </is>
      </c>
      <c r="B9871">
        <f>HYPERLINK("Объекты недвижимости, не соответствующие градостроительным нормам_00-022_Август/b972d3e5-8177-46e7-aa2b-cf340977452d.jpg","open")</f>
        <v/>
      </c>
      <c r="C9871" t="inlineStr">
        <is>
          <t>685d9054-b74f-49ab-857b-109fd2cec80d</t>
        </is>
      </c>
      <c r="D9871" t="n">
        <v>55.6841</v>
      </c>
      <c r="E9871" t="n">
        <v>37.59792</v>
      </c>
      <c r="F9871" t="inlineStr"/>
      <c r="G9871" t="inlineStr"/>
      <c r="H9871" t="inlineStr"/>
    </row>
    <row r="9872">
      <c r="A9872" t="inlineStr">
        <is>
          <t>c3e74793-87e0-4f70-9bb2-5111c298ae6f.jpg</t>
        </is>
      </c>
      <c r="B9872">
        <f>HYPERLINK("Объекты недвижимости, не соответствующие градостроительным нормам_00-022_Август/c3e74793-87e0-4f70-9bb2-5111c298ae6f.jpg","open")</f>
        <v/>
      </c>
      <c r="C9872" t="inlineStr">
        <is>
          <t>7b951050-981e-4ccd-816e-e002f271ab6a</t>
        </is>
      </c>
      <c r="D9872" t="n">
        <v>55.7952</v>
      </c>
      <c r="E9872" t="n">
        <v>37.81025</v>
      </c>
      <c r="F9872" t="inlineStr"/>
      <c r="G9872" t="inlineStr"/>
      <c r="H9872" t="inlineStr"/>
    </row>
    <row r="9873">
      <c r="A9873" t="inlineStr">
        <is>
          <t>0982393b-98db-48aa-9d1b-97c2afd479cb.jpg</t>
        </is>
      </c>
      <c r="B9873">
        <f>HYPERLINK("Объекты недвижимости, не соответствующие градостроительным нормам_00-022_Август/0982393b-98db-48aa-9d1b-97c2afd479cb.jpg","open")</f>
        <v/>
      </c>
      <c r="C9873" t="inlineStr">
        <is>
          <t>ed2bf0f1-3a66-4913-896e-4420a9796c0b</t>
        </is>
      </c>
      <c r="D9873" t="n">
        <v>55.61128</v>
      </c>
      <c r="E9873" t="n">
        <v>37.29751</v>
      </c>
      <c r="F9873" t="inlineStr"/>
      <c r="G9873" t="inlineStr"/>
      <c r="H9873" t="inlineStr"/>
    </row>
    <row r="9874">
      <c r="A9874" t="inlineStr">
        <is>
          <t>b1b35f02-8e62-4a8b-b3fc-6b18f08ab295.jpg</t>
        </is>
      </c>
      <c r="B9874">
        <f>HYPERLINK("Объекты недвижимости, не соответствующие градостроительным нормам_00-022_Август/b1b35f02-8e62-4a8b-b3fc-6b18f08ab295.jpg","open")</f>
        <v/>
      </c>
      <c r="C9874" t="inlineStr">
        <is>
          <t>cb4060b2-34d3-44a4-9f60-115fb1e9278e</t>
        </is>
      </c>
      <c r="D9874" t="n">
        <v>55.77313</v>
      </c>
      <c r="E9874" t="n">
        <v>37.60925</v>
      </c>
      <c r="F9874" t="inlineStr"/>
      <c r="G9874" t="inlineStr"/>
      <c r="H9874" t="inlineStr"/>
    </row>
    <row r="9875">
      <c r="A9875" t="inlineStr">
        <is>
          <t>b6e32ef2-00a3-41e8-87c5-deb2ba7521a4.jpg</t>
        </is>
      </c>
      <c r="B9875">
        <f>HYPERLINK("Объекты недвижимости, не соответствующие градостроительным нормам_00-022_Август/b6e32ef2-00a3-41e8-87c5-deb2ba7521a4.jpg","open")</f>
        <v/>
      </c>
      <c r="C9875" t="inlineStr">
        <is>
          <t>0dd30d74-4dbc-46a8-b638-91e1431bb398</t>
        </is>
      </c>
      <c r="D9875" t="n">
        <v>55.78942</v>
      </c>
      <c r="E9875" t="n">
        <v>37.78568</v>
      </c>
      <c r="F9875" t="inlineStr"/>
      <c r="G9875" t="inlineStr"/>
      <c r="H9875" t="inlineStr"/>
    </row>
    <row r="9876">
      <c r="A9876" t="inlineStr">
        <is>
          <t>c34490ab-f9fc-4c78-bb64-4c4256dbcb27.jpg</t>
        </is>
      </c>
      <c r="B9876">
        <f>HYPERLINK("Объекты недвижимости, не соответствующие градостроительным нормам_00-022_Август/c34490ab-f9fc-4c78-bb64-4c4256dbcb27.jpg","open")</f>
        <v/>
      </c>
      <c r="C9876" t="inlineStr">
        <is>
          <t>fb9a37cc-57a6-447c-98bb-0b299f09c809</t>
        </is>
      </c>
      <c r="D9876" t="n">
        <v>55.73935</v>
      </c>
      <c r="E9876" t="n">
        <v>37.41202</v>
      </c>
      <c r="F9876" t="inlineStr"/>
      <c r="G9876" t="inlineStr"/>
      <c r="H9876" t="inlineStr"/>
    </row>
    <row r="9877">
      <c r="A9877" t="inlineStr">
        <is>
          <t>fd0f8e4f-b7c6-44af-8643-3b75b7f40ba5.jpg</t>
        </is>
      </c>
      <c r="B9877">
        <f>HYPERLINK("Объекты недвижимости, не соответствующие градостроительным нормам_00-022_Август/fd0f8e4f-b7c6-44af-8643-3b75b7f40ba5.jpg","open")</f>
        <v/>
      </c>
      <c r="C9877" t="inlineStr">
        <is>
          <t>7b951050-981e-4ccd-816e-e002f271ab6a</t>
        </is>
      </c>
      <c r="D9877" t="n">
        <v>55.79506</v>
      </c>
      <c r="E9877" t="n">
        <v>37.81043</v>
      </c>
      <c r="F9877" t="inlineStr"/>
      <c r="G9877" t="inlineStr"/>
      <c r="H9877" t="inlineStr"/>
    </row>
    <row r="9878">
      <c r="A9878" t="inlineStr">
        <is>
          <t>2d7b44de-e8ad-4912-bff5-2570b031525d.jpg</t>
        </is>
      </c>
      <c r="B9878">
        <f>HYPERLINK("Объекты недвижимости, не соответствующие градостроительным нормам_00-022_Август/2d7b44de-e8ad-4912-bff5-2570b031525d.jpg","open")</f>
        <v/>
      </c>
      <c r="C9878" t="inlineStr">
        <is>
          <t>93848fc8-17e7-4748-9ebc-c7e379e11d2f</t>
        </is>
      </c>
      <c r="D9878" t="n">
        <v>55.79013</v>
      </c>
      <c r="E9878" t="n">
        <v>37.78606</v>
      </c>
      <c r="F9878" t="inlineStr"/>
      <c r="G9878" t="inlineStr"/>
      <c r="H9878" t="inlineStr"/>
    </row>
    <row r="9879">
      <c r="A9879" t="inlineStr">
        <is>
          <t>bce9745a-197b-44c9-8051-4a3c4a543666.jpg</t>
        </is>
      </c>
      <c r="B9879">
        <f>HYPERLINK("Объекты недвижимости, не соответствующие градостроительным нормам_00-022_Август/bce9745a-197b-44c9-8051-4a3c4a543666.jpg","open")</f>
        <v/>
      </c>
      <c r="C9879" t="inlineStr">
        <is>
          <t>f6f80c84-5569-48fd-b627-6f41ce4c61c4</t>
        </is>
      </c>
      <c r="D9879" t="n">
        <v>55.70836</v>
      </c>
      <c r="E9879" t="n">
        <v>37.76821</v>
      </c>
      <c r="F9879" t="inlineStr"/>
      <c r="G9879" t="inlineStr"/>
      <c r="H9879" t="inlineStr"/>
    </row>
    <row r="9880">
      <c r="A9880" t="inlineStr">
        <is>
          <t>39a21f7a-c075-47b1-84ac-f9544a026262.jpg</t>
        </is>
      </c>
      <c r="B9880">
        <f>HYPERLINK("Объекты недвижимости, не соответствующие градостроительным нормам_00-022_Август/39a21f7a-c075-47b1-84ac-f9544a026262.jpg","open")</f>
        <v/>
      </c>
      <c r="C9880" t="inlineStr">
        <is>
          <t>685d9054-b74f-49ab-857b-109fd2cec80d</t>
        </is>
      </c>
      <c r="D9880" t="n">
        <v>55.68605</v>
      </c>
      <c r="E9880" t="n">
        <v>37.59361</v>
      </c>
      <c r="F9880" t="inlineStr"/>
      <c r="G9880" t="inlineStr"/>
      <c r="H9880" t="inlineStr"/>
    </row>
    <row r="9881">
      <c r="A9881" t="inlineStr">
        <is>
          <t>17b18482-dc69-47c7-b621-2a5a49b22922.jpg</t>
        </is>
      </c>
      <c r="B9881">
        <f>HYPERLINK("Объекты недвижимости, не соответствующие градостроительным нормам_00-022_Август/17b18482-dc69-47c7-b621-2a5a49b22922.jpg","open")</f>
        <v/>
      </c>
      <c r="C9881" t="inlineStr">
        <is>
          <t>f60286ac-55e7-4099-85bd-cc599a7a0c65</t>
        </is>
      </c>
      <c r="D9881" t="n">
        <v>55.72194</v>
      </c>
      <c r="E9881" t="n">
        <v>37.81482</v>
      </c>
      <c r="F9881" t="inlineStr"/>
      <c r="G9881" t="inlineStr"/>
      <c r="H9881" t="inlineStr"/>
    </row>
    <row r="9882">
      <c r="A9882" t="inlineStr">
        <is>
          <t>984ea6ec-dfa3-4a92-b34d-c8ad1d0443b9.jpg</t>
        </is>
      </c>
      <c r="B9882">
        <f>HYPERLINK("Объекты недвижимости, не соответствующие градостроительным нормам_00-022_Август/984ea6ec-dfa3-4a92-b34d-c8ad1d0443b9.jpg","open")</f>
        <v/>
      </c>
      <c r="C9882" t="inlineStr">
        <is>
          <t>789f6c51-64ee-4078-b7bd-443af8b8b68a</t>
        </is>
      </c>
      <c r="D9882" t="n">
        <v>55.87615</v>
      </c>
      <c r="E9882" t="n">
        <v>37.5767</v>
      </c>
      <c r="F9882" t="inlineStr"/>
      <c r="G9882" t="inlineStr"/>
      <c r="H9882" t="inlineStr"/>
    </row>
    <row r="9883">
      <c r="A9883" t="inlineStr">
        <is>
          <t>e7d16139-6b0a-4e8c-8f87-e94ba8f1740c.jpg</t>
        </is>
      </c>
      <c r="B9883">
        <f>HYPERLINK("Объекты недвижимости, не соответствующие градостроительным нормам_00-022_Август/e7d16139-6b0a-4e8c-8f87-e94ba8f1740c.jpg","open")</f>
        <v/>
      </c>
      <c r="C9883" t="inlineStr">
        <is>
          <t>2acfb2da-e3f6-464c-bd17-4b713522c142</t>
        </is>
      </c>
      <c r="D9883" t="n">
        <v>55.87615</v>
      </c>
      <c r="E9883" t="n">
        <v>37.5767</v>
      </c>
      <c r="F9883" t="inlineStr"/>
      <c r="G9883" t="inlineStr"/>
      <c r="H9883" t="inlineStr"/>
    </row>
    <row r="9884">
      <c r="A9884" t="inlineStr">
        <is>
          <t>7209fed7-32ac-4182-a82b-cdc42c56bee8.jpg</t>
        </is>
      </c>
      <c r="B9884">
        <f>HYPERLINK("Объекты недвижимости, не соответствующие градостроительным нормам_00-022_Август/7209fed7-32ac-4182-a82b-cdc42c56bee8.jpg","open")</f>
        <v/>
      </c>
      <c r="C9884" t="inlineStr">
        <is>
          <t>f60286ac-55e7-4099-85bd-cc599a7a0c65</t>
        </is>
      </c>
      <c r="D9884" t="n">
        <v>55.72207</v>
      </c>
      <c r="E9884" t="n">
        <v>37.81315</v>
      </c>
      <c r="F9884" t="inlineStr"/>
      <c r="G9884" t="inlineStr"/>
      <c r="H9884" t="inlineStr"/>
    </row>
    <row r="9885">
      <c r="A9885" t="inlineStr">
        <is>
          <t>cf7d22b2-2dc5-458f-843f-d707152c98bf.jpg</t>
        </is>
      </c>
      <c r="B9885">
        <f>HYPERLINK("Объекты недвижимости, не соответствующие градостроительным нормам_00-022_Август/cf7d22b2-2dc5-458f-843f-d707152c98bf.jpg","open")</f>
        <v/>
      </c>
      <c r="C9885" t="inlineStr">
        <is>
          <t>f60286ac-55e7-4099-85bd-cc599a7a0c65</t>
        </is>
      </c>
      <c r="D9885" t="n">
        <v>55.72212</v>
      </c>
      <c r="E9885" t="n">
        <v>37.81312</v>
      </c>
      <c r="F9885" t="inlineStr"/>
      <c r="G9885" t="inlineStr"/>
      <c r="H9885" t="inlineStr"/>
    </row>
    <row r="9886">
      <c r="A9886" t="inlineStr">
        <is>
          <t>ad8a19c7-c92d-4455-a86d-f1e487398903.jpg</t>
        </is>
      </c>
      <c r="B9886">
        <f>HYPERLINK("Объекты недвижимости, не соответствующие градостроительным нормам_00-022_Август/ad8a19c7-c92d-4455-a86d-f1e487398903.jpg","open")</f>
        <v/>
      </c>
      <c r="C9886" t="inlineStr">
        <is>
          <t>fce890a6-27da-4062-a046-08262a160ee6</t>
        </is>
      </c>
      <c r="D9886" t="n">
        <v>55.97572</v>
      </c>
      <c r="E9886" t="n">
        <v>37.39656</v>
      </c>
      <c r="F9886" t="inlineStr"/>
      <c r="G9886" t="inlineStr"/>
      <c r="H9886" t="inlineStr"/>
    </row>
    <row r="9887">
      <c r="A9887" t="inlineStr">
        <is>
          <t>8411f7a0-8683-414e-912f-dcb2bd083840.jpg</t>
        </is>
      </c>
      <c r="B9887">
        <f>HYPERLINK("Объекты недвижимости, не соответствующие градостроительным нормам_00-022_Август/8411f7a0-8683-414e-912f-dcb2bd083840.jpg","open")</f>
        <v/>
      </c>
      <c r="C9887" t="inlineStr">
        <is>
          <t>9f88688f-4c81-42a8-b76a-3c3e7edf869e</t>
        </is>
      </c>
      <c r="D9887" t="n">
        <v>55.97572</v>
      </c>
      <c r="E9887" t="n">
        <v>37.39656</v>
      </c>
      <c r="F9887" t="inlineStr"/>
      <c r="G9887" t="inlineStr"/>
      <c r="H9887" t="inlineStr"/>
    </row>
    <row r="9888">
      <c r="A9888" t="inlineStr">
        <is>
          <t>2b2eb6ef-0b8e-4986-a460-97d388de525c.jpg</t>
        </is>
      </c>
      <c r="B9888">
        <f>HYPERLINK("Объекты недвижимости, не соответствующие градостроительным нормам_00-022_Август/2b2eb6ef-0b8e-4986-a460-97d388de525c.jpg","open")</f>
        <v/>
      </c>
      <c r="C9888" t="inlineStr">
        <is>
          <t>ad64e6b9-1ed5-44d7-a101-4945a1f9dec6</t>
        </is>
      </c>
      <c r="D9888" t="n">
        <v>55.56729</v>
      </c>
      <c r="E9888" t="n">
        <v>37.56293</v>
      </c>
      <c r="F9888" t="inlineStr"/>
      <c r="G9888" t="inlineStr"/>
      <c r="H9888" t="inlineStr"/>
    </row>
    <row r="9889">
      <c r="A9889" t="inlineStr">
        <is>
          <t>74e64e9b-92f0-4104-a75a-f55929189186.jpg</t>
        </is>
      </c>
      <c r="B9889">
        <f>HYPERLINK("Объекты недвижимости, не соответствующие градостроительным нормам_00-022_Август/74e64e9b-92f0-4104-a75a-f55929189186.jpg","open")</f>
        <v/>
      </c>
      <c r="C9889" t="inlineStr">
        <is>
          <t>12e795ad-2aa7-49de-b2da-2c6aa35a4559</t>
        </is>
      </c>
      <c r="D9889" t="n">
        <v>55.56731</v>
      </c>
      <c r="E9889" t="n">
        <v>37.56295</v>
      </c>
      <c r="F9889" t="inlineStr"/>
      <c r="G9889" t="inlineStr"/>
      <c r="H9889" t="inlineStr"/>
    </row>
    <row r="9890">
      <c r="A9890" t="inlineStr">
        <is>
          <t>2a311e4d-0e10-4097-9c15-94697a5084fd.jpg</t>
        </is>
      </c>
      <c r="B9890">
        <f>HYPERLINK("Объекты недвижимости, не соответствующие градостроительным нормам_00-022_Август/2a311e4d-0e10-4097-9c15-94697a5084fd.jpg","open")</f>
        <v/>
      </c>
      <c r="C9890" t="inlineStr">
        <is>
          <t>0dd30d74-4dbc-46a8-b638-91e1431bb398</t>
        </is>
      </c>
      <c r="D9890" t="n">
        <v>55.78904</v>
      </c>
      <c r="E9890" t="n">
        <v>37.78786</v>
      </c>
      <c r="F9890" t="inlineStr"/>
      <c r="G9890" t="inlineStr"/>
      <c r="H9890" t="inlineStr"/>
    </row>
    <row r="9891">
      <c r="A9891" t="inlineStr">
        <is>
          <t>813a8a5b-157a-4e83-959c-c152a3594c88.jpg</t>
        </is>
      </c>
      <c r="B9891">
        <f>HYPERLINK("Объекты недвижимости, не соответствующие градостроительным нормам_00-022_Август/813a8a5b-157a-4e83-959c-c152a3594c88.jpg","open")</f>
        <v/>
      </c>
      <c r="C9891" t="inlineStr">
        <is>
          <t>93848fc8-17e7-4748-9ebc-c7e379e11d2f</t>
        </is>
      </c>
      <c r="D9891" t="n">
        <v>55.78903</v>
      </c>
      <c r="E9891" t="n">
        <v>37.78785</v>
      </c>
      <c r="F9891" t="inlineStr"/>
      <c r="G9891" t="inlineStr"/>
      <c r="H9891" t="inlineStr"/>
    </row>
    <row r="9892">
      <c r="A9892" t="inlineStr">
        <is>
          <t>cc305971-473d-42c4-8cc2-8184960b543a.jpg</t>
        </is>
      </c>
      <c r="B9892">
        <f>HYPERLINK("Объекты недвижимости, не соответствующие градостроительным нормам_00-022_Август/cc305971-473d-42c4-8cc2-8184960b543a.jpg","open")</f>
        <v/>
      </c>
      <c r="C9892" t="inlineStr">
        <is>
          <t>0dd30d74-4dbc-46a8-b638-91e1431bb398</t>
        </is>
      </c>
      <c r="D9892" t="n">
        <v>55.78907</v>
      </c>
      <c r="E9892" t="n">
        <v>37.78786</v>
      </c>
      <c r="F9892" t="inlineStr"/>
      <c r="G9892" t="inlineStr"/>
      <c r="H9892" t="inlineStr"/>
    </row>
    <row r="9893">
      <c r="A9893" t="inlineStr">
        <is>
          <t>3a078748-5864-455b-8409-e3c271abf8ab.jpg</t>
        </is>
      </c>
      <c r="B9893">
        <f>HYPERLINK("Объекты недвижимости, не соответствующие градостроительным нормам_00-022_Август/3a078748-5864-455b-8409-e3c271abf8ab.jpg","open")</f>
        <v/>
      </c>
      <c r="C9893" t="inlineStr">
        <is>
          <t>fce890a6-27da-4062-a046-08262a160ee6</t>
        </is>
      </c>
      <c r="D9893" t="n">
        <v>55.97572</v>
      </c>
      <c r="E9893" t="n">
        <v>37.39656</v>
      </c>
      <c r="F9893" t="inlineStr"/>
      <c r="G9893" t="inlineStr"/>
      <c r="H9893" t="inlineStr"/>
    </row>
    <row r="9894">
      <c r="A9894" t="inlineStr">
        <is>
          <t>5d173434-42ae-47c2-92ea-2622aedfb555.jpg</t>
        </is>
      </c>
      <c r="B9894">
        <f>HYPERLINK("Объекты недвижимости, не соответствующие градостроительным нормам_00-022_Август/5d173434-42ae-47c2-92ea-2622aedfb555.jpg","open")</f>
        <v/>
      </c>
      <c r="C9894" t="inlineStr">
        <is>
          <t>fce890a6-27da-4062-a046-08262a160ee6</t>
        </is>
      </c>
      <c r="D9894" t="n">
        <v>55.97572</v>
      </c>
      <c r="E9894" t="n">
        <v>37.39656</v>
      </c>
      <c r="F9894" t="inlineStr"/>
      <c r="G9894" t="inlineStr"/>
      <c r="H9894" t="inlineStr"/>
    </row>
    <row r="9895">
      <c r="A9895" t="inlineStr">
        <is>
          <t>1122d639-8a67-4650-8663-18485bf14bda.jpg</t>
        </is>
      </c>
      <c r="B9895">
        <f>HYPERLINK("Объекты недвижимости, не соответствующие градостроительным нормам_00-022_Август/1122d639-8a67-4650-8663-18485bf14bda.jpg","open")</f>
        <v/>
      </c>
      <c r="C9895" t="inlineStr">
        <is>
          <t>ed2bf0f1-3a66-4913-896e-4420a9796c0b</t>
        </is>
      </c>
      <c r="D9895" t="n">
        <v>55.61133</v>
      </c>
      <c r="E9895" t="n">
        <v>37.29757</v>
      </c>
      <c r="F9895" t="inlineStr"/>
      <c r="G9895" t="inlineStr"/>
      <c r="H9895" t="inlineStr"/>
    </row>
    <row r="9896">
      <c r="A9896" t="inlineStr">
        <is>
          <t>b0063b89-f0cb-4b3d-90f6-42d142120b9f.jpg</t>
        </is>
      </c>
      <c r="B9896">
        <f>HYPERLINK("Объекты недвижимости, не соответствующие градостроительным нормам_00-022_Август/b0063b89-f0cb-4b3d-90f6-42d142120b9f.jpg","open")</f>
        <v/>
      </c>
      <c r="C9896" t="inlineStr">
        <is>
          <t>31a713a9-b910-424b-b847-e0eaa2f70c70</t>
        </is>
      </c>
      <c r="D9896" t="n">
        <v>55.97988</v>
      </c>
      <c r="E9896" t="n">
        <v>37.1907</v>
      </c>
      <c r="F9896" t="inlineStr"/>
      <c r="G9896" t="inlineStr"/>
      <c r="H9896" t="inlineStr"/>
    </row>
    <row r="9897">
      <c r="A9897" t="inlineStr">
        <is>
          <t>9c287b3e-8df6-406f-b312-0e5fd90c3f02.jpg</t>
        </is>
      </c>
      <c r="B9897">
        <f>HYPERLINK("Объекты недвижимости, не соответствующие градостроительным нормам_00-022_Август/9c287b3e-8df6-406f-b312-0e5fd90c3f02.jpg","open")</f>
        <v/>
      </c>
      <c r="C9897" t="inlineStr">
        <is>
          <t>12e795ad-2aa7-49de-b2da-2c6aa35a4559</t>
        </is>
      </c>
      <c r="D9897" t="n">
        <v>55.56789</v>
      </c>
      <c r="E9897" t="n">
        <v>37.56439</v>
      </c>
      <c r="F9897" t="inlineStr"/>
      <c r="G9897" t="inlineStr"/>
      <c r="H9897" t="inlineStr"/>
    </row>
    <row r="9898">
      <c r="A9898" t="inlineStr">
        <is>
          <t>0126a781-a9d9-498a-b9b3-f771dd433a2d.jpg</t>
        </is>
      </c>
      <c r="B9898">
        <f>HYPERLINK("Объекты недвижимости, не соответствующие градостроительным нормам_00-022_Август/0126a781-a9d9-498a-b9b3-f771dd433a2d.jpg","open")</f>
        <v/>
      </c>
      <c r="C9898" t="inlineStr">
        <is>
          <t>caa4772d-6278-4484-a046-ee25514bf521</t>
        </is>
      </c>
      <c r="D9898" t="n">
        <v>55.71599</v>
      </c>
      <c r="E9898" t="n">
        <v>37.7709</v>
      </c>
      <c r="F9898" t="inlineStr"/>
      <c r="G9898" t="inlineStr"/>
      <c r="H9898" t="inlineStr"/>
    </row>
    <row r="9899">
      <c r="A9899" t="inlineStr">
        <is>
          <t>de90f098-5b62-46e1-9773-337389fcee1a.jpg</t>
        </is>
      </c>
      <c r="B9899">
        <f>HYPERLINK("Объекты недвижимости, не соответствующие градостроительным нормам_00-022_Август/de90f098-5b62-46e1-9773-337389fcee1a.jpg","open")</f>
        <v/>
      </c>
      <c r="C9899" t="inlineStr">
        <is>
          <t>ed2bf0f1-3a66-4913-896e-4420a9796c0b</t>
        </is>
      </c>
      <c r="D9899" t="n">
        <v>55.61135</v>
      </c>
      <c r="E9899" t="n">
        <v>37.2976</v>
      </c>
      <c r="F9899" t="inlineStr"/>
      <c r="G9899" t="inlineStr"/>
      <c r="H9899" t="inlineStr"/>
    </row>
    <row r="9900">
      <c r="A9900" t="inlineStr">
        <is>
          <t>12192b3e-8c36-4b25-8fb1-adf69409e5ba.jpg</t>
        </is>
      </c>
      <c r="B9900">
        <f>HYPERLINK("Объекты недвижимости, не соответствующие градостроительным нормам_00-022_Август/12192b3e-8c36-4b25-8fb1-adf69409e5ba.jpg","open")</f>
        <v/>
      </c>
      <c r="C9900" t="inlineStr">
        <is>
          <t>29ad9edb-d533-4272-a986-be24eb004851</t>
        </is>
      </c>
      <c r="D9900" t="n">
        <v>55.7398</v>
      </c>
      <c r="E9900" t="n">
        <v>37.53182</v>
      </c>
      <c r="F9900" t="inlineStr"/>
      <c r="G9900" t="inlineStr"/>
      <c r="H9900" t="inlineStr"/>
    </row>
    <row r="9901">
      <c r="A9901" t="inlineStr">
        <is>
          <t>ea6ee38d-4720-478e-a010-3d76c8dbaafd.jpg</t>
        </is>
      </c>
      <c r="B9901">
        <f>HYPERLINK("Объекты недвижимости, не соответствующие градостроительным нормам_00-022_Август/ea6ee38d-4720-478e-a010-3d76c8dbaafd.jpg","open")</f>
        <v/>
      </c>
      <c r="C9901" t="inlineStr">
        <is>
          <t>1a55986c-2c3f-40c0-b3d1-014dce77832e</t>
        </is>
      </c>
      <c r="D9901" t="n">
        <v>55.6153</v>
      </c>
      <c r="E9901" t="n">
        <v>37.29876</v>
      </c>
      <c r="F9901" t="inlineStr"/>
      <c r="G9901" t="inlineStr"/>
      <c r="H9901" t="inlineStr"/>
    </row>
    <row r="9902">
      <c r="A9902" t="inlineStr">
        <is>
          <t>853ff65b-55d6-4497-b9a4-5325a108ff7e.jpg</t>
        </is>
      </c>
      <c r="B9902">
        <f>HYPERLINK("Объекты недвижимости, не соответствующие градостроительным нормам_00-022_Август/853ff65b-55d6-4497-b9a4-5325a108ff7e.jpg","open")</f>
        <v/>
      </c>
      <c r="C9902" t="inlineStr">
        <is>
          <t>cbf95b01-f708-45a3-9ec0-3603469b538e</t>
        </is>
      </c>
      <c r="D9902" t="n">
        <v>55.74981</v>
      </c>
      <c r="E9902" t="n">
        <v>37.66257</v>
      </c>
      <c r="F9902" t="inlineStr"/>
      <c r="G9902" t="inlineStr"/>
      <c r="H9902" t="inlineStr"/>
    </row>
    <row r="9903">
      <c r="A9903" t="inlineStr">
        <is>
          <t>43572d3b-2a8f-44a4-b4ce-a4cfcde51efc.jpg</t>
        </is>
      </c>
      <c r="B9903">
        <f>HYPERLINK("Объекты недвижимости, не соответствующие градостроительным нормам_00-022_Август/43572d3b-2a8f-44a4-b4ce-a4cfcde51efc.jpg","open")</f>
        <v/>
      </c>
      <c r="C9903" t="inlineStr">
        <is>
          <t>e85aff3b-73e8-4856-827e-477ccc0aea77</t>
        </is>
      </c>
      <c r="D9903" t="n">
        <v>55.72484</v>
      </c>
      <c r="E9903" t="n">
        <v>37.71291</v>
      </c>
      <c r="F9903" t="inlineStr"/>
      <c r="G9903" t="inlineStr"/>
      <c r="H9903" t="inlineStr"/>
    </row>
    <row r="9904">
      <c r="A9904" t="inlineStr">
        <is>
          <t>e268eb9c-8602-48e3-8df9-6ac646c994c6.jpg</t>
        </is>
      </c>
      <c r="B9904">
        <f>HYPERLINK("Объекты недвижимости, не соответствующие градостроительным нормам_00-022_Август/e268eb9c-8602-48e3-8df9-6ac646c994c6.jpg","open")</f>
        <v/>
      </c>
      <c r="C9904" t="inlineStr">
        <is>
          <t>0ae6fd20-177f-4af7-9257-efb3c784b357</t>
        </is>
      </c>
      <c r="D9904" t="n">
        <v>55.72484</v>
      </c>
      <c r="E9904" t="n">
        <v>37.71291</v>
      </c>
      <c r="F9904" t="inlineStr"/>
      <c r="G9904" t="inlineStr"/>
      <c r="H9904" t="inlineStr"/>
    </row>
    <row r="9905">
      <c r="A9905" t="inlineStr">
        <is>
          <t>159f5257-99d0-4fd1-9a07-4d29bc63b6c3.jpg</t>
        </is>
      </c>
      <c r="B9905">
        <f>HYPERLINK("Объекты недвижимости, не соответствующие градостроительным нормам_00-022_Август/159f5257-99d0-4fd1-9a07-4d29bc63b6c3.jpg","open")</f>
        <v/>
      </c>
      <c r="C9905" t="inlineStr">
        <is>
          <t>e85aff3b-73e8-4856-827e-477ccc0aea77</t>
        </is>
      </c>
      <c r="D9905" t="n">
        <v>55.72484</v>
      </c>
      <c r="E9905" t="n">
        <v>37.71291</v>
      </c>
      <c r="F9905" t="inlineStr"/>
      <c r="G9905" t="inlineStr"/>
      <c r="H9905" t="inlineStr"/>
    </row>
    <row r="9906">
      <c r="A9906" t="inlineStr">
        <is>
          <t>73146fdb-625a-45ab-9309-c1aeb969458b.jpg</t>
        </is>
      </c>
      <c r="B9906">
        <f>HYPERLINK("Объекты недвижимости, не соответствующие градостроительным нормам_00-022_Август/73146fdb-625a-45ab-9309-c1aeb969458b.jpg","open")</f>
        <v/>
      </c>
      <c r="C9906" t="inlineStr">
        <is>
          <t>e85aff3b-73e8-4856-827e-477ccc0aea77</t>
        </is>
      </c>
      <c r="D9906" t="n">
        <v>55.72484</v>
      </c>
      <c r="E9906" t="n">
        <v>37.71291</v>
      </c>
      <c r="F9906" t="inlineStr"/>
      <c r="G9906" t="inlineStr"/>
      <c r="H9906" t="inlineStr"/>
    </row>
    <row r="9907">
      <c r="A9907" t="inlineStr">
        <is>
          <t>63f48538-f051-4212-8bed-127e3075769c.jpg</t>
        </is>
      </c>
      <c r="B9907">
        <f>HYPERLINK("Объекты недвижимости, не соответствующие градостроительным нормам_00-022_Август/63f48538-f051-4212-8bed-127e3075769c.jpg","open")</f>
        <v/>
      </c>
      <c r="C9907" t="inlineStr">
        <is>
          <t>ed2bf0f1-3a66-4913-896e-4420a9796c0b</t>
        </is>
      </c>
      <c r="D9907" t="n">
        <v>55.61134</v>
      </c>
      <c r="E9907" t="n">
        <v>37.29758</v>
      </c>
      <c r="F9907" t="inlineStr"/>
      <c r="G9907" t="inlineStr"/>
      <c r="H9907" t="inlineStr"/>
    </row>
    <row r="9908">
      <c r="A9908" t="inlineStr">
        <is>
          <t>bebea86a-916c-4316-ab23-1aa22788992a.jpg</t>
        </is>
      </c>
      <c r="B9908">
        <f>HYPERLINK("Объекты недвижимости, не соответствующие градостроительным нормам_00-022_Август/bebea86a-916c-4316-ab23-1aa22788992a.jpg","open")</f>
        <v/>
      </c>
      <c r="C9908" t="inlineStr">
        <is>
          <t>cbf95b01-f708-45a3-9ec0-3603469b538e</t>
        </is>
      </c>
      <c r="D9908" t="n">
        <v>55.74981</v>
      </c>
      <c r="E9908" t="n">
        <v>37.66257</v>
      </c>
      <c r="F9908" t="inlineStr"/>
      <c r="G9908" t="inlineStr"/>
      <c r="H9908" t="inlineStr"/>
    </row>
    <row r="9909">
      <c r="A9909" t="inlineStr">
        <is>
          <t>e3ee1931-3312-4ee0-a365-202a970c4581.jpg</t>
        </is>
      </c>
      <c r="B9909">
        <f>HYPERLINK("Объекты недвижимости, не соответствующие градостроительным нормам_00-022_Август/e3ee1931-3312-4ee0-a365-202a970c4581.jpg","open")</f>
        <v/>
      </c>
      <c r="C9909" t="inlineStr">
        <is>
          <t>91248771-2c4d-44f3-b3cf-d536bd4ae73c</t>
        </is>
      </c>
      <c r="D9909" t="n">
        <v>55.78565</v>
      </c>
      <c r="E9909" t="n">
        <v>37.71788</v>
      </c>
      <c r="F9909" t="inlineStr"/>
      <c r="G9909" t="inlineStr"/>
      <c r="H9909" t="inlineStr"/>
    </row>
    <row r="9910">
      <c r="A9910" t="inlineStr">
        <is>
          <t>a1448877-8b5a-459b-b2b5-eea09230924b.jpg</t>
        </is>
      </c>
      <c r="B9910">
        <f>HYPERLINK("Объекты недвижимости, не соответствующие градостроительным нормам_00-022_Август/a1448877-8b5a-459b-b2b5-eea09230924b.jpg","open")</f>
        <v/>
      </c>
      <c r="C9910" t="inlineStr">
        <is>
          <t>e85aff3b-73e8-4856-827e-477ccc0aea77</t>
        </is>
      </c>
      <c r="D9910" t="n">
        <v>55.72484</v>
      </c>
      <c r="E9910" t="n">
        <v>37.71291</v>
      </c>
      <c r="F9910" t="inlineStr"/>
      <c r="G9910" t="inlineStr"/>
      <c r="H9910" t="inlineStr"/>
    </row>
    <row r="9911">
      <c r="A9911" t="inlineStr">
        <is>
          <t>963ffa15-2474-4110-9403-06c306f4acda.jpg</t>
        </is>
      </c>
      <c r="B9911">
        <f>HYPERLINK("Объекты недвижимости, не соответствующие градостроительным нормам_00-022_Август/963ffa15-2474-4110-9403-06c306f4acda.jpg","open")</f>
        <v/>
      </c>
      <c r="C9911" t="inlineStr">
        <is>
          <t>cbf95b01-f708-45a3-9ec0-3603469b538e</t>
        </is>
      </c>
      <c r="D9911" t="n">
        <v>55.74981</v>
      </c>
      <c r="E9911" t="n">
        <v>37.66257</v>
      </c>
      <c r="F9911" t="inlineStr"/>
      <c r="G9911" t="inlineStr"/>
      <c r="H9911" t="inlineStr"/>
    </row>
    <row r="9912">
      <c r="A9912" t="inlineStr">
        <is>
          <t>5220cf87-4ca8-49a6-9fdf-ce88d2d887f3.jpg</t>
        </is>
      </c>
      <c r="B9912">
        <f>HYPERLINK("Объекты недвижимости, не соответствующие градостроительным нормам_00-022_Август/5220cf87-4ca8-49a6-9fdf-ce88d2d887f3.jpg","open")</f>
        <v/>
      </c>
      <c r="C9912" t="inlineStr">
        <is>
          <t>cbf95b01-f708-45a3-9ec0-3603469b538e</t>
        </is>
      </c>
      <c r="D9912" t="n">
        <v>55.74981</v>
      </c>
      <c r="E9912" t="n">
        <v>37.66257</v>
      </c>
      <c r="F9912" t="inlineStr"/>
      <c r="G9912" t="inlineStr"/>
      <c r="H9912" t="inlineStr"/>
    </row>
    <row r="9913">
      <c r="A9913" t="inlineStr">
        <is>
          <t>6138fc3b-512b-47b1-9f78-8358c53249fe.jpg</t>
        </is>
      </c>
      <c r="B9913">
        <f>HYPERLINK("Объекты недвижимости, не соответствующие градостроительным нормам_00-022_Август/6138fc3b-512b-47b1-9f78-8358c53249fe.jpg","open")</f>
        <v/>
      </c>
      <c r="C9913" t="inlineStr">
        <is>
          <t>cbf95b01-f708-45a3-9ec0-3603469b538e</t>
        </is>
      </c>
      <c r="D9913" t="n">
        <v>55.74981</v>
      </c>
      <c r="E9913" t="n">
        <v>37.66257</v>
      </c>
      <c r="F9913" t="inlineStr"/>
      <c r="G9913" t="inlineStr"/>
      <c r="H9913" t="inlineStr"/>
    </row>
    <row r="9914">
      <c r="A9914" t="inlineStr">
        <is>
          <t>e708412a-a135-4a40-a8a0-7f6b4a7cc0c6.jpg</t>
        </is>
      </c>
      <c r="B9914">
        <f>HYPERLINK("Объекты недвижимости, не соответствующие градостроительным нормам_00-022_Август/e708412a-a135-4a40-a8a0-7f6b4a7cc0c6.jpg","open")</f>
        <v/>
      </c>
      <c r="C9914" t="inlineStr">
        <is>
          <t>ffd931da-542f-43e9-979f-5552b17fe3dc</t>
        </is>
      </c>
      <c r="D9914" t="n">
        <v>55.72644</v>
      </c>
      <c r="E9914" t="n">
        <v>37.81224</v>
      </c>
      <c r="F9914" t="inlineStr"/>
      <c r="G9914" t="inlineStr"/>
      <c r="H9914" t="inlineStr"/>
    </row>
    <row r="9915">
      <c r="A9915" t="inlineStr">
        <is>
          <t>1c26a9e0-93aa-416f-b41e-58f9daa76d52.jpg</t>
        </is>
      </c>
      <c r="B9915">
        <f>HYPERLINK("Объекты недвижимости, не соответствующие градостроительным нормам_00-022_Август/1c26a9e0-93aa-416f-b41e-58f9daa76d52.jpg","open")</f>
        <v/>
      </c>
      <c r="C9915" t="inlineStr">
        <is>
          <t>750bf7e4-0f0f-4f1a-96af-607dc8c1f1c9</t>
        </is>
      </c>
      <c r="D9915" t="n">
        <v>55.99324</v>
      </c>
      <c r="E9915" t="n">
        <v>37.1879</v>
      </c>
      <c r="F9915" t="inlineStr"/>
      <c r="G9915" t="inlineStr"/>
      <c r="H9915" t="inlineStr"/>
    </row>
    <row r="9916">
      <c r="A9916" t="inlineStr">
        <is>
          <t>e825965b-a168-467e-9d5f-14453e9b744d.jpg</t>
        </is>
      </c>
      <c r="B9916">
        <f>HYPERLINK("Объекты недвижимости, не соответствующие градостроительным нормам_00-022_Август/e825965b-a168-467e-9d5f-14453e9b744d.jpg","open")</f>
        <v/>
      </c>
      <c r="C9916" t="inlineStr">
        <is>
          <t>57aae8a4-582b-4309-8045-c8127a9f86ae</t>
        </is>
      </c>
      <c r="D9916" t="n">
        <v>55.79009</v>
      </c>
      <c r="E9916" t="n">
        <v>37.79726</v>
      </c>
      <c r="F9916" t="inlineStr"/>
      <c r="G9916" t="inlineStr"/>
      <c r="H9916" t="inlineStr"/>
    </row>
    <row r="9917">
      <c r="A9917" t="inlineStr">
        <is>
          <t>6bef66ef-5672-49b1-b8f9-139f49813deb.jpg</t>
        </is>
      </c>
      <c r="B9917">
        <f>HYPERLINK("Объекты недвижимости, не соответствующие градостроительным нормам_00-022_Август/6bef66ef-5672-49b1-b8f9-139f49813deb.jpg","open")</f>
        <v/>
      </c>
      <c r="C9917" t="inlineStr">
        <is>
          <t>b0b7ea82-53be-40d0-b992-e2fd18611d5c</t>
        </is>
      </c>
      <c r="D9917" t="n">
        <v>55.67732</v>
      </c>
      <c r="E9917" t="n">
        <v>37.53977</v>
      </c>
      <c r="F9917" t="inlineStr"/>
      <c r="G9917" t="inlineStr"/>
      <c r="H9917" t="inlineStr"/>
    </row>
    <row r="9918">
      <c r="A9918" t="inlineStr">
        <is>
          <t>e4843b6c-08d8-464f-a5b7-ab235b5ed3f5.jpg</t>
        </is>
      </c>
      <c r="B9918">
        <f>HYPERLINK("Объекты недвижимости, не соответствующие градостроительным нормам_00-022_Август/e4843b6c-08d8-464f-a5b7-ab235b5ed3f5.jpg","open")</f>
        <v/>
      </c>
      <c r="C9918" t="inlineStr">
        <is>
          <t>fce890a6-27da-4062-a046-08262a160ee6</t>
        </is>
      </c>
      <c r="D9918" t="n">
        <v>55.97572</v>
      </c>
      <c r="E9918" t="n">
        <v>37.39656</v>
      </c>
      <c r="F9918" t="inlineStr"/>
      <c r="G9918" t="inlineStr"/>
      <c r="H9918" t="inlineStr"/>
    </row>
    <row r="9919">
      <c r="A9919" t="inlineStr">
        <is>
          <t>9192f6fe-4e07-4383-bf2e-4109a957f58a.jpg</t>
        </is>
      </c>
      <c r="B9919">
        <f>HYPERLINK("Объекты недвижимости, не соответствующие градостроительным нормам_00-022_Август/9192f6fe-4e07-4383-bf2e-4109a957f58a.jpg","open")</f>
        <v/>
      </c>
      <c r="C9919" t="inlineStr">
        <is>
          <t>ed2bf0f1-3a66-4913-896e-4420a9796c0b</t>
        </is>
      </c>
      <c r="D9919" t="n">
        <v>55.61889</v>
      </c>
      <c r="E9919" t="n">
        <v>37.27482</v>
      </c>
      <c r="F9919" t="inlineStr"/>
      <c r="G9919" t="inlineStr"/>
      <c r="H9919" t="inlineStr"/>
    </row>
    <row r="9920">
      <c r="A9920" t="inlineStr">
        <is>
          <t>3117bc02-1b4a-4ada-8a48-6bf2819a650c.jpg</t>
        </is>
      </c>
      <c r="B9920">
        <f>HYPERLINK("Объекты недвижимости, не соответствующие градостроительным нормам_00-022_Август/3117bc02-1b4a-4ada-8a48-6bf2819a650c.jpg","open")</f>
        <v/>
      </c>
      <c r="C9920" t="inlineStr">
        <is>
          <t>29ad9edb-d533-4272-a986-be24eb004851</t>
        </is>
      </c>
      <c r="D9920" t="n">
        <v>55.68728</v>
      </c>
      <c r="E9920" t="n">
        <v>37.42241</v>
      </c>
      <c r="F9920" t="inlineStr"/>
      <c r="G9920" t="inlineStr"/>
      <c r="H9920" t="inlineStr"/>
    </row>
    <row r="9921">
      <c r="A9921" t="inlineStr">
        <is>
          <t>58de0ae1-225a-478b-b030-63fd01365622.jpg</t>
        </is>
      </c>
      <c r="B9921">
        <f>HYPERLINK("Объекты недвижимости, не соответствующие градостроительным нормам_00-022_Август/58de0ae1-225a-478b-b030-63fd01365622.jpg","open")</f>
        <v/>
      </c>
      <c r="C9921" t="inlineStr">
        <is>
          <t>99f3abba-c55b-49f0-9de5-9f88e9597cc0</t>
        </is>
      </c>
      <c r="D9921" t="n">
        <v>55.72216</v>
      </c>
      <c r="E9921" t="n">
        <v>37.73563</v>
      </c>
      <c r="F9921" t="inlineStr"/>
      <c r="G9921" t="inlineStr"/>
      <c r="H9921" t="inlineStr"/>
    </row>
    <row r="9922">
      <c r="A9922" t="inlineStr">
        <is>
          <t>e6b6bc8d-8c93-4ba8-bd19-eb5e5518ab2c.jpg</t>
        </is>
      </c>
      <c r="B9922">
        <f>HYPERLINK("Объекты недвижимости, не соответствующие градостроительным нормам_00-022_Август/e6b6bc8d-8c93-4ba8-bd19-eb5e5518ab2c.jpg","open")</f>
        <v/>
      </c>
      <c r="C9922" t="inlineStr">
        <is>
          <t>b0429a31-0c70-4b9f-8ea5-73929d82f89e</t>
        </is>
      </c>
      <c r="D9922" t="n">
        <v>55.72217</v>
      </c>
      <c r="E9922" t="n">
        <v>37.7356</v>
      </c>
      <c r="F9922" t="inlineStr"/>
      <c r="G9922" t="inlineStr"/>
      <c r="H9922" t="inlineStr"/>
    </row>
    <row r="9923">
      <c r="A9923" t="inlineStr">
        <is>
          <t>11ed6758-4ef1-4206-a4b7-37e9a25aacc9.jpg</t>
        </is>
      </c>
      <c r="B9923">
        <f>HYPERLINK("Объекты недвижимости, не соответствующие градостроительным нормам_00-022_Август/11ed6758-4ef1-4206-a4b7-37e9a25aacc9.jpg","open")</f>
        <v/>
      </c>
      <c r="C9923" t="inlineStr">
        <is>
          <t>ed2bf0f1-3a66-4913-896e-4420a9796c0b</t>
        </is>
      </c>
      <c r="D9923" t="n">
        <v>55.62498</v>
      </c>
      <c r="E9923" t="n">
        <v>37.29433</v>
      </c>
      <c r="F9923" t="inlineStr"/>
      <c r="G9923" t="inlineStr"/>
      <c r="H9923" t="inlineStr"/>
    </row>
    <row r="9924">
      <c r="A9924" t="inlineStr">
        <is>
          <t>c35fa1d1-b8d8-4edf-9f0f-45637e70ec44.jpg</t>
        </is>
      </c>
      <c r="B9924">
        <f>HYPERLINK("Объекты недвижимости, не соответствующие градостроительным нормам_00-022_Август/c35fa1d1-b8d8-4edf-9f0f-45637e70ec44.jpg","open")</f>
        <v/>
      </c>
      <c r="C9924" t="inlineStr">
        <is>
          <t>685d9054-b74f-49ab-857b-109fd2cec80d</t>
        </is>
      </c>
      <c r="D9924" t="n">
        <v>55.68135</v>
      </c>
      <c r="E9924" t="n">
        <v>37.59399</v>
      </c>
      <c r="F9924" t="inlineStr"/>
      <c r="G9924" t="inlineStr"/>
      <c r="H9924" t="inlineStr"/>
    </row>
    <row r="9925">
      <c r="A9925" t="inlineStr">
        <is>
          <t>5cf23b60-d860-4697-b24c-3029c8a19de6.jpg</t>
        </is>
      </c>
      <c r="B9925">
        <f>HYPERLINK("Объекты недвижимости, не соответствующие градостроительным нормам_00-022_Август/5cf23b60-d860-4697-b24c-3029c8a19de6.jpg","open")</f>
        <v/>
      </c>
      <c r="C9925" t="inlineStr">
        <is>
          <t>31a713a9-b910-424b-b847-e0eaa2f70c70</t>
        </is>
      </c>
      <c r="D9925" t="n">
        <v>55.98669</v>
      </c>
      <c r="E9925" t="n">
        <v>37.27809</v>
      </c>
      <c r="F9925" t="inlineStr"/>
      <c r="G9925" t="inlineStr"/>
      <c r="H9925" t="inlineStr"/>
    </row>
    <row r="9926">
      <c r="A9926" t="inlineStr">
        <is>
          <t>0addede1-7e29-429a-9696-f284b6e141bb.jpg</t>
        </is>
      </c>
      <c r="B9926">
        <f>HYPERLINK("Объекты недвижимости, не соответствующие градостроительным нормам_00-022_Август/0addede1-7e29-429a-9696-f284b6e141bb.jpg","open")</f>
        <v/>
      </c>
      <c r="C9926" t="inlineStr">
        <is>
          <t>1c951e11-4940-43c6-a447-394097e5609a</t>
        </is>
      </c>
      <c r="D9926" t="n">
        <v>55.84864</v>
      </c>
      <c r="E9926" t="n">
        <v>37.57021</v>
      </c>
      <c r="F9926" t="inlineStr"/>
      <c r="G9926" t="inlineStr"/>
      <c r="H9926" t="inlineStr"/>
    </row>
    <row r="9927">
      <c r="A9927" t="inlineStr">
        <is>
          <t>5d43f06d-536e-45e7-a552-1f58c9f786cb.jpg</t>
        </is>
      </c>
      <c r="B9927">
        <f>HYPERLINK("Объекты недвижимости, не соответствующие градостроительным нормам_00-022_Август/5d43f06d-536e-45e7-a552-1f58c9f786cb.jpg","open")</f>
        <v/>
      </c>
      <c r="C9927" t="inlineStr">
        <is>
          <t>8cde1fd0-eca1-4510-86ab-3c743b65fdfc</t>
        </is>
      </c>
      <c r="D9927" t="n">
        <v>55.84863</v>
      </c>
      <c r="E9927" t="n">
        <v>37.5703</v>
      </c>
      <c r="F9927" t="inlineStr"/>
      <c r="G9927" t="inlineStr"/>
      <c r="H9927" t="inlineStr"/>
    </row>
    <row r="9928">
      <c r="A9928" t="inlineStr">
        <is>
          <t>f26aa72d-3064-4b96-83ef-04b72f63e08d.jpg</t>
        </is>
      </c>
      <c r="B9928">
        <f>HYPERLINK("Объекты недвижимости, не соответствующие градостроительным нормам_00-022_Август/f26aa72d-3064-4b96-83ef-04b72f63e08d.jpg","open")</f>
        <v/>
      </c>
      <c r="C9928" t="inlineStr">
        <is>
          <t>cbf95b01-f708-45a3-9ec0-3603469b538e</t>
        </is>
      </c>
      <c r="D9928" t="n">
        <v>55.72164</v>
      </c>
      <c r="E9928" t="n">
        <v>37.70536</v>
      </c>
      <c r="F9928" t="inlineStr"/>
      <c r="G9928" t="inlineStr"/>
      <c r="H9928" t="inlineStr"/>
    </row>
    <row r="9929">
      <c r="A9929" t="inlineStr">
        <is>
          <t>99be2bd7-afa4-4735-920d-cf4a4c94557a.jpg</t>
        </is>
      </c>
      <c r="B9929">
        <f>HYPERLINK("Объекты недвижимости, не соответствующие градостроительным нормам_00-022_Август/99be2bd7-afa4-4735-920d-cf4a4c94557a.jpg","open")</f>
        <v/>
      </c>
      <c r="C9929" t="inlineStr">
        <is>
          <t>99f3abba-c55b-49f0-9de5-9f88e9597cc0</t>
        </is>
      </c>
      <c r="D9929" t="n">
        <v>55.72197</v>
      </c>
      <c r="E9929" t="n">
        <v>37.7356</v>
      </c>
      <c r="F9929" t="inlineStr"/>
      <c r="G9929" t="inlineStr"/>
      <c r="H9929" t="inlineStr"/>
    </row>
    <row r="9930">
      <c r="A9930" t="inlineStr">
        <is>
          <t>e514baad-8449-4955-b178-8f5e4a52a426.jpg</t>
        </is>
      </c>
      <c r="B9930">
        <f>HYPERLINK("Объекты недвижимости, не соответствующие градостроительным нормам_00-022_Август/e514baad-8449-4955-b178-8f5e4a52a426.jpg","open")</f>
        <v/>
      </c>
      <c r="C9930" t="inlineStr">
        <is>
          <t>b0429a31-0c70-4b9f-8ea5-73929d82f89e</t>
        </is>
      </c>
      <c r="D9930" t="n">
        <v>55.72198</v>
      </c>
      <c r="E9930" t="n">
        <v>37.73563</v>
      </c>
      <c r="F9930" t="inlineStr"/>
      <c r="G9930" t="inlineStr"/>
      <c r="H9930" t="inlineStr"/>
    </row>
    <row r="9931">
      <c r="A9931" t="inlineStr">
        <is>
          <t>971188b7-1552-4a35-8fb0-2a0d0e95d663.jpg</t>
        </is>
      </c>
      <c r="B9931">
        <f>HYPERLINK("Объекты недвижимости, не соответствующие градостроительным нормам_00-022_Август/971188b7-1552-4a35-8fb0-2a0d0e95d663.jpg","open")</f>
        <v/>
      </c>
      <c r="C9931" t="inlineStr">
        <is>
          <t>036c664f-5408-4fd0-b479-342c00468eeb</t>
        </is>
      </c>
      <c r="D9931" t="n">
        <v>55.65199</v>
      </c>
      <c r="E9931" t="n">
        <v>37.40929</v>
      </c>
      <c r="F9931" t="inlineStr"/>
      <c r="G9931" t="inlineStr"/>
      <c r="H9931" t="inlineStr"/>
    </row>
    <row r="9932">
      <c r="A9932" t="inlineStr">
        <is>
          <t>3f9f56bc-9de8-46ea-98bb-ec5987d7cb51.jpg</t>
        </is>
      </c>
      <c r="B9932">
        <f>HYPERLINK("Объекты недвижимости, не соответствующие градостроительным нормам_00-022_Август/3f9f56bc-9de8-46ea-98bb-ec5987d7cb51.jpg","open")</f>
        <v/>
      </c>
      <c r="C9932" t="inlineStr">
        <is>
          <t>99f3abba-c55b-49f0-9de5-9f88e9597cc0</t>
        </is>
      </c>
      <c r="D9932" t="n">
        <v>55.72228</v>
      </c>
      <c r="E9932" t="n">
        <v>37.73764</v>
      </c>
      <c r="F9932" t="inlineStr"/>
      <c r="G9932" t="inlineStr"/>
      <c r="H9932" t="inlineStr"/>
    </row>
    <row r="9933">
      <c r="A9933" t="inlineStr">
        <is>
          <t>e922968d-1224-49b1-aa67-bf2b1150bf5a.jpg</t>
        </is>
      </c>
      <c r="B9933">
        <f>HYPERLINK("Объекты недвижимости, не соответствующие градостроительным нормам_00-022_Август/e922968d-1224-49b1-aa67-bf2b1150bf5a.jpg","open")</f>
        <v/>
      </c>
      <c r="C9933" t="inlineStr">
        <is>
          <t>99f3abba-c55b-49f0-9de5-9f88e9597cc0</t>
        </is>
      </c>
      <c r="D9933" t="n">
        <v>55.72108</v>
      </c>
      <c r="E9933" t="n">
        <v>37.73568</v>
      </c>
      <c r="F9933" t="inlineStr"/>
      <c r="G9933" t="inlineStr"/>
      <c r="H9933" t="inlineStr"/>
    </row>
    <row r="9934">
      <c r="A9934" t="inlineStr">
        <is>
          <t>4d6581af-4f97-4f31-835f-31da0a3c8e02.jpg</t>
        </is>
      </c>
      <c r="B9934">
        <f>HYPERLINK("Объекты недвижимости, не соответствующие градостроительным нормам_00-022_Август/4d6581af-4f97-4f31-835f-31da0a3c8e02.jpg","open")</f>
        <v/>
      </c>
      <c r="C9934" t="inlineStr">
        <is>
          <t>99f3abba-c55b-49f0-9de5-9f88e9597cc0</t>
        </is>
      </c>
      <c r="D9934" t="n">
        <v>55.72105</v>
      </c>
      <c r="E9934" t="n">
        <v>37.73569</v>
      </c>
      <c r="F9934" t="inlineStr"/>
      <c r="G9934" t="inlineStr"/>
      <c r="H9934" t="inlineStr"/>
    </row>
    <row r="9935">
      <c r="A9935" t="inlineStr">
        <is>
          <t>889faf3e-2caf-4f26-a310-763e5f3a8dac.jpg</t>
        </is>
      </c>
      <c r="B9935">
        <f>HYPERLINK("Объекты недвижимости, не соответствующие градостроительным нормам_00-022_Август/889faf3e-2caf-4f26-a310-763e5f3a8dac.jpg","open")</f>
        <v/>
      </c>
      <c r="C9935" t="inlineStr">
        <is>
          <t>99f3abba-c55b-49f0-9de5-9f88e9597cc0</t>
        </is>
      </c>
      <c r="D9935" t="n">
        <v>55.72107</v>
      </c>
      <c r="E9935" t="n">
        <v>37.73568</v>
      </c>
      <c r="F9935" t="inlineStr"/>
      <c r="G9935" t="inlineStr"/>
      <c r="H9935" t="inlineStr"/>
    </row>
    <row r="9936">
      <c r="A9936" t="inlineStr">
        <is>
          <t>21ea1065-ca05-4842-97bb-4eceda508ed8.jpg</t>
        </is>
      </c>
      <c r="B9936">
        <f>HYPERLINK("Объекты недвижимости, не соответствующие градостроительным нормам_00-022_Август/21ea1065-ca05-4842-97bb-4eceda508ed8.jpg","open")</f>
        <v/>
      </c>
      <c r="C9936" t="inlineStr">
        <is>
          <t>99f3abba-c55b-49f0-9de5-9f88e9597cc0</t>
        </is>
      </c>
      <c r="D9936" t="n">
        <v>55.72104</v>
      </c>
      <c r="E9936" t="n">
        <v>37.73569</v>
      </c>
      <c r="F9936" t="inlineStr"/>
      <c r="G9936" t="inlineStr"/>
      <c r="H9936" t="inlineStr"/>
    </row>
    <row r="9937">
      <c r="A9937" t="inlineStr">
        <is>
          <t>83985ebb-6e13-4664-bf26-aede93f6c0e6.jpg</t>
        </is>
      </c>
      <c r="B9937">
        <f>HYPERLINK("Объекты недвижимости, не соответствующие градостроительным нормам_00-022_Август/83985ebb-6e13-4664-bf26-aede93f6c0e6.jpg","open")</f>
        <v/>
      </c>
      <c r="C9937" t="inlineStr">
        <is>
          <t>b0429a31-0c70-4b9f-8ea5-73929d82f89e</t>
        </is>
      </c>
      <c r="D9937" t="n">
        <v>55.72086</v>
      </c>
      <c r="E9937" t="n">
        <v>37.73665</v>
      </c>
      <c r="F9937" t="inlineStr"/>
      <c r="G9937" t="inlineStr"/>
      <c r="H9937" t="inlineStr"/>
    </row>
    <row r="9938">
      <c r="A9938" t="inlineStr">
        <is>
          <t>740e023b-07de-4c75-b438-c581f28c762a.jpg</t>
        </is>
      </c>
      <c r="B9938">
        <f>HYPERLINK("Объекты недвижимости, не соответствующие градостроительным нормам_00-022_Август/740e023b-07de-4c75-b438-c581f28c762a.jpg","open")</f>
        <v/>
      </c>
      <c r="C9938" t="inlineStr">
        <is>
          <t>b0429a31-0c70-4b9f-8ea5-73929d82f89e</t>
        </is>
      </c>
      <c r="D9938" t="n">
        <v>55.72103</v>
      </c>
      <c r="E9938" t="n">
        <v>37.73849</v>
      </c>
      <c r="F9938" t="inlineStr"/>
      <c r="G9938" t="inlineStr"/>
      <c r="H9938" t="inlineStr"/>
    </row>
    <row r="9939">
      <c r="A9939" t="inlineStr">
        <is>
          <t>1cc82488-d13f-4692-9a30-dff000799ee3.jpg</t>
        </is>
      </c>
      <c r="B9939">
        <f>HYPERLINK("Объекты недвижимости, не соответствующие градостроительным нормам_00-022_Август/1cc82488-d13f-4692-9a30-dff000799ee3.jpg","open")</f>
        <v/>
      </c>
      <c r="C9939" t="inlineStr">
        <is>
          <t>99f3abba-c55b-49f0-9de5-9f88e9597cc0</t>
        </is>
      </c>
      <c r="D9939" t="n">
        <v>55.72103</v>
      </c>
      <c r="E9939" t="n">
        <v>37.73849</v>
      </c>
      <c r="F9939" t="inlineStr"/>
      <c r="G9939" t="inlineStr"/>
      <c r="H9939" t="inlineStr"/>
    </row>
    <row r="9940">
      <c r="A9940" t="inlineStr">
        <is>
          <t>885f37ab-c59d-4291-9977-a231922a2e10.jpg</t>
        </is>
      </c>
      <c r="B9940">
        <f>HYPERLINK("Объекты недвижимости, не соответствующие градостроительным нормам_00-022_Август/885f37ab-c59d-4291-9977-a231922a2e10.jpg","open")</f>
        <v/>
      </c>
      <c r="C9940" t="inlineStr">
        <is>
          <t>caa4772d-6278-4484-a046-ee25514bf521</t>
        </is>
      </c>
      <c r="D9940" t="n">
        <v>55.65726</v>
      </c>
      <c r="E9940" t="n">
        <v>37.70876</v>
      </c>
      <c r="F9940" t="inlineStr"/>
      <c r="G9940" t="inlineStr"/>
      <c r="H9940" t="inlineStr"/>
    </row>
    <row r="9941">
      <c r="A9941" t="inlineStr">
        <is>
          <t>466235f5-e686-425f-82fc-05e22d2b2b9e.jpg</t>
        </is>
      </c>
      <c r="B9941">
        <f>HYPERLINK("Объекты недвижимости, не соответствующие градостроительным нормам_00-022_Август/466235f5-e686-425f-82fc-05e22d2b2b9e.jpg","open")</f>
        <v/>
      </c>
      <c r="C9941" t="inlineStr">
        <is>
          <t>18a5c468-d9e6-4814-8477-1caf4a2e1fe9</t>
        </is>
      </c>
      <c r="D9941" t="n">
        <v>55.98125</v>
      </c>
      <c r="E9941" t="n">
        <v>37.40663</v>
      </c>
      <c r="F9941" t="inlineStr"/>
      <c r="G9941" t="inlineStr"/>
      <c r="H9941" t="inlineStr"/>
    </row>
    <row r="9942">
      <c r="A9942" t="inlineStr">
        <is>
          <t>0f9a2484-6f1e-47b9-9d0e-db6958a705ea.jpg</t>
        </is>
      </c>
      <c r="B9942">
        <f>HYPERLINK("Объекты недвижимости, не соответствующие градостроительным нормам_00-022_Август/0f9a2484-6f1e-47b9-9d0e-db6958a705ea.jpg","open")</f>
        <v/>
      </c>
      <c r="C9942" t="inlineStr">
        <is>
          <t>61936922-4d4b-458e-80ea-6d4c450aa1d5</t>
        </is>
      </c>
      <c r="D9942" t="n">
        <v>55.65474</v>
      </c>
      <c r="E9942" t="n">
        <v>37.48148</v>
      </c>
      <c r="F9942" t="inlineStr"/>
      <c r="G9942" t="inlineStr"/>
      <c r="H9942" t="inlineStr"/>
    </row>
    <row r="9943">
      <c r="A9943" t="inlineStr">
        <is>
          <t>c8f57d2b-04cc-4ed9-84b6-d163acd4109c.jpg</t>
        </is>
      </c>
      <c r="B9943">
        <f>HYPERLINK("Объекты недвижимости, не соответствующие градостроительным нормам_00-022_Август/c8f57d2b-04cc-4ed9-84b6-d163acd4109c.jpg","open")</f>
        <v/>
      </c>
      <c r="C9943" t="inlineStr">
        <is>
          <t>9fb3d110-951f-48da-9d90-cfd7e1b5800d</t>
        </is>
      </c>
      <c r="D9943" t="n">
        <v>55.65475</v>
      </c>
      <c r="E9943" t="n">
        <v>37.48141</v>
      </c>
      <c r="F9943" t="inlineStr"/>
      <c r="G9943" t="inlineStr"/>
      <c r="H9943" t="inlineStr"/>
    </row>
    <row r="9944">
      <c r="A9944" t="inlineStr">
        <is>
          <t>ac91000f-51be-4fe9-b3f7-72183a43c0f8.jpg</t>
        </is>
      </c>
      <c r="B9944">
        <f>HYPERLINK("Объекты недвижимости, не соответствующие градостроительным нормам_00-022_Август/ac91000f-51be-4fe9-b3f7-72183a43c0f8.jpg","open")</f>
        <v/>
      </c>
      <c r="C9944" t="inlineStr">
        <is>
          <t>8cde1fd0-eca1-4510-86ab-3c743b65fdfc</t>
        </is>
      </c>
      <c r="D9944" t="n">
        <v>55.84498</v>
      </c>
      <c r="E9944" t="n">
        <v>37.56147</v>
      </c>
      <c r="F9944" t="inlineStr"/>
      <c r="G9944" t="inlineStr"/>
      <c r="H9944" t="inlineStr"/>
    </row>
    <row r="9945">
      <c r="A9945" t="inlineStr">
        <is>
          <t>78460431-b7f1-442a-9bfe-eb456198b8ed.jpg</t>
        </is>
      </c>
      <c r="B9945">
        <f>HYPERLINK("Объекты недвижимости, не соответствующие градостроительным нормам_00-022_Август/78460431-b7f1-442a-9bfe-eb456198b8ed.jpg","open")</f>
        <v/>
      </c>
      <c r="C9945" t="inlineStr">
        <is>
          <t>2acfb2da-e3f6-464c-bd17-4b713522c142</t>
        </is>
      </c>
      <c r="D9945" t="n">
        <v>55.89041</v>
      </c>
      <c r="E9945" t="n">
        <v>37.62076</v>
      </c>
      <c r="F9945" t="inlineStr"/>
      <c r="G9945" t="inlineStr"/>
      <c r="H9945" t="inlineStr"/>
    </row>
    <row r="9946">
      <c r="A9946" t="inlineStr">
        <is>
          <t>8f2973ee-69a1-4cf6-9451-0ccb2515648d.jpg</t>
        </is>
      </c>
      <c r="B9946">
        <f>HYPERLINK("Объекты недвижимости, не соответствующие градостроительным нормам_00-022_Август/8f2973ee-69a1-4cf6-9451-0ccb2515648d.jpg","open")</f>
        <v/>
      </c>
      <c r="C9946" t="inlineStr">
        <is>
          <t>789f6c51-64ee-4078-b7bd-443af8b8b68a</t>
        </is>
      </c>
      <c r="D9946" t="n">
        <v>55.89041</v>
      </c>
      <c r="E9946" t="n">
        <v>37.62076</v>
      </c>
      <c r="F9946" t="inlineStr"/>
      <c r="G9946" t="inlineStr"/>
      <c r="H9946" t="inlineStr"/>
    </row>
    <row r="9947">
      <c r="A9947" t="inlineStr">
        <is>
          <t>a01b6a12-44ac-4b9e-be85-cc9777d001d7.jpg</t>
        </is>
      </c>
      <c r="B9947">
        <f>HYPERLINK("Объекты недвижимости, не соответствующие градостроительным нормам_00-022_Август/a01b6a12-44ac-4b9e-be85-cc9777d001d7.jpg","open")</f>
        <v/>
      </c>
      <c r="C9947" t="inlineStr">
        <is>
          <t>2acfb2da-e3f6-464c-bd17-4b713522c142</t>
        </is>
      </c>
      <c r="D9947" t="n">
        <v>55.89038</v>
      </c>
      <c r="E9947" t="n">
        <v>37.62082</v>
      </c>
      <c r="F9947" t="inlineStr"/>
      <c r="G9947" t="inlineStr"/>
      <c r="H9947" t="inlineStr"/>
    </row>
    <row r="9948">
      <c r="A9948" t="inlineStr">
        <is>
          <t>2a6a95f5-c306-4349-8cc6-d5d6dc78ac2f.jpg</t>
        </is>
      </c>
      <c r="B9948">
        <f>HYPERLINK("Объекты недвижимости, не соответствующие градостроительным нормам_00-022_Август/2a6a95f5-c306-4349-8cc6-d5d6dc78ac2f.jpg","open")</f>
        <v/>
      </c>
      <c r="C9948" t="inlineStr">
        <is>
          <t>fce890a6-27da-4062-a046-08262a160ee6</t>
        </is>
      </c>
      <c r="D9948" t="n">
        <v>55.97572</v>
      </c>
      <c r="E9948" t="n">
        <v>37.39656</v>
      </c>
      <c r="F9948" t="inlineStr"/>
      <c r="G9948" t="inlineStr"/>
      <c r="H9948" t="inlineStr"/>
    </row>
    <row r="9949">
      <c r="A9949" t="inlineStr">
        <is>
          <t>8f3eba83-d9d0-4ef5-a971-c609509d2926.jpg</t>
        </is>
      </c>
      <c r="B9949">
        <f>HYPERLINK("Объекты недвижимости, не соответствующие градостроительным нормам_00-022_Август/8f3eba83-d9d0-4ef5-a971-c609509d2926.jpg","open")</f>
        <v/>
      </c>
      <c r="C9949" t="inlineStr">
        <is>
          <t>9f88688f-4c81-42a8-b76a-3c3e7edf869e</t>
        </is>
      </c>
      <c r="D9949" t="n">
        <v>55.97572</v>
      </c>
      <c r="E9949" t="n">
        <v>37.39656</v>
      </c>
      <c r="F9949" t="inlineStr"/>
      <c r="G9949" t="inlineStr"/>
      <c r="H9949" t="inlineStr"/>
    </row>
    <row r="9950">
      <c r="A9950" t="inlineStr">
        <is>
          <t>b6e9a05c-7e2e-4c09-8586-94f15eaa451b.jpg</t>
        </is>
      </c>
      <c r="B9950">
        <f>HYPERLINK("Объекты недвижимости, не соответствующие градостроительным нормам_00-022_Август/b6e9a05c-7e2e-4c09-8586-94f15eaa451b.jpg","open")</f>
        <v/>
      </c>
      <c r="C9950" t="inlineStr">
        <is>
          <t>fce890a6-27da-4062-a046-08262a160ee6</t>
        </is>
      </c>
      <c r="D9950" t="n">
        <v>55.97572</v>
      </c>
      <c r="E9950" t="n">
        <v>37.39656</v>
      </c>
      <c r="F9950" t="inlineStr"/>
      <c r="G9950" t="inlineStr"/>
      <c r="H9950" t="inlineStr"/>
    </row>
    <row r="9951">
      <c r="A9951" t="inlineStr">
        <is>
          <t>23b9ba2e-1309-4ac7-9e10-bf4c4d5b40c8.jpg</t>
        </is>
      </c>
      <c r="B9951">
        <f>HYPERLINK("Объекты недвижимости, не соответствующие градостроительным нормам_00-022_Август/23b9ba2e-1309-4ac7-9e10-bf4c4d5b40c8.jpg","open")</f>
        <v/>
      </c>
      <c r="C9951" t="inlineStr">
        <is>
          <t>f6f80c84-5569-48fd-b627-6f41ce4c61c4</t>
        </is>
      </c>
      <c r="D9951" t="n">
        <v>55.6538</v>
      </c>
      <c r="E9951" t="n">
        <v>37.696</v>
      </c>
      <c r="F9951" t="inlineStr"/>
      <c r="G9951" t="inlineStr"/>
      <c r="H9951" t="inlineStr"/>
    </row>
    <row r="9952">
      <c r="A9952" t="inlineStr">
        <is>
          <t>2a3a0c57-c3c5-4c48-93b8-acbd90486ec2.jpg</t>
        </is>
      </c>
      <c r="B9952">
        <f>HYPERLINK("Объекты недвижимости, не соответствующие градостроительным нормам_00-022_Август/2a3a0c57-c3c5-4c48-93b8-acbd90486ec2.jpg","open")</f>
        <v/>
      </c>
      <c r="C9952" t="inlineStr">
        <is>
          <t>f20fbc2b-b369-4734-bb66-92af02fbb0d1</t>
        </is>
      </c>
      <c r="D9952" t="n">
        <v>55.68161</v>
      </c>
      <c r="E9952" t="n">
        <v>37.5424</v>
      </c>
      <c r="F9952" t="inlineStr"/>
      <c r="G9952" t="inlineStr"/>
      <c r="H9952" t="inlineStr"/>
    </row>
    <row r="9953">
      <c r="A9953" t="inlineStr">
        <is>
          <t>1030d4ea-5866-40a5-8504-93a52418c1bb.jpg</t>
        </is>
      </c>
      <c r="B9953">
        <f>HYPERLINK("Объекты недвижимости, не соответствующие градостроительным нормам_00-022_Август/1030d4ea-5866-40a5-8504-93a52418c1bb.jpg","open")</f>
        <v/>
      </c>
      <c r="C9953" t="inlineStr">
        <is>
          <t>036c664f-5408-4fd0-b479-342c00468eeb</t>
        </is>
      </c>
      <c r="D9953" t="n">
        <v>55.65322</v>
      </c>
      <c r="E9953" t="n">
        <v>37.41519</v>
      </c>
      <c r="F9953" t="inlineStr"/>
      <c r="G9953" t="inlineStr"/>
      <c r="H9953" t="inlineStr"/>
    </row>
    <row r="9954">
      <c r="A9954" t="inlineStr">
        <is>
          <t>48bbc5cc-aeb8-417d-a295-487a0405b32b.jpg</t>
        </is>
      </c>
      <c r="B9954">
        <f>HYPERLINK("Объекты недвижимости, не соответствующие градостроительным нормам_00-022_Август/48bbc5cc-aeb8-417d-a295-487a0405b32b.jpg","open")</f>
        <v/>
      </c>
      <c r="C9954" t="inlineStr">
        <is>
          <t>caa4772d-6278-4484-a046-ee25514bf521</t>
        </is>
      </c>
      <c r="D9954" t="n">
        <v>55.65541</v>
      </c>
      <c r="E9954" t="n">
        <v>37.70249</v>
      </c>
      <c r="F9954" t="inlineStr"/>
      <c r="G9954" t="inlineStr"/>
      <c r="H9954" t="inlineStr"/>
    </row>
    <row r="9955">
      <c r="A9955" t="inlineStr">
        <is>
          <t>11d608c4-b642-4154-a321-f8d441c4fb6e.jpg</t>
        </is>
      </c>
      <c r="B9955">
        <f>HYPERLINK("Объекты недвижимости, не соответствующие градостроительным нормам_00-022_Август/11d608c4-b642-4154-a321-f8d441c4fb6e.jpg","open")</f>
        <v/>
      </c>
      <c r="C9955" t="inlineStr">
        <is>
          <t>b0429a31-0c70-4b9f-8ea5-73929d82f89e</t>
        </is>
      </c>
      <c r="D9955" t="n">
        <v>55.71801</v>
      </c>
      <c r="E9955" t="n">
        <v>37.73878</v>
      </c>
      <c r="F9955" t="inlineStr"/>
      <c r="G9955" t="inlineStr"/>
      <c r="H9955" t="inlineStr"/>
    </row>
    <row r="9956">
      <c r="A9956" t="inlineStr">
        <is>
          <t>a6bc9a23-15c8-4e8a-b585-0b91a8529d3e.jpg</t>
        </is>
      </c>
      <c r="B9956">
        <f>HYPERLINK("Объекты недвижимости, не соответствующие градостроительным нормам_00-022_Август/a6bc9a23-15c8-4e8a-b585-0b91a8529d3e.jpg","open")</f>
        <v/>
      </c>
      <c r="C9956" t="inlineStr">
        <is>
          <t>61936922-4d4b-458e-80ea-6d4c450aa1d5</t>
        </is>
      </c>
      <c r="D9956" t="n">
        <v>55.65778</v>
      </c>
      <c r="E9956" t="n">
        <v>37.48513</v>
      </c>
      <c r="F9956" t="inlineStr"/>
      <c r="G9956" t="inlineStr"/>
      <c r="H9956" t="inlineStr"/>
    </row>
    <row r="9957">
      <c r="A9957" t="inlineStr">
        <is>
          <t>95d56394-d6cb-4cc7-8935-27749e696713.jpg</t>
        </is>
      </c>
      <c r="B9957">
        <f>HYPERLINK("Объекты недвижимости, не соответствующие градостроительным нормам_00-022_Август/95d56394-d6cb-4cc7-8935-27749e696713.jpg","open")</f>
        <v/>
      </c>
      <c r="C9957" t="inlineStr">
        <is>
          <t>caa4772d-6278-4484-a046-ee25514bf521</t>
        </is>
      </c>
      <c r="D9957" t="n">
        <v>55.65523</v>
      </c>
      <c r="E9957" t="n">
        <v>37.70225</v>
      </c>
      <c r="F9957" t="inlineStr"/>
      <c r="G9957" t="inlineStr"/>
      <c r="H9957" t="inlineStr"/>
    </row>
    <row r="9958">
      <c r="A9958" t="inlineStr">
        <is>
          <t>534f99eb-d031-4b7a-a174-158bf9fb3d58.jpg</t>
        </is>
      </c>
      <c r="B9958">
        <f>HYPERLINK("Объекты недвижимости, не соответствующие градостроительным нормам_00-022_Август/534f99eb-d031-4b7a-a174-158bf9fb3d58.jpg","open")</f>
        <v/>
      </c>
      <c r="C9958" t="inlineStr">
        <is>
          <t>8996eb30-6497-4318-8a0e-b95314b8172e</t>
        </is>
      </c>
      <c r="D9958" t="n">
        <v>55.9782</v>
      </c>
      <c r="E9958" t="n">
        <v>37.17388</v>
      </c>
      <c r="F9958" t="inlineStr"/>
      <c r="G9958" t="inlineStr"/>
      <c r="H9958" t="inlineStr"/>
    </row>
    <row r="9959">
      <c r="A9959" t="inlineStr">
        <is>
          <t>7c2b717f-2343-4321-a82c-fedb15c4dc81.jpg</t>
        </is>
      </c>
      <c r="B9959">
        <f>HYPERLINK("Объекты недвижимости, не соответствующие градостроительным нормам_00-022_Август/7c2b717f-2343-4321-a82c-fedb15c4dc81.jpg","open")</f>
        <v/>
      </c>
      <c r="C9959" t="inlineStr">
        <is>
          <t>fce890a6-27da-4062-a046-08262a160ee6</t>
        </is>
      </c>
      <c r="D9959" t="n">
        <v>55.97572</v>
      </c>
      <c r="E9959" t="n">
        <v>37.39656</v>
      </c>
      <c r="F9959" t="inlineStr"/>
      <c r="G9959" t="inlineStr"/>
      <c r="H9959" t="inlineStr"/>
    </row>
    <row r="9960">
      <c r="A9960" t="inlineStr">
        <is>
          <t>c1aff5e6-dd21-4541-b531-d6f17738ae19.jpg</t>
        </is>
      </c>
      <c r="B9960">
        <f>HYPERLINK("Объекты недвижимости, не соответствующие градостроительным нормам_00-022_Август/c1aff5e6-dd21-4541-b531-d6f17738ae19.jpg","open")</f>
        <v/>
      </c>
      <c r="C9960" t="inlineStr">
        <is>
          <t>fce890a6-27da-4062-a046-08262a160ee6</t>
        </is>
      </c>
      <c r="D9960" t="n">
        <v>55.97572</v>
      </c>
      <c r="E9960" t="n">
        <v>37.39656</v>
      </c>
      <c r="F9960" t="inlineStr"/>
      <c r="G9960" t="inlineStr"/>
      <c r="H9960" t="inlineStr"/>
    </row>
    <row r="9961">
      <c r="A9961" t="inlineStr">
        <is>
          <t>22e7bdaa-caa6-4a35-9ad7-15ed7d224796.jpg</t>
        </is>
      </c>
      <c r="B9961">
        <f>HYPERLINK("Объекты недвижимости, не соответствующие градостроительным нормам_00-022_Август/22e7bdaa-caa6-4a35-9ad7-15ed7d224796.jpg","open")</f>
        <v/>
      </c>
      <c r="C9961" t="inlineStr">
        <is>
          <t>1a55986c-2c3f-40c0-b3d1-014dce77832e</t>
        </is>
      </c>
      <c r="D9961" t="n">
        <v>55.61959</v>
      </c>
      <c r="E9961" t="n">
        <v>37.27351</v>
      </c>
      <c r="F9961" t="inlineStr"/>
      <c r="G9961" t="inlineStr"/>
      <c r="H9961" t="inlineStr"/>
    </row>
    <row r="9962">
      <c r="A9962" t="inlineStr">
        <is>
          <t>d61dfbc2-7972-4111-b1c0-581cfa99e0fd.jpg</t>
        </is>
      </c>
      <c r="B9962">
        <f>HYPERLINK("Объекты недвижимости, не соответствующие градостроительным нормам_00-022_Август/d61dfbc2-7972-4111-b1c0-581cfa99e0fd.jpg","open")</f>
        <v/>
      </c>
      <c r="C9962" t="inlineStr">
        <is>
          <t>ed2bf0f1-3a66-4913-896e-4420a9796c0b</t>
        </is>
      </c>
      <c r="D9962" t="n">
        <v>55.61955</v>
      </c>
      <c r="E9962" t="n">
        <v>37.27337</v>
      </c>
      <c r="F9962" t="inlineStr"/>
      <c r="G9962" t="inlineStr"/>
      <c r="H9962" t="inlineStr"/>
    </row>
    <row r="9963">
      <c r="A9963" t="inlineStr">
        <is>
          <t>0aba3896-39e5-4def-a6a9-4eb700d42e69.jpg</t>
        </is>
      </c>
      <c r="B9963">
        <f>HYPERLINK("Объекты недвижимости, не соответствующие градостроительным нормам_00-022_Август/0aba3896-39e5-4def-a6a9-4eb700d42e69.jpg","open")</f>
        <v/>
      </c>
      <c r="C9963" t="inlineStr">
        <is>
          <t>8cde1fd0-eca1-4510-86ab-3c743b65fdfc</t>
        </is>
      </c>
      <c r="D9963" t="n">
        <v>55.84344</v>
      </c>
      <c r="E9963" t="n">
        <v>37.564</v>
      </c>
      <c r="F9963" t="inlineStr"/>
      <c r="G9963" t="inlineStr"/>
      <c r="H9963" t="inlineStr"/>
    </row>
    <row r="9964">
      <c r="A9964" t="inlineStr">
        <is>
          <t>c86fc401-841a-49dd-ae32-3c20417114cd.jpg</t>
        </is>
      </c>
      <c r="B9964">
        <f>HYPERLINK("Объекты недвижимости, не соответствующие градостроительным нормам_00-022_Август/c86fc401-841a-49dd-ae32-3c20417114cd.jpg","open")</f>
        <v/>
      </c>
      <c r="C9964" t="inlineStr">
        <is>
          <t>936502dd-24a4-4256-9fdf-0d8fb72af3ed</t>
        </is>
      </c>
      <c r="D9964" t="n">
        <v>55.67879</v>
      </c>
      <c r="E9964" t="n">
        <v>37.67743</v>
      </c>
      <c r="F9964" t="inlineStr"/>
      <c r="G9964" t="inlineStr"/>
      <c r="H9964" t="inlineStr"/>
    </row>
    <row r="9965">
      <c r="A9965" t="inlineStr">
        <is>
          <t>d0c2c33c-7402-4704-ac6f-be7efe6e935e.jpg</t>
        </is>
      </c>
      <c r="B9965">
        <f>HYPERLINK("Объекты недвижимости, не соответствующие градостроительным нормам_00-022_Август/d0c2c33c-7402-4704-ac6f-be7efe6e935e.jpg","open")</f>
        <v/>
      </c>
      <c r="C9965" t="inlineStr">
        <is>
          <t>030e8755-17c1-44eb-9530-707d0d3121cb</t>
        </is>
      </c>
      <c r="D9965" t="n">
        <v>55.6788</v>
      </c>
      <c r="E9965" t="n">
        <v>37.67745</v>
      </c>
      <c r="F9965" t="inlineStr"/>
      <c r="G9965" t="inlineStr"/>
      <c r="H9965" t="inlineStr"/>
    </row>
    <row r="9966">
      <c r="A9966" t="inlineStr">
        <is>
          <t>530b639d-1113-42fe-a4ac-cbaff350472d.jpg</t>
        </is>
      </c>
      <c r="B9966">
        <f>HYPERLINK("Объекты недвижимости, не соответствующие градостроительным нормам_00-022_Август/530b639d-1113-42fe-a4ac-cbaff350472d.jpg","open")</f>
        <v/>
      </c>
      <c r="C9966" t="inlineStr">
        <is>
          <t>b0429a31-0c70-4b9f-8ea5-73929d82f89e</t>
        </is>
      </c>
      <c r="D9966" t="n">
        <v>55.71999</v>
      </c>
      <c r="E9966" t="n">
        <v>37.73323</v>
      </c>
      <c r="F9966" t="inlineStr"/>
      <c r="G9966" t="inlineStr"/>
      <c r="H9966" t="inlineStr"/>
    </row>
    <row r="9967">
      <c r="A9967" t="inlineStr">
        <is>
          <t>7dedd760-20ee-4a84-8d26-197ae4dd6aee.jpg</t>
        </is>
      </c>
      <c r="B9967">
        <f>HYPERLINK("Объекты недвижимости, не соответствующие градостроительным нормам_00-022_Август/7dedd760-20ee-4a84-8d26-197ae4dd6aee.jpg","open")</f>
        <v/>
      </c>
      <c r="C9967" t="inlineStr">
        <is>
          <t>936502dd-24a4-4256-9fdf-0d8fb72af3ed</t>
        </is>
      </c>
      <c r="D9967" t="n">
        <v>55.67847</v>
      </c>
      <c r="E9967" t="n">
        <v>37.67743</v>
      </c>
      <c r="F9967" t="inlineStr"/>
      <c r="G9967" t="inlineStr"/>
      <c r="H9967" t="inlineStr"/>
    </row>
    <row r="9968">
      <c r="A9968" t="inlineStr">
        <is>
          <t>025ed4e4-e162-493e-b5bf-528cd320df4d.jpg</t>
        </is>
      </c>
      <c r="B9968">
        <f>HYPERLINK("Объекты недвижимости, не соответствующие градостроительным нормам_00-022_Август/025ed4e4-e162-493e-b5bf-528cd320df4d.jpg","open")</f>
        <v/>
      </c>
      <c r="C9968" t="inlineStr">
        <is>
          <t>b0b7ea82-53be-40d0-b992-e2fd18611d5c</t>
        </is>
      </c>
      <c r="D9968" t="n">
        <v>55.67864</v>
      </c>
      <c r="E9968" t="n">
        <v>37.54934</v>
      </c>
      <c r="F9968" t="inlineStr"/>
      <c r="G9968" t="inlineStr"/>
      <c r="H9968" t="inlineStr"/>
    </row>
    <row r="9969">
      <c r="A9969" t="inlineStr">
        <is>
          <t>d523fe88-167f-42b6-8be4-b881dc747601.jpg</t>
        </is>
      </c>
      <c r="B9969">
        <f>HYPERLINK("Объекты недвижимости, не соответствующие градостроительным нормам_00-022_Август/d523fe88-167f-42b6-8be4-b881dc747601.jpg","open")</f>
        <v/>
      </c>
      <c r="C9969" t="inlineStr">
        <is>
          <t>f20fbc2b-b369-4734-bb66-92af02fbb0d1</t>
        </is>
      </c>
      <c r="D9969" t="n">
        <v>55.67861</v>
      </c>
      <c r="E9969" t="n">
        <v>37.5493</v>
      </c>
      <c r="F9969" t="inlineStr"/>
      <c r="G9969" t="inlineStr"/>
      <c r="H9969" t="inlineStr"/>
    </row>
    <row r="9970">
      <c r="A9970" t="inlineStr">
        <is>
          <t>c2682391-e382-441f-b099-94def9f6cfdf.jpg</t>
        </is>
      </c>
      <c r="B9970">
        <f>HYPERLINK("Объекты недвижимости, не соответствующие градостроительным нормам_00-022_Август/c2682391-e382-441f-b099-94def9f6cfdf.jpg","open")</f>
        <v/>
      </c>
      <c r="C9970" t="inlineStr">
        <is>
          <t>8cde1fd0-eca1-4510-86ab-3c743b65fdfc</t>
        </is>
      </c>
      <c r="D9970" t="n">
        <v>55.84529</v>
      </c>
      <c r="E9970" t="n">
        <v>37.56087</v>
      </c>
      <c r="F9970" t="inlineStr"/>
      <c r="G9970" t="inlineStr"/>
      <c r="H9970" t="inlineStr"/>
    </row>
    <row r="9971">
      <c r="A9971" t="inlineStr">
        <is>
          <t>5af63083-baa2-4167-a5bc-386e7b62de2a.jpg</t>
        </is>
      </c>
      <c r="B9971">
        <f>HYPERLINK("Объекты недвижимости, не соответствующие градостроительным нормам_00-022_Август/5af63083-baa2-4167-a5bc-386e7b62de2a.jpg","open")</f>
        <v/>
      </c>
      <c r="C9971" t="inlineStr">
        <is>
          <t>1c951e11-4940-43c6-a447-394097e5609a</t>
        </is>
      </c>
      <c r="D9971" t="n">
        <v>55.84521</v>
      </c>
      <c r="E9971" t="n">
        <v>37.56082</v>
      </c>
      <c r="F9971" t="inlineStr"/>
      <c r="G9971" t="inlineStr"/>
      <c r="H9971" t="inlineStr"/>
    </row>
    <row r="9972">
      <c r="A9972" t="inlineStr">
        <is>
          <t>72a5b2af-0ae2-4ea7-b09b-270a5136f873.jpg</t>
        </is>
      </c>
      <c r="B9972">
        <f>HYPERLINK("Объекты недвижимости, не соответствующие градостроительным нормам_00-022_Август/72a5b2af-0ae2-4ea7-b09b-270a5136f873.jpg","open")</f>
        <v/>
      </c>
      <c r="C9972" t="inlineStr">
        <is>
          <t>99f3abba-c55b-49f0-9de5-9f88e9597cc0</t>
        </is>
      </c>
      <c r="D9972" t="n">
        <v>55.71917</v>
      </c>
      <c r="E9972" t="n">
        <v>37.7313</v>
      </c>
      <c r="F9972" t="inlineStr"/>
      <c r="G9972" t="inlineStr"/>
      <c r="H9972" t="inlineStr"/>
    </row>
    <row r="9973">
      <c r="A9973" t="inlineStr">
        <is>
          <t>86fed180-f287-4597-9f16-8b485a059221.jpg</t>
        </is>
      </c>
      <c r="B9973">
        <f>HYPERLINK("Объекты недвижимости, не соответствующие градостроительным нормам_00-022_Август/86fed180-f287-4597-9f16-8b485a059221.jpg","open")</f>
        <v/>
      </c>
      <c r="C9973" t="inlineStr">
        <is>
          <t>ed2bf0f1-3a66-4913-896e-4420a9796c0b</t>
        </is>
      </c>
      <c r="D9973" t="n">
        <v>55.61938</v>
      </c>
      <c r="E9973" t="n">
        <v>37.27366</v>
      </c>
      <c r="F9973" t="inlineStr"/>
      <c r="G9973" t="inlineStr"/>
      <c r="H9973" t="inlineStr"/>
    </row>
    <row r="9974">
      <c r="A9974" t="inlineStr">
        <is>
          <t>03c53f8f-1c90-4b61-a612-dfa54da8a184.jpg</t>
        </is>
      </c>
      <c r="B9974">
        <f>HYPERLINK("Объекты недвижимости, не соответствующие градостроительным нормам_00-022_Август/03c53f8f-1c90-4b61-a612-dfa54da8a184.jpg","open")</f>
        <v/>
      </c>
      <c r="C9974" t="inlineStr">
        <is>
          <t>ed2bf0f1-3a66-4913-896e-4420a9796c0b</t>
        </is>
      </c>
      <c r="D9974" t="n">
        <v>55.61909</v>
      </c>
      <c r="E9974" t="n">
        <v>37.27425</v>
      </c>
      <c r="F9974" t="inlineStr"/>
      <c r="G9974" t="inlineStr"/>
      <c r="H9974" t="inlineStr"/>
    </row>
    <row r="9975">
      <c r="A9975" t="inlineStr">
        <is>
          <t>5f43b13e-5537-4b7b-bc0c-5d1d2fc9739d.jpg</t>
        </is>
      </c>
      <c r="B9975">
        <f>HYPERLINK("Объекты недвижимости, не соответствующие градостроительным нормам_00-022_Август/5f43b13e-5537-4b7b-bc0c-5d1d2fc9739d.jpg","open")</f>
        <v/>
      </c>
      <c r="C9975" t="inlineStr">
        <is>
          <t>f20fbc2b-b369-4734-bb66-92af02fbb0d1</t>
        </is>
      </c>
      <c r="D9975" t="n">
        <v>55.67586</v>
      </c>
      <c r="E9975" t="n">
        <v>37.5475</v>
      </c>
      <c r="F9975" t="inlineStr"/>
      <c r="G9975" t="inlineStr"/>
      <c r="H9975" t="inlineStr"/>
    </row>
    <row r="9976">
      <c r="A9976" t="inlineStr">
        <is>
          <t>cf529fe9-2a8a-45df-a495-9249ab756204.jpg</t>
        </is>
      </c>
      <c r="B9976">
        <f>HYPERLINK("Объекты недвижимости, не соответствующие градостроительным нормам_00-022_Август/cf529fe9-2a8a-45df-a495-9249ab756204.jpg","open")</f>
        <v/>
      </c>
      <c r="C9976" t="inlineStr">
        <is>
          <t>ffd931da-542f-43e9-979f-5552b17fe3dc</t>
        </is>
      </c>
      <c r="D9976" t="n">
        <v>55.72288</v>
      </c>
      <c r="E9976" t="n">
        <v>37.81056</v>
      </c>
      <c r="F9976" t="inlineStr"/>
      <c r="G9976" t="inlineStr"/>
      <c r="H9976" t="inlineStr"/>
    </row>
    <row r="9977">
      <c r="A9977" t="inlineStr">
        <is>
          <t>9a4b4ab4-5dcd-4986-b880-2dee1e55cc59.jpg</t>
        </is>
      </c>
      <c r="B9977">
        <f>HYPERLINK("Объекты недвижимости, не соответствующие градостроительным нормам_00-022_Август/9a4b4ab4-5dcd-4986-b880-2dee1e55cc59.jpg","open")</f>
        <v/>
      </c>
      <c r="C9977" t="inlineStr">
        <is>
          <t>cbf95b01-f708-45a3-9ec0-3603469b538e</t>
        </is>
      </c>
      <c r="D9977" t="n">
        <v>55.68728</v>
      </c>
      <c r="E9977" t="n">
        <v>37.42241</v>
      </c>
      <c r="F9977" t="inlineStr"/>
      <c r="G9977" t="inlineStr"/>
      <c r="H9977" t="inlineStr"/>
    </row>
    <row r="9978">
      <c r="A9978" t="inlineStr">
        <is>
          <t>339e8bce-bd03-4f94-be4b-5e8675af9c6a.jpg</t>
        </is>
      </c>
      <c r="B9978">
        <f>HYPERLINK("Объекты недвижимости, не соответствующие градостроительным нормам_00-022_Август/339e8bce-bd03-4f94-be4b-5e8675af9c6a.jpg","open")</f>
        <v/>
      </c>
      <c r="C9978" t="inlineStr">
        <is>
          <t>93848fc8-17e7-4748-9ebc-c7e379e11d2f</t>
        </is>
      </c>
      <c r="D9978" t="n">
        <v>55.79268</v>
      </c>
      <c r="E9978" t="n">
        <v>37.79087</v>
      </c>
      <c r="F9978" t="inlineStr"/>
      <c r="G9978" t="inlineStr"/>
      <c r="H9978" t="inlineStr"/>
    </row>
    <row r="9979">
      <c r="A9979" t="inlineStr">
        <is>
          <t>b5f2046e-f1b3-4656-b77f-2148d2e80643.jpg</t>
        </is>
      </c>
      <c r="B9979">
        <f>HYPERLINK("Объекты недвижимости, не соответствующие градостроительным нормам_00-022_Август/b5f2046e-f1b3-4656-b77f-2148d2e80643.jpg","open")</f>
        <v/>
      </c>
      <c r="C9979" t="inlineStr">
        <is>
          <t>a28f597e-d1cd-4d3b-b572-c86d033412e9</t>
        </is>
      </c>
      <c r="D9979" t="n">
        <v>55.65806</v>
      </c>
      <c r="E9979" t="n">
        <v>37.42158</v>
      </c>
      <c r="F9979" t="inlineStr"/>
      <c r="G9979" t="inlineStr"/>
      <c r="H9979" t="inlineStr"/>
    </row>
    <row r="9980">
      <c r="A9980" t="inlineStr">
        <is>
          <t>5ccb8d23-6220-4281-99d6-74be6209c7a4.jpg</t>
        </is>
      </c>
      <c r="B9980">
        <f>HYPERLINK("Объекты недвижимости, не соответствующие градостроительным нормам_00-022_Август/5ccb8d23-6220-4281-99d6-74be6209c7a4.jpg","open")</f>
        <v/>
      </c>
      <c r="C9980" t="inlineStr">
        <is>
          <t>750bf7e4-0f0f-4f1a-96af-607dc8c1f1c9</t>
        </is>
      </c>
      <c r="D9980" t="n">
        <v>55.79138</v>
      </c>
      <c r="E9980" t="n">
        <v>37.59002</v>
      </c>
      <c r="F9980" t="inlineStr"/>
      <c r="G9980" t="inlineStr"/>
      <c r="H9980" t="inlineStr"/>
    </row>
    <row r="9981">
      <c r="A9981" t="inlineStr">
        <is>
          <t>4b84e413-1f2b-488c-9891-6050a5737417.jpg</t>
        </is>
      </c>
      <c r="B9981">
        <f>HYPERLINK("Объекты недвижимости, не соответствующие градостроительным нормам_00-022_Август/4b84e413-1f2b-488c-9891-6050a5737417.jpg","open")</f>
        <v/>
      </c>
      <c r="C9981" t="inlineStr">
        <is>
          <t>fb40ed24-21ef-458a-a239-038ab19932cc</t>
        </is>
      </c>
      <c r="D9981" t="n">
        <v>55.79049</v>
      </c>
      <c r="E9981" t="n">
        <v>37.76986</v>
      </c>
      <c r="F9981" t="inlineStr"/>
      <c r="G9981" t="inlineStr"/>
      <c r="H9981" t="inlineStr"/>
    </row>
    <row r="9982">
      <c r="A9982" t="inlineStr">
        <is>
          <t>d2e26d33-9369-42c4-b559-73e0d2ac10b6.jpg</t>
        </is>
      </c>
      <c r="B9982">
        <f>HYPERLINK("Объекты недвижимости, не соответствующие градостроительным нормам_00-022_Август/d2e26d33-9369-42c4-b559-73e0d2ac10b6.jpg","open")</f>
        <v/>
      </c>
      <c r="C9982" t="inlineStr">
        <is>
          <t>789f6c51-64ee-4078-b7bd-443af8b8b68a</t>
        </is>
      </c>
      <c r="D9982" t="n">
        <v>55.89656</v>
      </c>
      <c r="E9982" t="n">
        <v>37.63446</v>
      </c>
      <c r="F9982" t="inlineStr"/>
      <c r="G9982" t="inlineStr"/>
      <c r="H9982" t="inlineStr"/>
    </row>
    <row r="9983">
      <c r="A9983" t="inlineStr">
        <is>
          <t>fd6e2cb8-8598-4b81-9b05-0f3abacdb77f.jpg</t>
        </is>
      </c>
      <c r="B9983">
        <f>HYPERLINK("Объекты недвижимости, не соответствующие градостроительным нормам_00-022_Август/fd6e2cb8-8598-4b81-9b05-0f3abacdb77f.jpg","open")</f>
        <v/>
      </c>
      <c r="C9983" t="inlineStr">
        <is>
          <t>2acfb2da-e3f6-464c-bd17-4b713522c142</t>
        </is>
      </c>
      <c r="D9983" t="n">
        <v>55.89656</v>
      </c>
      <c r="E9983" t="n">
        <v>37.63446</v>
      </c>
      <c r="F9983" t="inlineStr"/>
      <c r="G9983" t="inlineStr"/>
      <c r="H9983" t="inlineStr"/>
    </row>
    <row r="9984">
      <c r="A9984" t="inlineStr">
        <is>
          <t>b072f4f7-8f56-44b4-90ef-67a519d2acd1.jpg</t>
        </is>
      </c>
      <c r="B9984">
        <f>HYPERLINK("Объекты недвижимости, не соответствующие градостроительным нормам_00-022_Август/b072f4f7-8f56-44b4-90ef-67a519d2acd1.jpg","open")</f>
        <v/>
      </c>
      <c r="C9984" t="inlineStr">
        <is>
          <t>789f6c51-64ee-4078-b7bd-443af8b8b68a</t>
        </is>
      </c>
      <c r="D9984" t="n">
        <v>55.89653</v>
      </c>
      <c r="E9984" t="n">
        <v>37.63433</v>
      </c>
      <c r="F9984" t="inlineStr"/>
      <c r="G9984" t="inlineStr"/>
      <c r="H9984" t="inlineStr"/>
    </row>
    <row r="9985">
      <c r="A9985" t="inlineStr">
        <is>
          <t>2a6b9331-a783-43e0-ab82-657a0fe1f934.jpg</t>
        </is>
      </c>
      <c r="B9985">
        <f>HYPERLINK("Объекты недвижимости, не соответствующие градостроительным нормам_00-022_Август/2a6b9331-a783-43e0-ab82-657a0fe1f934.jpg","open")</f>
        <v/>
      </c>
      <c r="C9985" t="inlineStr">
        <is>
          <t>b0429a31-0c70-4b9f-8ea5-73929d82f89e</t>
        </is>
      </c>
      <c r="D9985" t="n">
        <v>55.75331</v>
      </c>
      <c r="E9985" t="n">
        <v>37.7129</v>
      </c>
      <c r="F9985" t="inlineStr"/>
      <c r="G9985" t="inlineStr"/>
      <c r="H9985" t="inlineStr"/>
    </row>
    <row r="9986">
      <c r="A9986" t="inlineStr">
        <is>
          <t>1076e8c7-74cc-4036-9371-18d77d063ea2.jpg</t>
        </is>
      </c>
      <c r="B9986">
        <f>HYPERLINK("Объекты недвижимости, не соответствующие градостроительным нормам_00-022_Август/1076e8c7-74cc-4036-9371-18d77d063ea2.jpg","open")</f>
        <v/>
      </c>
      <c r="C9986" t="inlineStr">
        <is>
          <t>caa4772d-6278-4484-a046-ee25514bf521</t>
        </is>
      </c>
      <c r="D9986" t="n">
        <v>55.69197</v>
      </c>
      <c r="E9986" t="n">
        <v>37.72964</v>
      </c>
      <c r="F9986" t="inlineStr"/>
      <c r="G9986" t="inlineStr"/>
      <c r="H9986" t="inlineStr"/>
    </row>
    <row r="9987">
      <c r="A9987" t="inlineStr">
        <is>
          <t>04e8943f-26d6-48d5-bd4c-7650ab18f9da.jpg</t>
        </is>
      </c>
      <c r="B9987">
        <f>HYPERLINK("Объекты недвижимости, не соответствующие градостроительным нормам_00-022_Август/04e8943f-26d6-48d5-bd4c-7650ab18f9da.jpg","open")</f>
        <v/>
      </c>
      <c r="C9987" t="inlineStr">
        <is>
          <t>caa4772d-6278-4484-a046-ee25514bf521</t>
        </is>
      </c>
      <c r="D9987" t="n">
        <v>55.69196</v>
      </c>
      <c r="E9987" t="n">
        <v>37.72961</v>
      </c>
      <c r="F9987" t="inlineStr"/>
      <c r="G9987" t="inlineStr"/>
      <c r="H9987" t="inlineStr"/>
    </row>
    <row r="9988">
      <c r="A9988" t="inlineStr">
        <is>
          <t>b7f24975-5dd0-41dd-a860-ff7d6afb23b0.jpg</t>
        </is>
      </c>
      <c r="B9988">
        <f>HYPERLINK("Объекты недвижимости, не соответствующие градостроительным нормам_00-022_Август/b7f24975-5dd0-41dd-a860-ff7d6afb23b0.jpg","open")</f>
        <v/>
      </c>
      <c r="C9988" t="inlineStr">
        <is>
          <t>caa4772d-6278-4484-a046-ee25514bf521</t>
        </is>
      </c>
      <c r="D9988" t="n">
        <v>55.69196</v>
      </c>
      <c r="E9988" t="n">
        <v>37.72962</v>
      </c>
      <c r="F9988" t="inlineStr"/>
      <c r="G9988" t="inlineStr"/>
      <c r="H9988" t="inlineStr"/>
    </row>
    <row r="9989">
      <c r="A9989" t="inlineStr">
        <is>
          <t>49bae301-5bca-48ec-ba4a-6cb73b13e34b.jpg</t>
        </is>
      </c>
      <c r="B9989">
        <f>HYPERLINK("Объекты недвижимости, не соответствующие градостроительным нормам_00-022_Август/49bae301-5bca-48ec-ba4a-6cb73b13e34b.jpg","open")</f>
        <v/>
      </c>
      <c r="C9989" t="inlineStr">
        <is>
          <t>ed2bf0f1-3a66-4913-896e-4420a9796c0b</t>
        </is>
      </c>
      <c r="D9989" t="n">
        <v>55.62239</v>
      </c>
      <c r="E9989" t="n">
        <v>37.26732</v>
      </c>
      <c r="F9989" t="inlineStr"/>
      <c r="G9989" t="inlineStr"/>
      <c r="H9989" t="inlineStr"/>
    </row>
    <row r="9990">
      <c r="A9990" t="inlineStr">
        <is>
          <t>ed5eb4e4-734e-41cb-8572-c4237995b595.jpg</t>
        </is>
      </c>
      <c r="B9990">
        <f>HYPERLINK("Объекты недвижимости, не соответствующие градостроительным нормам_00-022_Август/ed5eb4e4-734e-41cb-8572-c4237995b595.jpg","open")</f>
        <v/>
      </c>
      <c r="C9990" t="inlineStr">
        <is>
          <t>93848fc8-17e7-4748-9ebc-c7e379e11d2f</t>
        </is>
      </c>
      <c r="D9990" t="n">
        <v>55.75966</v>
      </c>
      <c r="E9990" t="n">
        <v>37.75314</v>
      </c>
      <c r="F9990" t="inlineStr"/>
      <c r="G9990" t="inlineStr"/>
      <c r="H9990" t="inlineStr"/>
    </row>
    <row r="9991">
      <c r="A9991" t="inlineStr">
        <is>
          <t>9b0b225e-9dcd-4b4f-9390-4805be857090.jpg</t>
        </is>
      </c>
      <c r="B9991">
        <f>HYPERLINK("Объекты недвижимости, не соответствующие градостроительным нормам_00-022_Август/9b0b225e-9dcd-4b4f-9390-4805be857090.jpg","open")</f>
        <v/>
      </c>
      <c r="C9991" t="inlineStr">
        <is>
          <t>12e795ad-2aa7-49de-b2da-2c6aa35a4559</t>
        </is>
      </c>
      <c r="D9991" t="n">
        <v>55.57285</v>
      </c>
      <c r="E9991" t="n">
        <v>37.57231</v>
      </c>
      <c r="F9991" t="inlineStr"/>
      <c r="G9991" t="inlineStr"/>
      <c r="H9991" t="inlineStr"/>
    </row>
    <row r="9992">
      <c r="A9992" t="inlineStr">
        <is>
          <t>79c2af5d-77b2-4032-ad61-303d8957f884.jpg</t>
        </is>
      </c>
      <c r="B9992">
        <f>HYPERLINK("Объекты недвижимости, не соответствующие градостроительным нормам_00-022_Август/79c2af5d-77b2-4032-ad61-303d8957f884.jpg","open")</f>
        <v/>
      </c>
      <c r="C9992" t="inlineStr">
        <is>
          <t>fb40ed24-21ef-458a-a239-038ab19932cc</t>
        </is>
      </c>
      <c r="D9992" t="n">
        <v>55.79704</v>
      </c>
      <c r="E9992" t="n">
        <v>37.79205</v>
      </c>
      <c r="F9992" t="inlineStr"/>
      <c r="G9992" t="inlineStr"/>
      <c r="H9992" t="inlineStr"/>
    </row>
    <row r="9993">
      <c r="A9993" t="inlineStr">
        <is>
          <t>68db4271-ff52-4e5e-83a2-a35bf08ee136.jpg</t>
        </is>
      </c>
      <c r="B9993">
        <f>HYPERLINK("Объекты недвижимости, не соответствующие градостроительным нормам_00-022_Август/68db4271-ff52-4e5e-83a2-a35bf08ee136.jpg","open")</f>
        <v/>
      </c>
      <c r="C9993" t="inlineStr">
        <is>
          <t>31a713a9-b910-424b-b847-e0eaa2f70c70</t>
        </is>
      </c>
      <c r="D9993" t="n">
        <v>55.77998</v>
      </c>
      <c r="E9993" t="n">
        <v>37.67052</v>
      </c>
      <c r="F9993" t="inlineStr"/>
      <c r="G9993" t="inlineStr"/>
      <c r="H9993" t="inlineStr"/>
    </row>
    <row r="9994">
      <c r="A9994" t="inlineStr">
        <is>
          <t>fe232573-e436-4dc4-8dc3-86644efed61a.jpg</t>
        </is>
      </c>
      <c r="B9994">
        <f>HYPERLINK("Объекты недвижимости, не соответствующие градостроительным нормам_00-022_Август/fe232573-e436-4dc4-8dc3-86644efed61a.jpg","open")</f>
        <v/>
      </c>
      <c r="C9994" t="inlineStr">
        <is>
          <t>1c951e11-4940-43c6-a447-394097e5609a</t>
        </is>
      </c>
      <c r="D9994" t="n">
        <v>55.97227</v>
      </c>
      <c r="E9994" t="n">
        <v>37.43182</v>
      </c>
      <c r="F9994" t="inlineStr"/>
      <c r="G9994" t="inlineStr"/>
      <c r="H9994" t="inlineStr"/>
    </row>
    <row r="9995">
      <c r="A9995" t="inlineStr">
        <is>
          <t>9d05d107-7711-4ac8-ba4b-8f85e2b7da09.jpg</t>
        </is>
      </c>
      <c r="B9995">
        <f>HYPERLINK("Объекты недвижимости, не соответствующие градостроительным нормам_00-022_Август/9d05d107-7711-4ac8-ba4b-8f85e2b7da09.jpg","open")</f>
        <v/>
      </c>
      <c r="C9995" t="inlineStr">
        <is>
          <t>b0b7ea82-53be-40d0-b992-e2fd18611d5c</t>
        </is>
      </c>
      <c r="D9995" t="n">
        <v>55.67608</v>
      </c>
      <c r="E9995" t="n">
        <v>37.54589</v>
      </c>
      <c r="F9995" t="inlineStr"/>
      <c r="G9995" t="inlineStr"/>
      <c r="H9995" t="inlineStr"/>
    </row>
    <row r="9996">
      <c r="A9996" t="inlineStr">
        <is>
          <t>66f804e9-4b6e-4639-92dd-0b4fd6b3dc3b.jpg</t>
        </is>
      </c>
      <c r="B9996">
        <f>HYPERLINK("Объекты недвижимости, не соответствующие градостроительным нормам_00-022_Август/66f804e9-4b6e-4639-92dd-0b4fd6b3dc3b.jpg","open")</f>
        <v/>
      </c>
      <c r="C9996" t="inlineStr">
        <is>
          <t>750bf7e4-0f0f-4f1a-96af-607dc8c1f1c9</t>
        </is>
      </c>
      <c r="D9996" t="n">
        <v>55.77767</v>
      </c>
      <c r="E9996" t="n">
        <v>37.66876</v>
      </c>
      <c r="F9996" t="inlineStr"/>
      <c r="G9996" t="inlineStr"/>
      <c r="H9996" t="inlineStr"/>
    </row>
    <row r="9997">
      <c r="A9997" t="inlineStr">
        <is>
          <t>72ef6bc2-82b1-4cbc-ba9e-02eed3f0b577.jpg</t>
        </is>
      </c>
      <c r="B9997">
        <f>HYPERLINK("Объекты недвижимости, не соответствующие градостроительным нормам_00-022_Август/72ef6bc2-82b1-4cbc-ba9e-02eed3f0b577.jpg","open")</f>
        <v/>
      </c>
      <c r="C9997" t="inlineStr">
        <is>
          <t>ed2bf0f1-3a66-4913-896e-4420a9796c0b</t>
        </is>
      </c>
      <c r="D9997" t="n">
        <v>55.6508</v>
      </c>
      <c r="E9997" t="n">
        <v>37.26543</v>
      </c>
      <c r="F9997" t="inlineStr"/>
      <c r="G9997" t="inlineStr"/>
      <c r="H9997" t="inlineStr"/>
    </row>
    <row r="9998">
      <c r="A9998" t="inlineStr">
        <is>
          <t>0f1d8e27-f9a2-46ae-af9c-2c196f34059c.jpg</t>
        </is>
      </c>
      <c r="B9998">
        <f>HYPERLINK("Объекты недвижимости, не соответствующие градостроительным нормам_00-022_Август/0f1d8e27-f9a2-46ae-af9c-2c196f34059c.jpg","open")</f>
        <v/>
      </c>
      <c r="C9998" t="inlineStr">
        <is>
          <t>caa4772d-6278-4484-a046-ee25514bf521</t>
        </is>
      </c>
      <c r="D9998" t="n">
        <v>55.68215</v>
      </c>
      <c r="E9998" t="n">
        <v>37.73014</v>
      </c>
      <c r="F9998" t="inlineStr"/>
      <c r="G9998" t="inlineStr"/>
      <c r="H9998" t="inlineStr"/>
    </row>
    <row r="9999">
      <c r="A9999" t="inlineStr">
        <is>
          <t>2fd31f76-aaeb-40f2-ab0c-12e1550fa597.jpg</t>
        </is>
      </c>
      <c r="B9999">
        <f>HYPERLINK("Объекты недвижимости, не соответствующие градостроительным нормам_00-022_Август/2fd31f76-aaeb-40f2-ab0c-12e1550fa597.jpg","open")</f>
        <v/>
      </c>
      <c r="C9999" t="inlineStr">
        <is>
          <t>93848fc8-17e7-4748-9ebc-c7e379e11d2f</t>
        </is>
      </c>
      <c r="D9999" t="n">
        <v>55.75056</v>
      </c>
      <c r="E9999" t="n">
        <v>37.69556</v>
      </c>
      <c r="F9999" t="inlineStr"/>
      <c r="G9999" t="inlineStr"/>
      <c r="H9999" t="inlineStr"/>
    </row>
    <row r="10000">
      <c r="A10000" t="inlineStr">
        <is>
          <t>4c1c243b-67f0-481f-b6ad-dc782315858f.jpg</t>
        </is>
      </c>
      <c r="B10000">
        <f>HYPERLINK("Объекты недвижимости, не соответствующие градостроительным нормам_00-022_Август/4c1c243b-67f0-481f-b6ad-dc782315858f.jpg","open")</f>
        <v/>
      </c>
      <c r="C10000" t="inlineStr">
        <is>
          <t>93848fc8-17e7-4748-9ebc-c7e379e11d2f</t>
        </is>
      </c>
      <c r="D10000" t="n">
        <v>55.75144</v>
      </c>
      <c r="E10000" t="n">
        <v>37.69654</v>
      </c>
      <c r="F10000" t="inlineStr"/>
      <c r="G10000" t="inlineStr"/>
      <c r="H10000" t="inlineStr"/>
    </row>
    <row r="10001">
      <c r="A10001" t="inlineStr">
        <is>
          <t>cc194781-1949-44ab-aeac-0d68fbb71f21.jpg</t>
        </is>
      </c>
      <c r="B10001">
        <f>HYPERLINK("Объекты недвижимости, не соответствующие градостроительным нормам_00-022_Август/cc194781-1949-44ab-aeac-0d68fbb71f21.jpg","open")</f>
        <v/>
      </c>
      <c r="C10001" t="inlineStr">
        <is>
          <t>caa4772d-6278-4484-a046-ee25514bf521</t>
        </is>
      </c>
      <c r="D10001" t="n">
        <v>55.70251</v>
      </c>
      <c r="E10001" t="n">
        <v>37.72567</v>
      </c>
      <c r="F10001" t="inlineStr"/>
      <c r="G10001" t="inlineStr"/>
      <c r="H10001" t="inlineStr"/>
    </row>
    <row r="10002">
      <c r="A10002" t="inlineStr">
        <is>
          <t>2df5c36d-6b4d-4e99-85e6-108955a19bee.jpg</t>
        </is>
      </c>
      <c r="B10002">
        <f>HYPERLINK("Объекты недвижимости, не соответствующие градостроительным нормам_00-022_Август/2df5c36d-6b4d-4e99-85e6-108955a19bee.jpg","open")</f>
        <v/>
      </c>
      <c r="C10002" t="inlineStr">
        <is>
          <t>f20fbc2b-b369-4734-bb66-92af02fbb0d1</t>
        </is>
      </c>
      <c r="D10002" t="n">
        <v>55.68105</v>
      </c>
      <c r="E10002" t="n">
        <v>37.55003</v>
      </c>
      <c r="F10002" t="inlineStr"/>
      <c r="G10002" t="inlineStr"/>
      <c r="H10002" t="inlineStr"/>
    </row>
    <row r="10003">
      <c r="A10003" t="inlineStr">
        <is>
          <t>004c93ab-2b3b-4370-8efe-1ac46c9408c4.jpg</t>
        </is>
      </c>
      <c r="B10003">
        <f>HYPERLINK("Объекты недвижимости, не соответствующие градостроительным нормам_00-022_Август/004c93ab-2b3b-4370-8efe-1ac46c9408c4.jpg","open")</f>
        <v/>
      </c>
      <c r="C10003" t="inlineStr">
        <is>
          <t>b0b7ea82-53be-40d0-b992-e2fd18611d5c</t>
        </is>
      </c>
      <c r="D10003" t="n">
        <v>55.68187</v>
      </c>
      <c r="E10003" t="n">
        <v>37.54993</v>
      </c>
      <c r="F10003" t="inlineStr"/>
      <c r="G10003" t="inlineStr"/>
      <c r="H10003" t="inlineStr"/>
    </row>
    <row r="10004">
      <c r="A10004" t="inlineStr">
        <is>
          <t>7e2c00e5-f62c-4d28-908b-ecf18c3b23c2.jpg</t>
        </is>
      </c>
      <c r="B10004">
        <f>HYPERLINK("Объекты недвижимости, не соответствующие градостроительным нормам_00-022_Август/7e2c00e5-f62c-4d28-908b-ecf18c3b23c2.jpg","open")</f>
        <v/>
      </c>
      <c r="C10004" t="inlineStr">
        <is>
          <t>b0b7ea82-53be-40d0-b992-e2fd18611d5c</t>
        </is>
      </c>
      <c r="D10004" t="n">
        <v>55.68261</v>
      </c>
      <c r="E10004" t="n">
        <v>37.54998</v>
      </c>
      <c r="F10004" t="inlineStr"/>
      <c r="G10004" t="inlineStr"/>
      <c r="H10004" t="inlineStr"/>
    </row>
    <row r="10005">
      <c r="A10005" t="inlineStr">
        <is>
          <t>946a42ad-29b2-4991-8748-37d78940a649.jpg</t>
        </is>
      </c>
      <c r="B10005">
        <f>HYPERLINK("Объекты недвижимости, не соответствующие градостроительным нормам_00-022_Август/946a42ad-29b2-4991-8748-37d78940a649.jpg","open")</f>
        <v/>
      </c>
      <c r="C10005" t="inlineStr">
        <is>
          <t>b0b7ea82-53be-40d0-b992-e2fd18611d5c</t>
        </is>
      </c>
      <c r="D10005" t="n">
        <v>55.68227</v>
      </c>
      <c r="E10005" t="n">
        <v>37.54945</v>
      </c>
      <c r="F10005" t="inlineStr"/>
      <c r="G10005" t="inlineStr"/>
      <c r="H10005" t="inlineStr"/>
    </row>
    <row r="10006">
      <c r="A10006" t="inlineStr">
        <is>
          <t>496070cf-2e24-4684-bc71-847877038266.jpg</t>
        </is>
      </c>
      <c r="B10006">
        <f>HYPERLINK("Объекты недвижимости, не соответствующие градостроительным нормам_00-022_Август/496070cf-2e24-4684-bc71-847877038266.jpg","open")</f>
        <v/>
      </c>
      <c r="C10006" t="inlineStr">
        <is>
          <t>b0b7ea82-53be-40d0-b992-e2fd18611d5c</t>
        </is>
      </c>
      <c r="D10006" t="n">
        <v>55.68222</v>
      </c>
      <c r="E10006" t="n">
        <v>37.54937</v>
      </c>
      <c r="F10006" t="inlineStr"/>
      <c r="G10006" t="inlineStr"/>
      <c r="H10006" t="inlineStr"/>
    </row>
    <row r="10007">
      <c r="A10007" t="inlineStr">
        <is>
          <t>921cf26e-bf3a-4ce5-a41c-d69587dda16a.jpg</t>
        </is>
      </c>
      <c r="B10007">
        <f>HYPERLINK("Объекты недвижимости, не соответствующие градостроительным нормам_00-022_Август/921cf26e-bf3a-4ce5-a41c-d69587dda16a.jpg","open")</f>
        <v/>
      </c>
      <c r="C10007" t="inlineStr">
        <is>
          <t>a28f597e-d1cd-4d3b-b572-c86d033412e9</t>
        </is>
      </c>
      <c r="D10007" t="n">
        <v>55.65493</v>
      </c>
      <c r="E10007" t="n">
        <v>37.42723</v>
      </c>
      <c r="F10007" t="inlineStr"/>
      <c r="G10007" t="inlineStr"/>
      <c r="H10007" t="inlineStr"/>
    </row>
    <row r="10008">
      <c r="A10008" t="inlineStr">
        <is>
          <t>4cebfd3a-0bb0-4bf5-a96e-f723ff2d05dd.jpg</t>
        </is>
      </c>
      <c r="B10008">
        <f>HYPERLINK("Объекты недвижимости, не соответствующие градостроительным нормам_00-022_Август/4cebfd3a-0bb0-4bf5-a96e-f723ff2d05dd.jpg","open")</f>
        <v/>
      </c>
      <c r="C10008" t="inlineStr">
        <is>
          <t>036c664f-5408-4fd0-b479-342c00468eeb</t>
        </is>
      </c>
      <c r="D10008" t="n">
        <v>55.65496</v>
      </c>
      <c r="E10008" t="n">
        <v>37.42722</v>
      </c>
      <c r="F10008" t="inlineStr"/>
      <c r="G10008" t="inlineStr"/>
      <c r="H10008" t="inlineStr"/>
    </row>
    <row r="10009">
      <c r="A10009" t="inlineStr">
        <is>
          <t>fe5b2c5b-45e9-4df3-bdf5-e58b327a1562.jpg</t>
        </is>
      </c>
      <c r="B10009">
        <f>HYPERLINK("Объекты недвижимости, не соответствующие градостроительным нормам_00-022_Август/fe5b2c5b-45e9-4df3-bdf5-e58b327a1562.jpg","open")</f>
        <v/>
      </c>
      <c r="C10009" t="inlineStr">
        <is>
          <t>b0b7ea82-53be-40d0-b992-e2fd18611d5c</t>
        </is>
      </c>
      <c r="D10009" t="n">
        <v>55.68184</v>
      </c>
      <c r="E10009" t="n">
        <v>37.54916</v>
      </c>
      <c r="F10009" t="inlineStr"/>
      <c r="G10009" t="inlineStr"/>
      <c r="H10009" t="inlineStr"/>
    </row>
    <row r="10010">
      <c r="A10010" t="inlineStr">
        <is>
          <t>1e5f5ffd-91e4-432c-831a-366adabb3547.jpg</t>
        </is>
      </c>
      <c r="B10010">
        <f>HYPERLINK("Объекты недвижимости, не соответствующие градостроительным нормам_00-022_Август/1e5f5ffd-91e4-432c-831a-366adabb3547.jpg","open")</f>
        <v/>
      </c>
      <c r="C10010" t="inlineStr">
        <is>
          <t>61936922-4d4b-458e-80ea-6d4c450aa1d5</t>
        </is>
      </c>
      <c r="D10010" t="n">
        <v>55.65716</v>
      </c>
      <c r="E10010" t="n">
        <v>37.49372</v>
      </c>
      <c r="F10010" t="inlineStr"/>
      <c r="G10010" t="inlineStr"/>
      <c r="H10010" t="inlineStr"/>
    </row>
    <row r="10011">
      <c r="A10011" t="inlineStr">
        <is>
          <t>dd967a75-b251-48ea-be97-08529c70e222.jpg</t>
        </is>
      </c>
      <c r="B10011">
        <f>HYPERLINK("Объекты недвижимости, не соответствующие градостроительным нормам_00-022_Август/dd967a75-b251-48ea-be97-08529c70e222.jpg","open")</f>
        <v/>
      </c>
      <c r="C10011" t="inlineStr">
        <is>
          <t>ffd931da-542f-43e9-979f-5552b17fe3dc</t>
        </is>
      </c>
      <c r="D10011" t="n">
        <v>55.7368</v>
      </c>
      <c r="E10011" t="n">
        <v>37.8505</v>
      </c>
      <c r="F10011" t="inlineStr"/>
      <c r="G10011" t="inlineStr"/>
      <c r="H10011" t="inlineStr"/>
    </row>
    <row r="10012">
      <c r="A10012" t="inlineStr">
        <is>
          <t>9181d6a8-45a5-47b9-a134-d7430dfb588c.jpg</t>
        </is>
      </c>
      <c r="B10012">
        <f>HYPERLINK("Объекты недвижимости, не соответствующие градостроительным нормам_00-022_Август/9181d6a8-45a5-47b9-a134-d7430dfb588c.jpg","open")</f>
        <v/>
      </c>
      <c r="C10012" t="inlineStr">
        <is>
          <t>a28f597e-d1cd-4d3b-b572-c86d033412e9</t>
        </is>
      </c>
      <c r="D10012" t="n">
        <v>55.65032</v>
      </c>
      <c r="E10012" t="n">
        <v>37.41165</v>
      </c>
      <c r="F10012" t="inlineStr"/>
      <c r="G10012" t="inlineStr"/>
      <c r="H10012" t="inlineStr"/>
    </row>
    <row r="10013">
      <c r="A10013" t="inlineStr">
        <is>
          <t>a8177629-1a07-4139-90ee-82facc84c551.jpg</t>
        </is>
      </c>
      <c r="B10013">
        <f>HYPERLINK("Объекты недвижимости, не соответствующие градостроительным нормам_00-022_Август/a8177629-1a07-4139-90ee-82facc84c551.jpg","open")</f>
        <v/>
      </c>
      <c r="C10013" t="inlineStr">
        <is>
          <t>2acfb2da-e3f6-464c-bd17-4b713522c142</t>
        </is>
      </c>
      <c r="D10013" t="n">
        <v>55.89585</v>
      </c>
      <c r="E10013" t="n">
        <v>37.62687</v>
      </c>
      <c r="F10013" t="inlineStr"/>
      <c r="G10013" t="inlineStr"/>
      <c r="H10013" t="inlineStr"/>
    </row>
    <row r="10014">
      <c r="A10014" t="inlineStr">
        <is>
          <t>bc16c0e8-ef59-4f19-a832-34795fcceb91.jpg</t>
        </is>
      </c>
      <c r="B10014">
        <f>HYPERLINK("Объекты недвижимости, не соответствующие градостроительным нормам_00-022_Август/bc16c0e8-ef59-4f19-a832-34795fcceb91.jpg","open")</f>
        <v/>
      </c>
      <c r="C10014" t="inlineStr">
        <is>
          <t>caa4772d-6278-4484-a046-ee25514bf521</t>
        </is>
      </c>
      <c r="D10014" t="n">
        <v>55.65015</v>
      </c>
      <c r="E10014" t="n">
        <v>37.68673</v>
      </c>
      <c r="F10014" t="inlineStr"/>
      <c r="G10014" t="inlineStr"/>
      <c r="H10014" t="inlineStr"/>
    </row>
    <row r="10015">
      <c r="A10015" t="inlineStr">
        <is>
          <t>2b9e3f70-b424-4ced-b21b-c473a5c8294e.jpg</t>
        </is>
      </c>
      <c r="B10015">
        <f>HYPERLINK("Объекты недвижимости, не соответствующие градостроительным нормам_00-022_Август/2b9e3f70-b424-4ced-b21b-c473a5c8294e.jpg","open")</f>
        <v/>
      </c>
      <c r="C10015" t="inlineStr">
        <is>
          <t>8996eb30-6497-4318-8a0e-b95314b8172e</t>
        </is>
      </c>
      <c r="D10015" t="n">
        <v>55.77199</v>
      </c>
      <c r="E10015" t="n">
        <v>37.69278</v>
      </c>
      <c r="F10015" t="inlineStr"/>
      <c r="G10015" t="inlineStr"/>
      <c r="H10015" t="inlineStr"/>
    </row>
    <row r="10016">
      <c r="A10016" t="inlineStr">
        <is>
          <t>b04729ed-1afe-4c41-97a8-1db827fe49cf.jpg</t>
        </is>
      </c>
      <c r="B10016">
        <f>HYPERLINK("Объекты недвижимости, не соответствующие градостроительным нормам_00-022_Август/b04729ed-1afe-4c41-97a8-1db827fe49cf.jpg","open")</f>
        <v/>
      </c>
      <c r="C10016" t="inlineStr">
        <is>
          <t>12e795ad-2aa7-49de-b2da-2c6aa35a4559</t>
        </is>
      </c>
      <c r="D10016" t="n">
        <v>55.62294</v>
      </c>
      <c r="E10016" t="n">
        <v>37.61523</v>
      </c>
      <c r="F10016" t="inlineStr"/>
      <c r="G10016" t="inlineStr"/>
      <c r="H10016" t="inlineStr"/>
    </row>
    <row r="10017">
      <c r="A10017" t="inlineStr">
        <is>
          <t>5ea6020c-8c77-4acb-a3e5-f00886300723.jpg</t>
        </is>
      </c>
      <c r="B10017">
        <f>HYPERLINK("Объекты недвижимости, не соответствующие градостроительным нормам_00-022_Август/5ea6020c-8c77-4acb-a3e5-f00886300723.jpg","open")</f>
        <v/>
      </c>
      <c r="C10017" t="inlineStr">
        <is>
          <t>789f6c51-64ee-4078-b7bd-443af8b8b68a</t>
        </is>
      </c>
      <c r="D10017" t="n">
        <v>55.89399</v>
      </c>
      <c r="E10017" t="n">
        <v>37.62725</v>
      </c>
      <c r="F10017" t="inlineStr"/>
      <c r="G10017" t="inlineStr"/>
      <c r="H10017" t="inlineStr"/>
    </row>
    <row r="10018">
      <c r="A10018" t="inlineStr">
        <is>
          <t>3519a392-e2af-4fde-a5c2-fb67c77f88ef.jpg</t>
        </is>
      </c>
      <c r="B10018">
        <f>HYPERLINK("Объекты недвижимости, не соответствующие градостроительным нормам_00-022_Август/3519a392-e2af-4fde-a5c2-fb67c77f88ef.jpg","open")</f>
        <v/>
      </c>
      <c r="C10018" t="inlineStr">
        <is>
          <t>a28f597e-d1cd-4d3b-b572-c86d033412e9</t>
        </is>
      </c>
      <c r="D10018" t="n">
        <v>55.649</v>
      </c>
      <c r="E10018" t="n">
        <v>37.41326</v>
      </c>
      <c r="F10018" t="inlineStr"/>
      <c r="G10018" t="inlineStr"/>
      <c r="H10018" t="inlineStr"/>
    </row>
    <row r="10019">
      <c r="A10019" t="inlineStr">
        <is>
          <t>64d88887-29f1-4a90-91ca-cd5e69fb6446.jpg</t>
        </is>
      </c>
      <c r="B10019">
        <f>HYPERLINK("Объекты недвижимости, не соответствующие градостроительным нормам_00-022_Август/64d88887-29f1-4a90-91ca-cd5e69fb6446.jpg","open")</f>
        <v/>
      </c>
      <c r="C10019" t="inlineStr">
        <is>
          <t>a28f597e-d1cd-4d3b-b572-c86d033412e9</t>
        </is>
      </c>
      <c r="D10019" t="n">
        <v>55.649</v>
      </c>
      <c r="E10019" t="n">
        <v>37.41326</v>
      </c>
      <c r="F10019" t="inlineStr"/>
      <c r="G10019" t="inlineStr"/>
      <c r="H10019" t="inlineStr"/>
    </row>
    <row r="10020">
      <c r="A10020" t="inlineStr">
        <is>
          <t>ed90f2a6-f847-464a-a39b-fabf14a28e9f.jpg</t>
        </is>
      </c>
      <c r="B10020">
        <f>HYPERLINK("Объекты недвижимости, не соответствующие градостроительным нормам_00-022_Август/ed90f2a6-f847-464a-a39b-fabf14a28e9f.jpg","open")</f>
        <v/>
      </c>
      <c r="C10020" t="inlineStr">
        <is>
          <t>fb9a37cc-57a6-447c-98bb-0b299f09c809</t>
        </is>
      </c>
      <c r="D10020" t="n">
        <v>55.72112</v>
      </c>
      <c r="E10020" t="n">
        <v>37.70612</v>
      </c>
      <c r="F10020" t="inlineStr"/>
      <c r="G10020" t="inlineStr"/>
      <c r="H10020" t="inlineStr"/>
    </row>
    <row r="10021">
      <c r="A10021" t="inlineStr">
        <is>
          <t>29747c75-4261-4ca3-ac67-7fa3dd961d2d.jpg</t>
        </is>
      </c>
      <c r="B10021">
        <f>HYPERLINK("Объекты недвижимости, не соответствующие градостроительным нормам_00-022_Август/29747c75-4261-4ca3-ac67-7fa3dd961d2d.jpg","open")</f>
        <v/>
      </c>
      <c r="C10021" t="inlineStr">
        <is>
          <t>61936922-4d4b-458e-80ea-6d4c450aa1d5</t>
        </is>
      </c>
      <c r="D10021" t="n">
        <v>55.71501</v>
      </c>
      <c r="E10021" t="n">
        <v>37.42944</v>
      </c>
      <c r="F10021" t="inlineStr"/>
      <c r="G10021" t="inlineStr"/>
      <c r="H10021" t="inlineStr"/>
    </row>
    <row r="10022">
      <c r="A10022" t="inlineStr">
        <is>
          <t>4d46f6ca-5755-4b30-b940-314203a174ae.jpg</t>
        </is>
      </c>
      <c r="B10022">
        <f>HYPERLINK("Объекты недвижимости, не соответствующие градостроительным нормам_00-022_Август/4d46f6ca-5755-4b30-b940-314203a174ae.jpg","open")</f>
        <v/>
      </c>
      <c r="C10022" t="inlineStr">
        <is>
          <t>2acfb2da-e3f6-464c-bd17-4b713522c142</t>
        </is>
      </c>
      <c r="D10022" t="n">
        <v>55.88374</v>
      </c>
      <c r="E10022" t="n">
        <v>37.72123</v>
      </c>
      <c r="F10022" t="inlineStr"/>
      <c r="G10022" t="inlineStr"/>
      <c r="H10022" t="inlineStr"/>
    </row>
    <row r="10023">
      <c r="A10023" t="inlineStr">
        <is>
          <t>30ed0813-7256-4911-a300-77d0d6090ca2.jpg</t>
        </is>
      </c>
      <c r="B10023">
        <f>HYPERLINK("Объекты недвижимости, не соответствующие градостроительным нормам_00-022_Август/30ed0813-7256-4911-a300-77d0d6090ca2.jpg","open")</f>
        <v/>
      </c>
      <c r="C10023" t="inlineStr">
        <is>
          <t>b0b7ea82-53be-40d0-b992-e2fd18611d5c</t>
        </is>
      </c>
      <c r="D10023" t="n">
        <v>55.67315</v>
      </c>
      <c r="E10023" t="n">
        <v>37.5415</v>
      </c>
      <c r="F10023" t="inlineStr"/>
      <c r="G10023" t="inlineStr"/>
      <c r="H10023" t="inlineStr"/>
    </row>
    <row r="10024">
      <c r="A10024" t="inlineStr">
        <is>
          <t>08ed8b20-ae7c-46d3-9991-ba554ec9364e.jpg</t>
        </is>
      </c>
      <c r="B10024">
        <f>HYPERLINK("Объекты недвижимости, не соответствующие градостроительным нормам_00-022_Август/08ed8b20-ae7c-46d3-9991-ba554ec9364e.jpg","open")</f>
        <v/>
      </c>
      <c r="C10024" t="inlineStr">
        <is>
          <t>936502dd-24a4-4256-9fdf-0d8fb72af3ed</t>
        </is>
      </c>
      <c r="D10024" t="n">
        <v>55.7294</v>
      </c>
      <c r="E10024" t="n">
        <v>37.7154</v>
      </c>
      <c r="F10024" t="inlineStr"/>
      <c r="G10024" t="inlineStr"/>
      <c r="H10024" t="inlineStr"/>
    </row>
    <row r="10025">
      <c r="A10025" t="inlineStr">
        <is>
          <t>9b48fec7-b1f1-4845-b7e4-8edcc443c328.jpg</t>
        </is>
      </c>
      <c r="B10025">
        <f>HYPERLINK("Объекты недвижимости, не соответствующие градостроительным нормам_00-022_Август/9b48fec7-b1f1-4845-b7e4-8edcc443c328.jpg","open")</f>
        <v/>
      </c>
      <c r="C10025" t="inlineStr">
        <is>
          <t>8cde1fd0-eca1-4510-86ab-3c743b65fdfc</t>
        </is>
      </c>
      <c r="D10025" t="n">
        <v>55.75731</v>
      </c>
      <c r="E10025" t="n">
        <v>37.6855</v>
      </c>
      <c r="F10025" t="inlineStr"/>
      <c r="G10025" t="inlineStr"/>
      <c r="H10025" t="inlineStr"/>
    </row>
    <row r="10026">
      <c r="A10026" t="inlineStr">
        <is>
          <t>cb82b39e-0d53-4b06-804e-8efc09bd7672.jpg</t>
        </is>
      </c>
      <c r="B10026">
        <f>HYPERLINK("Объекты недвижимости, не соответствующие градостроительным нормам_00-022_Август/cb82b39e-0d53-4b06-804e-8efc09bd7672.jpg","open")</f>
        <v/>
      </c>
      <c r="C10026" t="inlineStr">
        <is>
          <t>fb9a37cc-57a6-447c-98bb-0b299f09c809</t>
        </is>
      </c>
      <c r="D10026" t="n">
        <v>55.72617</v>
      </c>
      <c r="E10026" t="n">
        <v>37.71277</v>
      </c>
      <c r="F10026" t="inlineStr"/>
      <c r="G10026" t="inlineStr"/>
      <c r="H10026" t="inlineStr"/>
    </row>
    <row r="10027">
      <c r="A10027" t="inlineStr">
        <is>
          <t>1f3e5129-5b43-4d57-89fb-429c3be8c17b.jpg</t>
        </is>
      </c>
      <c r="B10027">
        <f>HYPERLINK("Объекты недвижимости, не соответствующие градостроительным нормам_00-022_Август/1f3e5129-5b43-4d57-89fb-429c3be8c17b.jpg","open")</f>
        <v/>
      </c>
      <c r="C10027" t="inlineStr">
        <is>
          <t>61936922-4d4b-458e-80ea-6d4c450aa1d5</t>
        </is>
      </c>
      <c r="D10027" t="n">
        <v>62.80547</v>
      </c>
      <c r="E10027" t="n">
        <v>27.07118</v>
      </c>
      <c r="F10027" t="inlineStr"/>
      <c r="G10027" t="inlineStr"/>
      <c r="H10027" t="inlineStr"/>
    </row>
    <row r="10028">
      <c r="A10028" t="inlineStr">
        <is>
          <t>064dc539-4e88-4b48-bb92-85686f108bd4.jpg</t>
        </is>
      </c>
      <c r="B10028">
        <f>HYPERLINK("Объекты недвижимости, не соответствующие градостроительным нормам_00-022_Август/064dc539-4e88-4b48-bb92-85686f108bd4.jpg","open")</f>
        <v/>
      </c>
      <c r="C10028" t="inlineStr">
        <is>
          <t>f20fbc2b-b369-4734-bb66-92af02fbb0d1</t>
        </is>
      </c>
      <c r="D10028" t="n">
        <v>55.67642</v>
      </c>
      <c r="E10028" t="n">
        <v>37.56686</v>
      </c>
      <c r="F10028" t="inlineStr"/>
      <c r="G10028" t="inlineStr"/>
      <c r="H10028" t="inlineStr"/>
    </row>
    <row r="10029">
      <c r="A10029" t="inlineStr">
        <is>
          <t>88cdad6f-441b-458e-b8d8-9b5e8704686a.jpg</t>
        </is>
      </c>
      <c r="B10029">
        <f>HYPERLINK("Объекты недвижимости, не соответствующие градостроительным нормам_00-022_Август/88cdad6f-441b-458e-b8d8-9b5e8704686a.jpg","open")</f>
        <v/>
      </c>
      <c r="C10029" t="inlineStr">
        <is>
          <t>936502dd-24a4-4256-9fdf-0d8fb72af3ed</t>
        </is>
      </c>
      <c r="D10029" t="n">
        <v>55.7294</v>
      </c>
      <c r="E10029" t="n">
        <v>37.7154</v>
      </c>
      <c r="F10029" t="inlineStr"/>
      <c r="G10029" t="inlineStr"/>
      <c r="H10029" t="inlineStr"/>
    </row>
    <row r="10030">
      <c r="A10030" t="inlineStr">
        <is>
          <t>a42f3cc2-9635-4a59-8314-2f0054aa8066.jpg</t>
        </is>
      </c>
      <c r="B10030">
        <f>HYPERLINK("Объекты недвижимости, не соответствующие градостроительным нормам_00-022_Август/a42f3cc2-9635-4a59-8314-2f0054aa8066.jpg","open")</f>
        <v/>
      </c>
      <c r="C10030" t="inlineStr">
        <is>
          <t>dd48f742-b338-42e2-bbaf-b3a9701b437c</t>
        </is>
      </c>
      <c r="D10030" t="n">
        <v>55.78389</v>
      </c>
      <c r="E10030" t="n">
        <v>37.63501</v>
      </c>
      <c r="F10030" t="inlineStr"/>
      <c r="G10030" t="inlineStr"/>
      <c r="H10030" t="inlineStr"/>
    </row>
    <row r="10031">
      <c r="A10031" t="inlineStr">
        <is>
          <t>e565dc26-4615-438d-8435-b37e9c7521f1.jpg</t>
        </is>
      </c>
      <c r="B10031">
        <f>HYPERLINK("Объекты недвижимости, не соответствующие градостроительным нормам_00-022_Август/e565dc26-4615-438d-8435-b37e9c7521f1.jpg","open")</f>
        <v/>
      </c>
      <c r="C10031" t="inlineStr">
        <is>
          <t>9c930d0e-e445-452d-a046-325646b21ab7</t>
        </is>
      </c>
      <c r="D10031" t="n">
        <v>55.78389</v>
      </c>
      <c r="E10031" t="n">
        <v>37.63501</v>
      </c>
      <c r="F10031" t="inlineStr"/>
      <c r="G10031" t="inlineStr"/>
      <c r="H10031" t="inlineStr"/>
    </row>
    <row r="10032">
      <c r="A10032" t="inlineStr">
        <is>
          <t>275607b8-d5ee-4a0c-ba18-d9fb79ced5d1.jpg</t>
        </is>
      </c>
      <c r="B10032">
        <f>HYPERLINK("Объекты недвижимости, не соответствующие градостроительным нормам_00-022_Август/275607b8-d5ee-4a0c-ba18-d9fb79ced5d1.jpg","open")</f>
        <v/>
      </c>
      <c r="C10032" t="inlineStr">
        <is>
          <t>12e795ad-2aa7-49de-b2da-2c6aa35a4559</t>
        </is>
      </c>
      <c r="D10032" t="n">
        <v>55.32598</v>
      </c>
      <c r="E10032" t="n">
        <v>40.583</v>
      </c>
      <c r="F10032" t="inlineStr"/>
      <c r="G10032" t="inlineStr"/>
      <c r="H10032" t="inlineStr"/>
    </row>
    <row r="10033">
      <c r="A10033" t="inlineStr">
        <is>
          <t>daeaf266-f909-484d-8b71-1eef577bc27a.jpg</t>
        </is>
      </c>
      <c r="B10033">
        <f>HYPERLINK("Объекты недвижимости, не соответствующие градостроительным нормам_00-022_Август/daeaf266-f909-484d-8b71-1eef577bc27a.jpg","open")</f>
        <v/>
      </c>
      <c r="C10033" t="inlineStr">
        <is>
          <t>dd48f742-b338-42e2-bbaf-b3a9701b437c</t>
        </is>
      </c>
      <c r="D10033" t="n">
        <v>55.84573</v>
      </c>
      <c r="E10033" t="n">
        <v>37.67067</v>
      </c>
      <c r="F10033" t="inlineStr"/>
      <c r="G10033" t="inlineStr"/>
      <c r="H10033" t="inlineStr"/>
    </row>
    <row r="10034">
      <c r="A10034" t="inlineStr">
        <is>
          <t>fa98bfec-86b5-4d20-9df5-255472f7acc0.jpg</t>
        </is>
      </c>
      <c r="B10034">
        <f>HYPERLINK("Объекты недвижимости, не соответствующие градостроительным нормам_00-022_Август/fa98bfec-86b5-4d20-9df5-255472f7acc0.jpg","open")</f>
        <v/>
      </c>
      <c r="C10034" t="inlineStr">
        <is>
          <t>9c930d0e-e445-452d-a046-325646b21ab7</t>
        </is>
      </c>
      <c r="D10034" t="n">
        <v>55.85303</v>
      </c>
      <c r="E10034" t="n">
        <v>37.66767</v>
      </c>
      <c r="F10034" t="inlineStr"/>
      <c r="G10034" t="inlineStr"/>
      <c r="H10034" t="inlineStr"/>
    </row>
    <row r="10035">
      <c r="A10035" t="inlineStr">
        <is>
          <t>26b9cd98-21aa-4d26-8e60-a5fd14459d72.jpg</t>
        </is>
      </c>
      <c r="B10035">
        <f>HYPERLINK("Объекты недвижимости, не соответствующие градостроительным нормам_00-022_Август/26b9cd98-21aa-4d26-8e60-a5fd14459d72.jpg","open")</f>
        <v/>
      </c>
      <c r="C10035" t="inlineStr">
        <is>
          <t>caa4772d-6278-4484-a046-ee25514bf521</t>
        </is>
      </c>
      <c r="D10035" t="n">
        <v>55.66394</v>
      </c>
      <c r="E10035" t="n">
        <v>37.71964</v>
      </c>
      <c r="F10035" t="inlineStr"/>
      <c r="G10035" t="inlineStr"/>
      <c r="H10035" t="inlineStr"/>
    </row>
    <row r="10036">
      <c r="A10036" t="inlineStr">
        <is>
          <t>64d318b6-6587-4ec8-92de-28402d9d7cc3.jpg</t>
        </is>
      </c>
      <c r="B10036">
        <f>HYPERLINK("Объекты недвижимости, не соответствующие градостроительным нормам_00-022_Август/64d318b6-6587-4ec8-92de-28402d9d7cc3.jpg","open")</f>
        <v/>
      </c>
      <c r="C10036" t="inlineStr">
        <is>
          <t>f60286ac-55e7-4099-85bd-cc599a7a0c65</t>
        </is>
      </c>
      <c r="D10036" t="n">
        <v>55.75909</v>
      </c>
      <c r="E10036" t="n">
        <v>37.73811</v>
      </c>
      <c r="F10036" t="inlineStr"/>
      <c r="G10036" t="inlineStr"/>
      <c r="H10036" t="inlineStr"/>
    </row>
    <row r="10037">
      <c r="A10037" t="inlineStr">
        <is>
          <t>bf2293a3-448f-4fce-8e85-ce458ec9ed0d.jpg</t>
        </is>
      </c>
      <c r="B10037">
        <f>HYPERLINK("Объекты недвижимости, не соответствующие градостроительным нормам_00-022_Август/bf2293a3-448f-4fce-8e85-ce458ec9ed0d.jpg","open")</f>
        <v/>
      </c>
      <c r="C10037" t="inlineStr">
        <is>
          <t>ffd931da-542f-43e9-979f-5552b17fe3dc</t>
        </is>
      </c>
      <c r="D10037" t="n">
        <v>55.75895</v>
      </c>
      <c r="E10037" t="n">
        <v>37.73824</v>
      </c>
      <c r="F10037" t="inlineStr"/>
      <c r="G10037" t="inlineStr"/>
      <c r="H10037" t="inlineStr"/>
    </row>
    <row r="10038">
      <c r="A10038" t="inlineStr">
        <is>
          <t>20e54d06-714f-4f5c-bf85-54bee33a516a.jpg</t>
        </is>
      </c>
      <c r="B10038">
        <f>HYPERLINK("Объекты недвижимости, не соответствующие градостроительным нормам_00-022_Август/20e54d06-714f-4f5c-bf85-54bee33a516a.jpg","open")</f>
        <v/>
      </c>
      <c r="C10038" t="inlineStr">
        <is>
          <t>caa4772d-6278-4484-a046-ee25514bf521</t>
        </is>
      </c>
      <c r="D10038" t="n">
        <v>55.69742</v>
      </c>
      <c r="E10038" t="n">
        <v>37.73001</v>
      </c>
      <c r="F10038" t="inlineStr"/>
      <c r="G10038" t="inlineStr"/>
      <c r="H10038" t="inlineStr"/>
    </row>
    <row r="10039">
      <c r="A10039" t="inlineStr">
        <is>
          <t>8ed223cd-8999-4349-873b-fd3e92511ce5.jpg</t>
        </is>
      </c>
      <c r="B10039">
        <f>HYPERLINK("Объекты недвижимости, не соответствующие градостроительным нормам_00-022_Август/8ed223cd-8999-4349-873b-fd3e92511ce5.jpg","open")</f>
        <v/>
      </c>
      <c r="C10039" t="inlineStr">
        <is>
          <t>fb40ed24-21ef-458a-a239-038ab19932cc</t>
        </is>
      </c>
      <c r="D10039" t="n">
        <v>55.81936</v>
      </c>
      <c r="E10039" t="n">
        <v>37.75145</v>
      </c>
      <c r="F10039" t="inlineStr"/>
      <c r="G10039" t="inlineStr"/>
      <c r="H10039" t="inlineStr"/>
    </row>
    <row r="10040">
      <c r="A10040" t="inlineStr">
        <is>
          <t>4cc6cc4d-f285-41ca-a814-923f54375769.jpg</t>
        </is>
      </c>
      <c r="B10040">
        <f>HYPERLINK("Объекты недвижимости, не соответствующие градостроительным нормам_00-022_Август/4cc6cc4d-f285-41ca-a814-923f54375769.jpg","open")</f>
        <v/>
      </c>
      <c r="C10040" t="inlineStr">
        <is>
          <t>fb40ed24-21ef-458a-a239-038ab19932cc</t>
        </is>
      </c>
      <c r="D10040" t="n">
        <v>55.81929</v>
      </c>
      <c r="E10040" t="n">
        <v>37.75157</v>
      </c>
      <c r="F10040" t="inlineStr"/>
      <c r="G10040" t="inlineStr"/>
      <c r="H10040" t="inlineStr"/>
    </row>
    <row r="10041">
      <c r="A10041" t="inlineStr">
        <is>
          <t>9366e32a-a50c-4c52-8d28-e41a9c8cbd09.jpg</t>
        </is>
      </c>
      <c r="B10041">
        <f>HYPERLINK("Объекты недвижимости, не соответствующие градостроительным нормам_00-022_Август/9366e32a-a50c-4c52-8d28-e41a9c8cbd09.jpg","open")</f>
        <v/>
      </c>
      <c r="C10041" t="inlineStr">
        <is>
          <t>b0b7ea82-53be-40d0-b992-e2fd18611d5c</t>
        </is>
      </c>
      <c r="D10041" t="n">
        <v>55.70871</v>
      </c>
      <c r="E10041" t="n">
        <v>37.68399</v>
      </c>
      <c r="F10041" t="inlineStr"/>
      <c r="G10041" t="inlineStr"/>
      <c r="H10041" t="inlineStr"/>
    </row>
    <row r="10042">
      <c r="A10042" t="inlineStr">
        <is>
          <t>0cfc04ef-1614-4a87-8874-3d06be7f7634.jpg</t>
        </is>
      </c>
      <c r="B10042">
        <f>HYPERLINK("Объекты недвижимости, не соответствующие градостроительным нормам_00-022_Август/0cfc04ef-1614-4a87-8874-3d06be7f7634.jpg","open")</f>
        <v/>
      </c>
      <c r="C10042" t="inlineStr">
        <is>
          <t>9c930d0e-e445-452d-a046-325646b21ab7</t>
        </is>
      </c>
      <c r="D10042" t="n">
        <v>55.87628</v>
      </c>
      <c r="E10042" t="n">
        <v>37.68009</v>
      </c>
      <c r="F10042" t="inlineStr"/>
      <c r="G10042" t="inlineStr"/>
      <c r="H10042" t="inlineStr"/>
    </row>
    <row r="10043">
      <c r="A10043" t="inlineStr">
        <is>
          <t>2dea027e-6e73-4b69-a49b-45c74620dd39.jpg</t>
        </is>
      </c>
      <c r="B10043">
        <f>HYPERLINK("Объекты недвижимости, не соответствующие градостроительным нормам_00-022_Август/2dea027e-6e73-4b69-a49b-45c74620dd39.jpg","open")</f>
        <v/>
      </c>
      <c r="C10043" t="inlineStr">
        <is>
          <t>91248771-2c4d-44f3-b3cf-d536bd4ae73c</t>
        </is>
      </c>
      <c r="D10043" t="n">
        <v>55.77242</v>
      </c>
      <c r="E10043" t="n">
        <v>37.65991</v>
      </c>
      <c r="F10043" t="inlineStr"/>
      <c r="G10043" t="inlineStr"/>
      <c r="H10043" t="inlineStr"/>
    </row>
    <row r="10044">
      <c r="A10044" t="inlineStr">
        <is>
          <t>2bf86d7a-3fd8-46d9-8c9c-eb3c62ead3b4.jpg</t>
        </is>
      </c>
      <c r="B10044">
        <f>HYPERLINK("Объекты недвижимости, не соответствующие градостроительным нормам_00-022_Август/2bf86d7a-3fd8-46d9-8c9c-eb3c62ead3b4.jpg","open")</f>
        <v/>
      </c>
      <c r="C10044" t="inlineStr">
        <is>
          <t>797901ad-53b1-41b8-99d1-d59d59c863d5</t>
        </is>
      </c>
      <c r="D10044" t="n">
        <v>55.80078</v>
      </c>
      <c r="E10044" t="n">
        <v>37.74329</v>
      </c>
      <c r="F10044" t="inlineStr"/>
      <c r="G10044" t="inlineStr"/>
      <c r="H10044" t="inlineStr"/>
    </row>
    <row r="10045">
      <c r="A10045" t="inlineStr">
        <is>
          <t>ad0a1176-6992-4607-992a-4ac83a50ff16.jpg</t>
        </is>
      </c>
      <c r="B10045">
        <f>HYPERLINK("Объекты недвижимости, не соответствующие градостроительным нормам_00-022_Август/ad0a1176-6992-4607-992a-4ac83a50ff16.jpg","open")</f>
        <v/>
      </c>
      <c r="C10045" t="inlineStr">
        <is>
          <t>6e2567a0-1fb9-40d5-a0e7-0adb480d2965</t>
        </is>
      </c>
      <c r="D10045" t="n">
        <v>55.73359</v>
      </c>
      <c r="E10045" t="n">
        <v>37.52896</v>
      </c>
      <c r="F10045" t="inlineStr"/>
      <c r="G10045" t="inlineStr"/>
      <c r="H10045" t="inlineStr"/>
    </row>
    <row r="10046">
      <c r="A10046" t="inlineStr">
        <is>
          <t>c25e0002-cf99-43e4-9ee2-4df10d9a1609.jpg</t>
        </is>
      </c>
      <c r="B10046">
        <f>HYPERLINK("Объекты недвижимости, не соответствующие градостроительным нормам_00-022_Август/c25e0002-cf99-43e4-9ee2-4df10d9a1609.jpg","open")</f>
        <v/>
      </c>
      <c r="C10046" t="inlineStr">
        <is>
          <t>6e2567a0-1fb9-40d5-a0e7-0adb480d2965</t>
        </is>
      </c>
      <c r="D10046" t="n">
        <v>55.73359</v>
      </c>
      <c r="E10046" t="n">
        <v>37.52896</v>
      </c>
      <c r="F10046" t="inlineStr"/>
      <c r="G10046" t="inlineStr"/>
      <c r="H10046" t="inlineStr"/>
    </row>
    <row r="10047">
      <c r="A10047" t="inlineStr">
        <is>
          <t>f2256809-dee2-4f8b-9b6d-3662e966934c.jpg</t>
        </is>
      </c>
      <c r="B10047">
        <f>HYPERLINK("Объекты недвижимости, не соответствующие градостроительным нормам_00-022_Август/f2256809-dee2-4f8b-9b6d-3662e966934c.jpg","open")</f>
        <v/>
      </c>
      <c r="C10047" t="inlineStr">
        <is>
          <t>8beacb4f-617e-4b34-8030-60c4dff5f8d1</t>
        </is>
      </c>
      <c r="D10047" t="n">
        <v>55.73813</v>
      </c>
      <c r="E10047" t="n">
        <v>37.52575</v>
      </c>
      <c r="F10047" t="inlineStr"/>
      <c r="G10047" t="inlineStr"/>
      <c r="H10047" t="inlineStr"/>
    </row>
    <row r="10048">
      <c r="A10048" t="inlineStr">
        <is>
          <t>84b41949-dff4-4f5f-9750-bcac19d2d32f.jpg</t>
        </is>
      </c>
      <c r="B10048">
        <f>HYPERLINK("Объекты недвижимости, не соответствующие градостроительным нормам_00-022_Август/84b41949-dff4-4f5f-9750-bcac19d2d32f.jpg","open")</f>
        <v/>
      </c>
      <c r="C10048" t="inlineStr">
        <is>
          <t>8b2675e2-7f40-47a9-a462-7c9feecd299c</t>
        </is>
      </c>
      <c r="D10048" t="n">
        <v>55.69492</v>
      </c>
      <c r="E10048" t="n">
        <v>37.46595</v>
      </c>
      <c r="F10048" t="inlineStr"/>
      <c r="G10048" t="inlineStr"/>
      <c r="H10048" t="inlineStr"/>
    </row>
    <row r="10049">
      <c r="A10049" t="inlineStr">
        <is>
          <t>d8607b84-543b-4491-bd24-c89eff3e38f1.jpg</t>
        </is>
      </c>
      <c r="B10049">
        <f>HYPERLINK("Объекты недвижимости, не соответствующие градостроительным нормам_00-022_Август/d8607b84-543b-4491-bd24-c89eff3e38f1.jpg","open")</f>
        <v/>
      </c>
      <c r="C10049" t="inlineStr">
        <is>
          <t>99ad831f-cb97-41d7-860c-2a48cf549c05</t>
        </is>
      </c>
      <c r="D10049" t="n">
        <v>55.8116</v>
      </c>
      <c r="E10049" t="n">
        <v>37.53923</v>
      </c>
      <c r="F10049" t="inlineStr"/>
      <c r="G10049" t="inlineStr"/>
      <c r="H10049" t="inlineStr"/>
    </row>
    <row r="10050">
      <c r="A10050" t="inlineStr">
        <is>
          <t>4ee072f9-c05a-4300-bdd0-14cb13ff16cd.jpg</t>
        </is>
      </c>
      <c r="B10050">
        <f>HYPERLINK("Объекты недвижимости, не соответствующие градостроительным нормам_00-022_Август/4ee072f9-c05a-4300-bdd0-14cb13ff16cd.jpg","open")</f>
        <v/>
      </c>
      <c r="C10050" t="inlineStr">
        <is>
          <t>dd22c7c9-0046-46d8-8631-55150dbf8ae5</t>
        </is>
      </c>
      <c r="D10050" t="n">
        <v>55.71937</v>
      </c>
      <c r="E10050" t="n">
        <v>37.42219</v>
      </c>
      <c r="F10050" t="inlineStr"/>
      <c r="G10050" t="inlineStr"/>
      <c r="H10050" t="inlineStr"/>
    </row>
    <row r="10051">
      <c r="A10051" t="inlineStr">
        <is>
          <t>3d30f453-3102-4fbb-ac1c-c2a6176ff655.jpg</t>
        </is>
      </c>
      <c r="B10051">
        <f>HYPERLINK("Объекты недвижимости, не соответствующие градостроительным нормам_00-022_Август/3d30f453-3102-4fbb-ac1c-c2a6176ff655.jpg","open")</f>
        <v/>
      </c>
      <c r="C10051" t="inlineStr">
        <is>
          <t>dd22c7c9-0046-46d8-8631-55150dbf8ae5</t>
        </is>
      </c>
      <c r="D10051" t="n">
        <v>55.72038</v>
      </c>
      <c r="E10051" t="n">
        <v>37.42976</v>
      </c>
      <c r="F10051" t="inlineStr"/>
      <c r="G10051" t="inlineStr"/>
      <c r="H10051" t="inlineStr"/>
    </row>
    <row r="10052">
      <c r="A10052" t="inlineStr">
        <is>
          <t>0b800200-b785-462e-9002-31f1ac26d5b2.jpg</t>
        </is>
      </c>
      <c r="B10052">
        <f>HYPERLINK("Объекты недвижимости, не соответствующие градостроительным нормам_00-022_Август/0b800200-b785-462e-9002-31f1ac26d5b2.jpg","open")</f>
        <v/>
      </c>
      <c r="C10052" t="inlineStr">
        <is>
          <t>31a713a9-b910-424b-b847-e0eaa2f70c70</t>
        </is>
      </c>
      <c r="D10052" t="n">
        <v>55.77748</v>
      </c>
      <c r="E10052" t="n">
        <v>37.6692</v>
      </c>
      <c r="F10052" t="inlineStr"/>
      <c r="G10052" t="inlineStr"/>
      <c r="H10052" t="inlineStr"/>
    </row>
    <row r="10053">
      <c r="A10053" t="inlineStr">
        <is>
          <t>1d2c278a-0b66-45dc-9ea3-50429be5487e.jpg</t>
        </is>
      </c>
      <c r="B10053">
        <f>HYPERLINK("Объекты недвижимости, не соответствующие градостроительным нормам_00-022_Август/1d2c278a-0b66-45dc-9ea3-50429be5487e.jpg","open")</f>
        <v/>
      </c>
      <c r="C10053" t="inlineStr">
        <is>
          <t>750bf7e4-0f0f-4f1a-96af-607dc8c1f1c9</t>
        </is>
      </c>
      <c r="D10053" t="n">
        <v>55.77756</v>
      </c>
      <c r="E10053" t="n">
        <v>37.66909</v>
      </c>
      <c r="F10053" t="inlineStr"/>
      <c r="G10053" t="inlineStr"/>
      <c r="H10053" t="inlineStr"/>
    </row>
    <row r="10054">
      <c r="A10054" t="inlineStr">
        <is>
          <t>72501351-605e-4915-a819-bc952a6b591d.jpg</t>
        </is>
      </c>
      <c r="B10054">
        <f>HYPERLINK("Объекты недвижимости, не соответствующие градостроительным нормам_00-022_Август/72501351-605e-4915-a819-bc952a6b591d.jpg","open")</f>
        <v/>
      </c>
      <c r="C10054" t="inlineStr">
        <is>
          <t>31a713a9-b910-424b-b847-e0eaa2f70c70</t>
        </is>
      </c>
      <c r="D10054" t="n">
        <v>55.77758</v>
      </c>
      <c r="E10054" t="n">
        <v>37.66906</v>
      </c>
      <c r="F10054" t="inlineStr"/>
      <c r="G10054" t="inlineStr"/>
      <c r="H10054" t="inlineStr"/>
    </row>
    <row r="10055">
      <c r="A10055" t="inlineStr">
        <is>
          <t>4c7cd734-30fd-4087-8ea1-210e0f8c7247.jpg</t>
        </is>
      </c>
      <c r="B10055">
        <f>HYPERLINK("Объекты недвижимости, не соответствующие градостроительным нормам_00-022_Август/4c7cd734-30fd-4087-8ea1-210e0f8c7247.jpg","open")</f>
        <v/>
      </c>
      <c r="C10055" t="inlineStr">
        <is>
          <t>750bf7e4-0f0f-4f1a-96af-607dc8c1f1c9</t>
        </is>
      </c>
      <c r="D10055" t="n">
        <v>55.77863</v>
      </c>
      <c r="E10055" t="n">
        <v>37.66765</v>
      </c>
      <c r="F10055" t="inlineStr"/>
      <c r="G10055" t="inlineStr"/>
      <c r="H10055" t="inlineStr"/>
    </row>
    <row r="10056">
      <c r="A10056" t="inlineStr">
        <is>
          <t>2a13a28c-e8c0-477d-b4a6-c8d2a36c25b1.jpg</t>
        </is>
      </c>
      <c r="B10056">
        <f>HYPERLINK("Объекты недвижимости, не соответствующие градостроительным нормам_00-022_Август/2a13a28c-e8c0-477d-b4a6-c8d2a36c25b1.jpg","open")</f>
        <v/>
      </c>
      <c r="C10056" t="inlineStr">
        <is>
          <t>31a713a9-b910-424b-b847-e0eaa2f70c70</t>
        </is>
      </c>
      <c r="D10056" t="n">
        <v>55.77863</v>
      </c>
      <c r="E10056" t="n">
        <v>37.66764</v>
      </c>
      <c r="F10056" t="inlineStr"/>
      <c r="G10056" t="inlineStr"/>
      <c r="H10056" t="inlineStr"/>
    </row>
    <row r="10057">
      <c r="A10057" t="inlineStr">
        <is>
          <t>3db075ed-dd73-45f0-b310-6dcf7fe14ae1.jpg</t>
        </is>
      </c>
      <c r="B10057">
        <f>HYPERLINK("Объекты недвижимости, не соответствующие градостроительным нормам_00-022_Август/3db075ed-dd73-45f0-b310-6dcf7fe14ae1.jpg","open")</f>
        <v/>
      </c>
      <c r="C10057" t="inlineStr">
        <is>
          <t>b0429a31-0c70-4b9f-8ea5-73929d82f89e</t>
        </is>
      </c>
      <c r="D10057" t="n">
        <v>55.66776</v>
      </c>
      <c r="E10057" t="n">
        <v>37.7235</v>
      </c>
      <c r="F10057" t="inlineStr"/>
      <c r="G10057" t="inlineStr"/>
      <c r="H10057" t="inlineStr"/>
    </row>
    <row r="10058">
      <c r="A10058" t="inlineStr">
        <is>
          <t>b7753b14-91a0-4827-be4f-b1071a74f5a1.jpg</t>
        </is>
      </c>
      <c r="B10058">
        <f>HYPERLINK("Объекты недвижимости, не соответствующие градостроительным нормам_00-022_Август/b7753b14-91a0-4827-be4f-b1071a74f5a1.jpg","open")</f>
        <v/>
      </c>
      <c r="C10058" t="inlineStr">
        <is>
          <t>b0429a31-0c70-4b9f-8ea5-73929d82f89e</t>
        </is>
      </c>
      <c r="D10058" t="n">
        <v>55.66707</v>
      </c>
      <c r="E10058" t="n">
        <v>37.72293</v>
      </c>
      <c r="F10058" t="inlineStr"/>
      <c r="G10058" t="inlineStr"/>
      <c r="H10058" t="inlineStr"/>
    </row>
    <row r="10059">
      <c r="A10059" t="inlineStr">
        <is>
          <t>f28d39ed-6918-438e-8f28-912122cbd71d.jpg</t>
        </is>
      </c>
      <c r="B10059">
        <f>HYPERLINK("Объекты недвижимости, не соответствующие градостроительным нормам_00-022_Август/f28d39ed-6918-438e-8f28-912122cbd71d.jpg","open")</f>
        <v/>
      </c>
      <c r="C10059" t="inlineStr">
        <is>
          <t>b6b3590f-f506-4399-8205-e7ac710132e7</t>
        </is>
      </c>
      <c r="D10059" t="n">
        <v>55.82178</v>
      </c>
      <c r="E10059" t="n">
        <v>37.51909</v>
      </c>
      <c r="F10059" t="inlineStr"/>
      <c r="G10059" t="inlineStr"/>
      <c r="H10059" t="inlineStr"/>
    </row>
    <row r="10060">
      <c r="A10060" t="inlineStr">
        <is>
          <t>1ad220ab-1c9c-4819-b532-5dffc30a34e1.jpg</t>
        </is>
      </c>
      <c r="B10060">
        <f>HYPERLINK("Объекты недвижимости, не соответствующие градостроительным нормам_00-022_Август/1ad220ab-1c9c-4819-b532-5dffc30a34e1.jpg","open")</f>
        <v/>
      </c>
      <c r="C10060" t="inlineStr">
        <is>
          <t>f389b777-2837-46f0-983f-56af24850601</t>
        </is>
      </c>
      <c r="D10060" t="n">
        <v>55.70688</v>
      </c>
      <c r="E10060" t="n">
        <v>37.66436</v>
      </c>
      <c r="F10060" t="inlineStr"/>
      <c r="G10060" t="inlineStr"/>
      <c r="H10060" t="inlineStr"/>
    </row>
    <row r="10061">
      <c r="A10061" t="inlineStr">
        <is>
          <t>862e87fa-e7d9-406f-bcd9-6c3ecb4ff35e.jpg</t>
        </is>
      </c>
      <c r="B10061">
        <f>HYPERLINK("Объекты недвижимости, не соответствующие градостроительным нормам_00-022_Август/862e87fa-e7d9-406f-bcd9-6c3ecb4ff35e.jpg","open")</f>
        <v/>
      </c>
      <c r="C10061" t="inlineStr">
        <is>
          <t>57812597-37e6-414c-8b11-8c661dbfeb70</t>
        </is>
      </c>
      <c r="D10061" t="n">
        <v>55.70688</v>
      </c>
      <c r="E10061" t="n">
        <v>37.66436</v>
      </c>
      <c r="F10061" t="inlineStr"/>
      <c r="G10061" t="inlineStr"/>
      <c r="H10061" t="inlineStr"/>
    </row>
    <row r="10062">
      <c r="A10062" t="inlineStr">
        <is>
          <t>1a69eb6e-f8f7-44e7-9a7e-f7e6e5ba270e.jpg</t>
        </is>
      </c>
      <c r="B10062">
        <f>HYPERLINK("Объекты недвижимости, не соответствующие градостроительным нормам_00-022_Август/1a69eb6e-f8f7-44e7-9a7e-f7e6e5ba270e.jpg","open")</f>
        <v/>
      </c>
      <c r="C10062" t="inlineStr">
        <is>
          <t>8b2675e2-7f40-47a9-a462-7c9feecd299c</t>
        </is>
      </c>
      <c r="D10062" t="n">
        <v>55.82175</v>
      </c>
      <c r="E10062" t="n">
        <v>37.1105</v>
      </c>
      <c r="F10062" t="inlineStr"/>
      <c r="G10062" t="inlineStr"/>
      <c r="H10062" t="inlineStr"/>
    </row>
    <row r="10063">
      <c r="A10063" t="inlineStr">
        <is>
          <t>4875ae67-5b64-43af-8850-b03ecb105d6d.jpg</t>
        </is>
      </c>
      <c r="B10063">
        <f>HYPERLINK("Объекты недвижимости, не соответствующие градостроительным нормам_00-022_Август/4875ae67-5b64-43af-8850-b03ecb105d6d.jpg","open")</f>
        <v/>
      </c>
      <c r="C10063" t="inlineStr">
        <is>
          <t>fce890a6-27da-4062-a046-08262a160ee6</t>
        </is>
      </c>
      <c r="D10063" t="n">
        <v>55.73391</v>
      </c>
      <c r="E10063" t="n">
        <v>37.40001</v>
      </c>
      <c r="F10063" t="inlineStr"/>
      <c r="G10063" t="inlineStr"/>
      <c r="H10063" t="inlineStr"/>
    </row>
    <row r="10064">
      <c r="A10064" t="inlineStr">
        <is>
          <t>acbbeaf9-c399-4ba0-8ffd-21057dde32dc.jpg</t>
        </is>
      </c>
      <c r="B10064">
        <f>HYPERLINK("Объекты недвижимости, не соответствующие градостроительным нормам_00-022_Август/acbbeaf9-c399-4ba0-8ffd-21057dde32dc.jpg","open")</f>
        <v/>
      </c>
      <c r="C10064" t="inlineStr">
        <is>
          <t>57aae8a4-582b-4309-8045-c8127a9f86ae</t>
        </is>
      </c>
      <c r="D10064" t="n">
        <v>55.79317</v>
      </c>
      <c r="E10064" t="n">
        <v>37.78999</v>
      </c>
      <c r="F10064" t="inlineStr"/>
      <c r="G10064" t="inlineStr"/>
      <c r="H10064" t="inlineStr"/>
    </row>
    <row r="10065">
      <c r="A10065" t="inlineStr">
        <is>
          <t>45140d9c-2cc7-48dd-aa06-3afd51f423fa.jpg</t>
        </is>
      </c>
      <c r="B10065">
        <f>HYPERLINK("Объекты недвижимости, не соответствующие градостроительным нормам_00-022_Август/45140d9c-2cc7-48dd-aa06-3afd51f423fa.jpg","open")</f>
        <v/>
      </c>
      <c r="C10065" t="inlineStr">
        <is>
          <t>f389b777-2837-46f0-983f-56af24850601</t>
        </is>
      </c>
      <c r="D10065" t="n">
        <v>55.72908</v>
      </c>
      <c r="E10065" t="n">
        <v>37.70686</v>
      </c>
      <c r="F10065" t="inlineStr"/>
      <c r="G10065" t="inlineStr"/>
      <c r="H10065" t="inlineStr"/>
    </row>
    <row r="10066">
      <c r="A10066" t="inlineStr">
        <is>
          <t>887c520b-7dc6-4c0a-9f41-9c06953ddf6e.jpg</t>
        </is>
      </c>
      <c r="B10066">
        <f>HYPERLINK("Объекты недвижимости, не соответствующие градостроительным нормам_00-022_Август/887c520b-7dc6-4c0a-9f41-9c06953ddf6e.jpg","open")</f>
        <v/>
      </c>
      <c r="C10066" t="inlineStr">
        <is>
          <t>b6b3590f-f506-4399-8205-e7ac710132e7</t>
        </is>
      </c>
      <c r="D10066" t="n">
        <v>55.82189</v>
      </c>
      <c r="E10066" t="n">
        <v>37.51897</v>
      </c>
      <c r="F10066" t="inlineStr"/>
      <c r="G10066" t="inlineStr"/>
      <c r="H10066" t="inlineStr"/>
    </row>
    <row r="10067">
      <c r="A10067" t="inlineStr">
        <is>
          <t>0901ee9d-a39e-45c1-ab14-a1eed950a0a1.jpg</t>
        </is>
      </c>
      <c r="B10067">
        <f>HYPERLINK("Объекты недвижимости, не соответствующие градостроительным нормам_00-022_Август/0901ee9d-a39e-45c1-ab14-a1eed950a0a1.jpg","open")</f>
        <v/>
      </c>
      <c r="C10067" t="inlineStr">
        <is>
          <t>50e4626c-a80e-42ab-b999-b5092c2c063f</t>
        </is>
      </c>
      <c r="D10067" t="n">
        <v>55.73127</v>
      </c>
      <c r="E10067" t="n">
        <v>37.72829</v>
      </c>
      <c r="F10067" t="inlineStr"/>
      <c r="G10067" t="inlineStr"/>
      <c r="H10067" t="inlineStr"/>
    </row>
    <row r="10068">
      <c r="A10068" t="inlineStr">
        <is>
          <t>448b97cc-b8bb-40cb-895b-6400446a06c7.jpg</t>
        </is>
      </c>
      <c r="B10068">
        <f>HYPERLINK("Объекты недвижимости, не соответствующие градостроительным нормам_00-022_Август/448b97cc-b8bb-40cb-895b-6400446a06c7.jpg","open")</f>
        <v/>
      </c>
      <c r="C10068" t="inlineStr">
        <is>
          <t>dd22c7c9-0046-46d8-8631-55150dbf8ae5</t>
        </is>
      </c>
      <c r="D10068" t="n">
        <v>55.81514</v>
      </c>
      <c r="E10068" t="n">
        <v>37.11622</v>
      </c>
      <c r="F10068" t="inlineStr"/>
      <c r="G10068" t="inlineStr"/>
      <c r="H10068" t="inlineStr"/>
    </row>
    <row r="10069">
      <c r="A10069" t="inlineStr">
        <is>
          <t>3bc6c624-af2c-4e0a-b1cf-991dd41985ab.jpg</t>
        </is>
      </c>
      <c r="B10069">
        <f>HYPERLINK("Объекты недвижимости, не соответствующие градостроительным нормам_00-022_Август/3bc6c624-af2c-4e0a-b1cf-991dd41985ab.jpg","open")</f>
        <v/>
      </c>
      <c r="C10069" t="inlineStr">
        <is>
          <t>b6b3590f-f506-4399-8205-e7ac710132e7</t>
        </is>
      </c>
      <c r="D10069" t="n">
        <v>55.82154</v>
      </c>
      <c r="E10069" t="n">
        <v>37.50275</v>
      </c>
      <c r="F10069" t="inlineStr"/>
      <c r="G10069" t="inlineStr"/>
      <c r="H10069" t="inlineStr"/>
    </row>
    <row r="10070">
      <c r="A10070" t="inlineStr">
        <is>
          <t>9337411a-87fc-4160-a3c6-24be164547ed.jpg</t>
        </is>
      </c>
      <c r="B10070">
        <f>HYPERLINK("Объекты недвижимости, не соответствующие градостроительным нормам_00-022_Август/9337411a-87fc-4160-a3c6-24be164547ed.jpg","open")</f>
        <v/>
      </c>
      <c r="C10070" t="inlineStr">
        <is>
          <t>dd22c7c9-0046-46d8-8631-55150dbf8ae5</t>
        </is>
      </c>
      <c r="D10070" t="n">
        <v>55.63586</v>
      </c>
      <c r="E10070" t="n">
        <v>38.02131</v>
      </c>
      <c r="F10070" t="inlineStr"/>
      <c r="G10070" t="inlineStr"/>
      <c r="H10070" t="inlineStr"/>
    </row>
    <row r="10071">
      <c r="A10071" t="inlineStr">
        <is>
          <t>a6da0abb-fbd6-4bca-9005-06306deddd7d.jpg</t>
        </is>
      </c>
      <c r="B10071">
        <f>HYPERLINK("Объекты недвижимости, не соответствующие градостроительным нормам_00-022_Август/a6da0abb-fbd6-4bca-9005-06306deddd7d.jpg","open")</f>
        <v/>
      </c>
      <c r="C10071" t="inlineStr">
        <is>
          <t>fb40ed24-21ef-458a-a239-038ab19932cc</t>
        </is>
      </c>
      <c r="D10071" t="n">
        <v>55.71956</v>
      </c>
      <c r="E10071" t="n">
        <v>37.83677</v>
      </c>
      <c r="F10071" t="inlineStr"/>
      <c r="G10071" t="inlineStr"/>
      <c r="H10071" t="inlineStr"/>
    </row>
    <row r="10072">
      <c r="A10072" t="inlineStr">
        <is>
          <t>297bf915-3b0e-4d59-8b03-9dbff8266e88.jpg</t>
        </is>
      </c>
      <c r="B10072">
        <f>HYPERLINK("Объекты недвижимости, не соответствующие градостроительным нормам_00-022_Август/297bf915-3b0e-4d59-8b03-9dbff8266e88.jpg","open")</f>
        <v/>
      </c>
      <c r="C10072" t="inlineStr">
        <is>
          <t>1231bbc5-e64c-4dc7-9acc-77710f47607a</t>
        </is>
      </c>
      <c r="D10072" t="n">
        <v>55.8288</v>
      </c>
      <c r="E10072" t="n">
        <v>38.15583</v>
      </c>
      <c r="F10072" t="inlineStr"/>
      <c r="G10072" t="inlineStr"/>
      <c r="H10072" t="inlineStr"/>
    </row>
    <row r="10073">
      <c r="A10073" t="inlineStr">
        <is>
          <t>ae42027c-dde3-4513-9875-2e8f15fdd1b9.jpg</t>
        </is>
      </c>
      <c r="B10073">
        <f>HYPERLINK("Объекты недвижимости, не соответствующие градостроительным нормам_00-022_Август/ae42027c-dde3-4513-9875-2e8f15fdd1b9.jpg","open")</f>
        <v/>
      </c>
      <c r="C10073" t="inlineStr">
        <is>
          <t>1c951e11-4940-43c6-a447-394097e5609a</t>
        </is>
      </c>
      <c r="D10073" t="n">
        <v>55.84914</v>
      </c>
      <c r="E10073" t="n">
        <v>37.55262</v>
      </c>
      <c r="F10073" t="inlineStr"/>
      <c r="G10073" t="inlineStr"/>
      <c r="H10073" t="inlineStr"/>
    </row>
    <row r="10074">
      <c r="A10074" t="inlineStr">
        <is>
          <t>47c9a081-2d10-4035-a117-d7a1412ff2fe.jpg</t>
        </is>
      </c>
      <c r="B10074">
        <f>HYPERLINK("Объекты недвижимости, не соответствующие градостроительным нормам_00-022_Август/47c9a081-2d10-4035-a117-d7a1412ff2fe.jpg","open")</f>
        <v/>
      </c>
      <c r="C10074" t="inlineStr">
        <is>
          <t>8cde1fd0-eca1-4510-86ab-3c743b65fdfc</t>
        </is>
      </c>
      <c r="D10074" t="n">
        <v>55.84914</v>
      </c>
      <c r="E10074" t="n">
        <v>37.55262</v>
      </c>
      <c r="F10074" t="inlineStr"/>
      <c r="G10074" t="inlineStr"/>
      <c r="H10074" t="inlineStr"/>
    </row>
    <row r="10075">
      <c r="A10075" t="inlineStr">
        <is>
          <t>c031d396-29dd-4e72-8631-2eb847003049.jpg</t>
        </is>
      </c>
      <c r="B10075">
        <f>HYPERLINK("Объекты недвижимости, не соответствующие градостроительным нормам_00-022_Август/c031d396-29dd-4e72-8631-2eb847003049.jpg","open")</f>
        <v/>
      </c>
      <c r="C10075" t="inlineStr">
        <is>
          <t>1c951e11-4940-43c6-a447-394097e5609a</t>
        </is>
      </c>
      <c r="D10075" t="n">
        <v>55.84914</v>
      </c>
      <c r="E10075" t="n">
        <v>37.55262</v>
      </c>
      <c r="F10075" t="inlineStr"/>
      <c r="G10075" t="inlineStr"/>
      <c r="H10075" t="inlineStr"/>
    </row>
    <row r="10076">
      <c r="A10076" t="inlineStr">
        <is>
          <t>03ee483b-7b82-4931-948b-ab8bdbcce04b.jpg</t>
        </is>
      </c>
      <c r="B10076">
        <f>HYPERLINK("Объекты недвижимости, не соответствующие градостроительным нормам_00-022_Август/03ee483b-7b82-4931-948b-ab8bdbcce04b.jpg","open")</f>
        <v/>
      </c>
      <c r="C10076" t="inlineStr">
        <is>
          <t>b6b3590f-f506-4399-8205-e7ac710132e7</t>
        </is>
      </c>
      <c r="D10076" t="n">
        <v>55.83015</v>
      </c>
      <c r="E10076" t="n">
        <v>37.51098</v>
      </c>
      <c r="F10076" t="inlineStr"/>
      <c r="G10076" t="inlineStr"/>
      <c r="H10076" t="inlineStr"/>
    </row>
    <row r="10077">
      <c r="A10077" t="inlineStr">
        <is>
          <t>e0477aac-4ab2-4bcb-baaf-1b1880fd1b00.jpg</t>
        </is>
      </c>
      <c r="B10077">
        <f>HYPERLINK("Объекты недвижимости, не соответствующие градостроительным нормам_00-022_Август/e0477aac-4ab2-4bcb-baaf-1b1880fd1b00.jpg","open")</f>
        <v/>
      </c>
      <c r="C10077" t="inlineStr">
        <is>
          <t>8cde1fd0-eca1-4510-86ab-3c743b65fdfc</t>
        </is>
      </c>
      <c r="D10077" t="n">
        <v>55.84914</v>
      </c>
      <c r="E10077" t="n">
        <v>37.55262</v>
      </c>
      <c r="F10077" t="inlineStr"/>
      <c r="G10077" t="inlineStr"/>
      <c r="H10077" t="inlineStr"/>
    </row>
    <row r="10078">
      <c r="A10078" t="inlineStr">
        <is>
          <t>f5d41129-3e80-4e5a-a7e7-5ffa716a25f1.jpg</t>
        </is>
      </c>
      <c r="B10078">
        <f>HYPERLINK("Объекты недвижимости, не соответствующие градостроительным нормам_00-022_Август/f5d41129-3e80-4e5a-a7e7-5ffa716a25f1.jpg","open")</f>
        <v/>
      </c>
      <c r="C10078" t="inlineStr">
        <is>
          <t>fb9a37cc-57a6-447c-98bb-0b299f09c809</t>
        </is>
      </c>
      <c r="D10078" t="n">
        <v>55.63586</v>
      </c>
      <c r="E10078" t="n">
        <v>38.02283</v>
      </c>
      <c r="F10078" t="inlineStr"/>
      <c r="G10078" t="inlineStr"/>
      <c r="H10078" t="inlineStr"/>
    </row>
    <row r="10079">
      <c r="A10079" t="inlineStr">
        <is>
          <t>56990bb6-0cef-498c-87e8-aa7dc01b4dcf.jpg</t>
        </is>
      </c>
      <c r="B10079">
        <f>HYPERLINK("Объекты недвижимости, не соответствующие градостроительным нормам_00-022_Август/56990bb6-0cef-498c-87e8-aa7dc01b4dcf.jpg","open")</f>
        <v/>
      </c>
      <c r="C10079" t="inlineStr">
        <is>
          <t>fb9a37cc-57a6-447c-98bb-0b299f09c809</t>
        </is>
      </c>
      <c r="D10079" t="n">
        <v>55.63586</v>
      </c>
      <c r="E10079" t="n">
        <v>38.02283</v>
      </c>
      <c r="F10079" t="inlineStr"/>
      <c r="G10079" t="inlineStr"/>
      <c r="H10079" t="inlineStr"/>
    </row>
    <row r="10080">
      <c r="A10080" t="inlineStr">
        <is>
          <t>ac08f4b3-196a-4705-94b5-2dc7c8e1a392.jpg</t>
        </is>
      </c>
      <c r="B10080">
        <f>HYPERLINK("Объекты недвижимости, не соответствующие градостроительным нормам_00-022_Август/ac08f4b3-196a-4705-94b5-2dc7c8e1a392.jpg","open")</f>
        <v/>
      </c>
      <c r="C10080" t="inlineStr">
        <is>
          <t>1231bbc5-e64c-4dc7-9acc-77710f47607a</t>
        </is>
      </c>
      <c r="D10080" t="n">
        <v>55.8288</v>
      </c>
      <c r="E10080" t="n">
        <v>38.15583</v>
      </c>
      <c r="F10080" t="inlineStr"/>
      <c r="G10080" t="inlineStr"/>
      <c r="H10080" t="inlineStr"/>
    </row>
    <row r="10081">
      <c r="A10081" t="inlineStr">
        <is>
          <t>04f2e3c2-9e3b-4a15-8f7a-ba849cb3a18f.jpg</t>
        </is>
      </c>
      <c r="B10081">
        <f>HYPERLINK("Объекты недвижимости, не соответствующие градостроительным нормам_00-022_Август/04f2e3c2-9e3b-4a15-8f7a-ba849cb3a18f.jpg","open")</f>
        <v/>
      </c>
      <c r="C10081" t="inlineStr">
        <is>
          <t>685d9054-b74f-49ab-857b-109fd2cec80d</t>
        </is>
      </c>
      <c r="D10081" t="n">
        <v>55.8288</v>
      </c>
      <c r="E10081" t="n">
        <v>38.15583</v>
      </c>
      <c r="F10081" t="inlineStr"/>
      <c r="G10081" t="inlineStr"/>
      <c r="H10081" t="inlineStr"/>
    </row>
    <row r="10082">
      <c r="A10082" t="inlineStr">
        <is>
          <t>69a37680-66d5-44f8-b02e-3defb5353666.jpg</t>
        </is>
      </c>
      <c r="B10082">
        <f>HYPERLINK("Объекты недвижимости, не соответствующие градостроительным нормам_00-022_Август/69a37680-66d5-44f8-b02e-3defb5353666.jpg","open")</f>
        <v/>
      </c>
      <c r="C10082" t="inlineStr">
        <is>
          <t>91248771-2c4d-44f3-b3cf-d536bd4ae73c</t>
        </is>
      </c>
      <c r="D10082" t="n">
        <v>55.78445</v>
      </c>
      <c r="E10082" t="n">
        <v>37.70522</v>
      </c>
      <c r="F10082" t="inlineStr"/>
      <c r="G10082" t="inlineStr"/>
      <c r="H10082" t="inlineStr"/>
    </row>
    <row r="10083">
      <c r="A10083" t="inlineStr">
        <is>
          <t>9aee5fa5-6c98-46f2-b65e-acd2e36af2cf.jpg</t>
        </is>
      </c>
      <c r="B10083">
        <f>HYPERLINK("Объекты недвижимости, не соответствующие градостроительным нормам_00-022_Август/9aee5fa5-6c98-46f2-b65e-acd2e36af2cf.jpg","open")</f>
        <v/>
      </c>
      <c r="C10083" t="inlineStr">
        <is>
          <t>91248771-2c4d-44f3-b3cf-d536bd4ae73c</t>
        </is>
      </c>
      <c r="D10083" t="n">
        <v>55.78487</v>
      </c>
      <c r="E10083" t="n">
        <v>37.71135</v>
      </c>
      <c r="F10083" t="inlineStr"/>
      <c r="G10083" t="inlineStr"/>
      <c r="H10083" t="inlineStr"/>
    </row>
    <row r="10084">
      <c r="A10084" t="inlineStr">
        <is>
          <t>03d96c37-9a58-4c57-9652-dbb6427dec3a.jpg</t>
        </is>
      </c>
      <c r="B10084">
        <f>HYPERLINK("Объекты недвижимости, не соответствующие градостроительным нормам_00-022_Август/03d96c37-9a58-4c57-9652-dbb6427dec3a.jpg","open")</f>
        <v/>
      </c>
      <c r="C10084" t="inlineStr">
        <is>
          <t>b6b3590f-f506-4399-8205-e7ac710132e7</t>
        </is>
      </c>
      <c r="D10084" t="n">
        <v>55.83012</v>
      </c>
      <c r="E10084" t="n">
        <v>37.51098</v>
      </c>
      <c r="F10084" t="inlineStr"/>
      <c r="G10084" t="inlineStr"/>
      <c r="H10084" t="inlineStr"/>
    </row>
    <row r="10085">
      <c r="A10085" t="inlineStr">
        <is>
          <t>8a5bf760-ac5f-4c8c-97b9-fc2ca81f85b9.jpg</t>
        </is>
      </c>
      <c r="B10085">
        <f>HYPERLINK("Объекты недвижимости, не соответствующие градостроительным нормам_00-022_Август/8a5bf760-ac5f-4c8c-97b9-fc2ca81f85b9.jpg","open")</f>
        <v/>
      </c>
      <c r="C10085" t="inlineStr">
        <is>
          <t>9fb3d110-951f-48da-9d90-cfd7e1b5800d</t>
        </is>
      </c>
      <c r="D10085" t="n">
        <v>62.80547</v>
      </c>
      <c r="E10085" t="n">
        <v>27.07118</v>
      </c>
      <c r="F10085" t="inlineStr"/>
      <c r="G10085" t="inlineStr"/>
      <c r="H10085" t="inlineStr"/>
    </row>
    <row r="10086">
      <c r="A10086" t="inlineStr">
        <is>
          <t>1439bd6f-fa78-4629-ab8a-3881ef58f8f5.jpg</t>
        </is>
      </c>
      <c r="B10086">
        <f>HYPERLINK("Объекты недвижимости, не соответствующие градостроительным нормам_00-022_Август/1439bd6f-fa78-4629-ab8a-3881ef58f8f5.jpg","open")</f>
        <v/>
      </c>
      <c r="C10086" t="inlineStr">
        <is>
          <t>797901ad-53b1-41b8-99d1-d59d59c863d5</t>
        </is>
      </c>
      <c r="D10086" t="n">
        <v>55.72133</v>
      </c>
      <c r="E10086" t="n">
        <v>37.81312</v>
      </c>
      <c r="F10086" t="inlineStr"/>
      <c r="G10086" t="inlineStr"/>
      <c r="H10086" t="inlineStr"/>
    </row>
    <row r="10087">
      <c r="A10087" t="inlineStr">
        <is>
          <t>d021ef81-6229-469a-869d-44509c832aef.jpg</t>
        </is>
      </c>
      <c r="B10087">
        <f>HYPERLINK("Объекты недвижимости, не соответствующие градостроительным нормам_00-022_Август/d021ef81-6229-469a-869d-44509c832aef.jpg","open")</f>
        <v/>
      </c>
      <c r="C10087" t="inlineStr">
        <is>
          <t>fb40ed24-21ef-458a-a239-038ab19932cc</t>
        </is>
      </c>
      <c r="D10087" t="n">
        <v>55.72189</v>
      </c>
      <c r="E10087" t="n">
        <v>37.81314</v>
      </c>
      <c r="F10087" t="inlineStr"/>
      <c r="G10087" t="inlineStr"/>
      <c r="H10087" t="inlineStr"/>
    </row>
    <row r="10088">
      <c r="A10088" t="inlineStr">
        <is>
          <t>34cd65fa-976c-40d7-8c02-179967e9ce2e.jpg</t>
        </is>
      </c>
      <c r="B10088">
        <f>HYPERLINK("Объекты недвижимости, не соответствующие градостроительным нормам_00-022_Август/34cd65fa-976c-40d7-8c02-179967e9ce2e.jpg","open")</f>
        <v/>
      </c>
      <c r="C10088" t="inlineStr">
        <is>
          <t>797901ad-53b1-41b8-99d1-d59d59c863d5</t>
        </is>
      </c>
      <c r="D10088" t="n">
        <v>55.72189</v>
      </c>
      <c r="E10088" t="n">
        <v>37.81314</v>
      </c>
      <c r="F10088" t="inlineStr"/>
      <c r="G10088" t="inlineStr"/>
      <c r="H10088" t="inlineStr"/>
    </row>
    <row r="10089">
      <c r="A10089" t="inlineStr">
        <is>
          <t>d670b4f8-cc38-43df-b283-6414ec2c0126.jpg</t>
        </is>
      </c>
      <c r="B10089">
        <f>HYPERLINK("Объекты недвижимости, не соответствующие градостроительным нормам_00-022_Август/d670b4f8-cc38-43df-b283-6414ec2c0126.jpg","open")</f>
        <v/>
      </c>
      <c r="C10089" t="inlineStr">
        <is>
          <t>1231bbc5-e64c-4dc7-9acc-77710f47607a</t>
        </is>
      </c>
      <c r="D10089" t="n">
        <v>55.70678</v>
      </c>
      <c r="E10089" t="n">
        <v>37.68557</v>
      </c>
      <c r="F10089" t="inlineStr"/>
      <c r="G10089" t="inlineStr"/>
      <c r="H10089" t="inlineStr"/>
    </row>
    <row r="10090">
      <c r="A10090" t="inlineStr">
        <is>
          <t>e78d5a94-b176-4904-b1e1-16b6b350d2a2.jpg</t>
        </is>
      </c>
      <c r="B10090">
        <f>HYPERLINK("Объекты недвижимости, не соответствующие градостроительным нормам_00-022_Август/e78d5a94-b176-4904-b1e1-16b6b350d2a2.jpg","open")</f>
        <v/>
      </c>
      <c r="C10090" t="inlineStr">
        <is>
          <t>acedacc2-0d8b-4fc1-9622-25621a89d071</t>
        </is>
      </c>
      <c r="D10090" t="n">
        <v>55.79449</v>
      </c>
      <c r="E10090" t="n">
        <v>37.7864</v>
      </c>
      <c r="F10090" t="inlineStr"/>
      <c r="G10090" t="inlineStr"/>
      <c r="H10090" t="inlineStr"/>
    </row>
    <row r="10091">
      <c r="A10091" t="inlineStr">
        <is>
          <t>7007819b-88e5-4cd9-8bbe-1a0f2733ae36.jpg</t>
        </is>
      </c>
      <c r="B10091">
        <f>HYPERLINK("Объекты недвижимости, не соответствующие градостроительным нормам_00-022_Август/7007819b-88e5-4cd9-8bbe-1a0f2733ae36.jpg","open")</f>
        <v/>
      </c>
      <c r="C10091" t="inlineStr">
        <is>
          <t>57aae8a4-582b-4309-8045-c8127a9f86ae</t>
        </is>
      </c>
      <c r="D10091" t="n">
        <v>55.79471</v>
      </c>
      <c r="E10091" t="n">
        <v>37.78662</v>
      </c>
      <c r="F10091" t="inlineStr"/>
      <c r="G10091" t="inlineStr"/>
      <c r="H10091" t="inlineStr"/>
    </row>
    <row r="10092">
      <c r="A10092" t="inlineStr">
        <is>
          <t>c58387e4-c268-4bcb-97cb-3a7e1baef96c.jpg</t>
        </is>
      </c>
      <c r="B10092">
        <f>HYPERLINK("Объекты недвижимости, не соответствующие градостроительным нормам_00-022_Август/c58387e4-c268-4bcb-97cb-3a7e1baef96c.jpg","open")</f>
        <v/>
      </c>
      <c r="C10092" t="inlineStr">
        <is>
          <t>57aae8a4-582b-4309-8045-c8127a9f86ae</t>
        </is>
      </c>
      <c r="D10092" t="n">
        <v>55.79481</v>
      </c>
      <c r="E10092" t="n">
        <v>37.78668</v>
      </c>
      <c r="F10092" t="inlineStr"/>
      <c r="G10092" t="inlineStr"/>
      <c r="H10092" t="inlineStr"/>
    </row>
    <row r="10093">
      <c r="A10093" t="inlineStr">
        <is>
          <t>adb96c19-01e5-49f1-b793-bf6dd652e887.jpg</t>
        </is>
      </c>
      <c r="B10093">
        <f>HYPERLINK("Объекты недвижимости, не соответствующие градостроительным нормам_00-022_Август/adb96c19-01e5-49f1-b793-bf6dd652e887.jpg","open")</f>
        <v/>
      </c>
      <c r="C10093" t="inlineStr">
        <is>
          <t>acedacc2-0d8b-4fc1-9622-25621a89d071</t>
        </is>
      </c>
      <c r="D10093" t="n">
        <v>55.79484</v>
      </c>
      <c r="E10093" t="n">
        <v>37.78687</v>
      </c>
      <c r="F10093" t="inlineStr"/>
      <c r="G10093" t="inlineStr"/>
      <c r="H10093" t="inlineStr"/>
    </row>
    <row r="10094">
      <c r="A10094" t="inlineStr">
        <is>
          <t>2d62fc37-fc35-4d71-9a5c-48dfa365ee1f.jpg</t>
        </is>
      </c>
      <c r="B10094">
        <f>HYPERLINK("Объекты недвижимости, не соответствующие градостроительным нормам_00-022_Август/2d62fc37-fc35-4d71-9a5c-48dfa365ee1f.jpg","open")</f>
        <v/>
      </c>
      <c r="C10094" t="inlineStr">
        <is>
          <t>8b2675e2-7f40-47a9-a462-7c9feecd299c</t>
        </is>
      </c>
      <c r="D10094" t="n">
        <v>55.82175</v>
      </c>
      <c r="E10094" t="n">
        <v>37.1105</v>
      </c>
      <c r="F10094" t="inlineStr"/>
      <c r="G10094" t="inlineStr"/>
      <c r="H10094" t="inlineStr"/>
    </row>
    <row r="10095">
      <c r="A10095" t="inlineStr">
        <is>
          <t>c5d505d9-1e84-4ac4-87e5-09a419d2c1ee.jpg</t>
        </is>
      </c>
      <c r="B10095">
        <f>HYPERLINK("Объекты недвижимости, не соответствующие градостроительным нормам_00-022_Август/c5d505d9-1e84-4ac4-87e5-09a419d2c1ee.jpg","open")</f>
        <v/>
      </c>
      <c r="C10095" t="inlineStr">
        <is>
          <t>acedacc2-0d8b-4fc1-9622-25621a89d071</t>
        </is>
      </c>
      <c r="D10095" t="n">
        <v>55.79481</v>
      </c>
      <c r="E10095" t="n">
        <v>37.78725</v>
      </c>
      <c r="F10095" t="inlineStr"/>
      <c r="G10095" t="inlineStr"/>
      <c r="H10095" t="inlineStr"/>
    </row>
    <row r="10096">
      <c r="A10096" t="inlineStr">
        <is>
          <t>2e35cf10-6d74-4dc5-a360-075093d2fc5f.jpg</t>
        </is>
      </c>
      <c r="B10096">
        <f>HYPERLINK("Объекты недвижимости, не соответствующие градостроительным нормам_00-022_Август/2e35cf10-6d74-4dc5-a360-075093d2fc5f.jpg","open")</f>
        <v/>
      </c>
      <c r="C10096" t="inlineStr">
        <is>
          <t>61936922-4d4b-458e-80ea-6d4c450aa1d5</t>
        </is>
      </c>
      <c r="D10096" t="n">
        <v>62.80547</v>
      </c>
      <c r="E10096" t="n">
        <v>27.07118</v>
      </c>
      <c r="F10096" t="inlineStr"/>
      <c r="G10096" t="inlineStr"/>
      <c r="H10096" t="inlineStr"/>
    </row>
    <row r="10097">
      <c r="A10097" t="inlineStr">
        <is>
          <t>d2e114b8-a5b7-40b0-8cde-0602b0c409dd.jpg</t>
        </is>
      </c>
      <c r="B10097">
        <f>HYPERLINK("Объекты недвижимости, не соответствующие градостроительным нормам_00-022_Август/d2e114b8-a5b7-40b0-8cde-0602b0c409dd.jpg","open")</f>
        <v/>
      </c>
      <c r="C10097" t="inlineStr">
        <is>
          <t>9f88688f-4c81-42a8-b76a-3c3e7edf869e</t>
        </is>
      </c>
      <c r="D10097" t="n">
        <v>55.84618</v>
      </c>
      <c r="E10097" t="n">
        <v>37.5905</v>
      </c>
      <c r="F10097" t="inlineStr"/>
      <c r="G10097" t="inlineStr"/>
      <c r="H10097" t="inlineStr"/>
    </row>
    <row r="10098">
      <c r="A10098" t="inlineStr">
        <is>
          <t>dbcb685c-2557-4831-a5d3-a22cead1e86a.jpg</t>
        </is>
      </c>
      <c r="B10098">
        <f>HYPERLINK("Объекты недвижимости, не соответствующие градостроительным нормам_00-022_Август/dbcb685c-2557-4831-a5d3-a22cead1e86a.jpg","open")</f>
        <v/>
      </c>
      <c r="C10098" t="inlineStr">
        <is>
          <t>2acfb2da-e3f6-464c-bd17-4b713522c142</t>
        </is>
      </c>
      <c r="D10098" t="n">
        <v>55.75441</v>
      </c>
      <c r="E10098" t="n">
        <v>37.68837</v>
      </c>
      <c r="F10098" t="inlineStr"/>
      <c r="G10098" t="inlineStr"/>
      <c r="H10098" t="inlineStr"/>
    </row>
    <row r="10099">
      <c r="A10099" t="inlineStr">
        <is>
          <t>10ebb263-52ed-4fad-9882-114bcc569e25.jpg</t>
        </is>
      </c>
      <c r="B10099">
        <f>HYPERLINK("Объекты недвижимости, не соответствующие градостроительным нормам_00-022_Август/10ebb263-52ed-4fad-9882-114bcc569e25.jpg","open")</f>
        <v/>
      </c>
      <c r="C10099" t="inlineStr">
        <is>
          <t>12e795ad-2aa7-49de-b2da-2c6aa35a4559</t>
        </is>
      </c>
      <c r="D10099" t="n">
        <v>55.32598</v>
      </c>
      <c r="E10099" t="n">
        <v>40.583</v>
      </c>
      <c r="F10099" t="inlineStr"/>
      <c r="G10099" t="inlineStr"/>
      <c r="H10099" t="inlineStr"/>
    </row>
    <row r="10100">
      <c r="A10100" t="inlineStr">
        <is>
          <t>0b00c251-884d-4092-b4b5-490f9f96eadd.jpg</t>
        </is>
      </c>
      <c r="B10100">
        <f>HYPERLINK("Объекты недвижимости, не соответствующие градостроительным нормам_00-022_Август/0b00c251-884d-4092-b4b5-490f9f96eadd.jpg","open")</f>
        <v/>
      </c>
      <c r="C10100" t="inlineStr">
        <is>
          <t>8b2675e2-7f40-47a9-a462-7c9feecd299c</t>
        </is>
      </c>
      <c r="D10100" t="n">
        <v>55.82175</v>
      </c>
      <c r="E10100" t="n">
        <v>37.1105</v>
      </c>
      <c r="F10100" t="inlineStr"/>
      <c r="G10100" t="inlineStr"/>
      <c r="H10100" t="inlineStr"/>
    </row>
    <row r="10101">
      <c r="A10101" t="inlineStr">
        <is>
          <t>b675315c-126c-41e4-8de0-abe11af2a010.jpg</t>
        </is>
      </c>
      <c r="B10101">
        <f>HYPERLINK("Объекты недвижимости, не соответствующие градостроительным нормам_00-022_Август/b675315c-126c-41e4-8de0-abe11af2a010.jpg","open")</f>
        <v/>
      </c>
      <c r="C10101" t="inlineStr">
        <is>
          <t>8b2675e2-7f40-47a9-a462-7c9feecd299c</t>
        </is>
      </c>
      <c r="D10101" t="n">
        <v>55.82175</v>
      </c>
      <c r="E10101" t="n">
        <v>37.1105</v>
      </c>
      <c r="F10101" t="inlineStr"/>
      <c r="G10101" t="inlineStr"/>
      <c r="H10101" t="inlineStr"/>
    </row>
    <row r="10102">
      <c r="A10102" t="inlineStr">
        <is>
          <t>56c6f87c-a8b0-4f5b-bb20-bc7d22846e02.jpg</t>
        </is>
      </c>
      <c r="B10102">
        <f>HYPERLINK("Объекты недвижимости, не соответствующие градостроительным нормам_00-022_Август/56c6f87c-a8b0-4f5b-bb20-bc7d22846e02.jpg","open")</f>
        <v/>
      </c>
      <c r="C10102" t="inlineStr">
        <is>
          <t>2acfb2da-e3f6-464c-bd17-4b713522c142</t>
        </is>
      </c>
      <c r="D10102" t="n">
        <v>55.76813</v>
      </c>
      <c r="E10102" t="n">
        <v>37.69025</v>
      </c>
      <c r="F10102" t="inlineStr"/>
      <c r="G10102" t="inlineStr"/>
      <c r="H10102" t="inlineStr"/>
    </row>
    <row r="10103">
      <c r="A10103" t="inlineStr">
        <is>
          <t>51aaf8a3-4f62-4cf3-8100-6b201e30c631.jpg</t>
        </is>
      </c>
      <c r="B10103">
        <f>HYPERLINK("Объекты недвижимости, не соответствующие градостроительным нормам_00-022_Август/51aaf8a3-4f62-4cf3-8100-6b201e30c631.jpg","open")</f>
        <v/>
      </c>
      <c r="C10103" t="inlineStr">
        <is>
          <t>12e795ad-2aa7-49de-b2da-2c6aa35a4559</t>
        </is>
      </c>
      <c r="D10103" t="n">
        <v>55.71046</v>
      </c>
      <c r="E10103" t="n">
        <v>37.66982</v>
      </c>
      <c r="F10103" t="inlineStr"/>
      <c r="G10103" t="inlineStr"/>
      <c r="H10103" t="inlineStr"/>
    </row>
    <row r="10104">
      <c r="A10104" t="inlineStr">
        <is>
          <t>239dff3d-c6c3-4a49-b197-71df6d5579d6.jpg</t>
        </is>
      </c>
      <c r="B10104">
        <f>HYPERLINK("Объекты недвижимости, не соответствующие градостроительным нормам_00-022_Август/239dff3d-c6c3-4a49-b197-71df6d5579d6.jpg","open")</f>
        <v/>
      </c>
      <c r="C10104" t="inlineStr">
        <is>
          <t>b6b3590f-f506-4399-8205-e7ac710132e7</t>
        </is>
      </c>
      <c r="D10104" t="n">
        <v>55.83164</v>
      </c>
      <c r="E10104" t="n">
        <v>37.5073</v>
      </c>
      <c r="F10104" t="inlineStr"/>
      <c r="G10104" t="inlineStr"/>
      <c r="H10104" t="inlineStr"/>
    </row>
    <row r="10105">
      <c r="A10105" t="inlineStr">
        <is>
          <t>2680cf4d-d7ca-4683-89e0-8a0979b6f85d.jpg</t>
        </is>
      </c>
      <c r="B10105">
        <f>HYPERLINK("Объекты недвижимости, не соответствующие градостроительным нормам_00-022_Август/2680cf4d-d7ca-4683-89e0-8a0979b6f85d.jpg","open")</f>
        <v/>
      </c>
      <c r="C10105" t="inlineStr">
        <is>
          <t>9f88688f-4c81-42a8-b76a-3c3e7edf869e</t>
        </is>
      </c>
      <c r="D10105" t="n">
        <v>55.8732</v>
      </c>
      <c r="E10105" t="n">
        <v>37.60739</v>
      </c>
      <c r="F10105" t="inlineStr"/>
      <c r="G10105" t="inlineStr"/>
      <c r="H10105" t="inlineStr"/>
    </row>
    <row r="10106">
      <c r="A10106" t="inlineStr">
        <is>
          <t>c91f68dd-a47c-4451-b994-c279146a96a5.jpg</t>
        </is>
      </c>
      <c r="B10106">
        <f>HYPERLINK("Объекты недвижимости, не соответствующие градостроительным нормам_00-022_Август/c91f68dd-a47c-4451-b994-c279146a96a5.jpg","open")</f>
        <v/>
      </c>
      <c r="C10106" t="inlineStr">
        <is>
          <t>789f6c51-64ee-4078-b7bd-443af8b8b68a</t>
        </is>
      </c>
      <c r="D10106" t="n">
        <v>55.7787</v>
      </c>
      <c r="E10106" t="n">
        <v>37.69129</v>
      </c>
      <c r="F10106" t="inlineStr"/>
      <c r="G10106" t="inlineStr"/>
      <c r="H10106" t="inlineStr"/>
    </row>
    <row r="10107">
      <c r="A10107" t="inlineStr">
        <is>
          <t>6b4fe081-452d-4c80-8b77-8fba06a80952.jpg</t>
        </is>
      </c>
      <c r="B10107">
        <f>HYPERLINK("Объекты недвижимости, не соответствующие градостроительным нормам_00-022_Август/6b4fe081-452d-4c80-8b77-8fba06a80952.jpg","open")</f>
        <v/>
      </c>
      <c r="C10107" t="inlineStr">
        <is>
          <t>797901ad-53b1-41b8-99d1-d59d59c863d5</t>
        </is>
      </c>
      <c r="D10107" t="n">
        <v>55.82133</v>
      </c>
      <c r="E10107" t="n">
        <v>37.79857</v>
      </c>
      <c r="F10107" t="inlineStr"/>
      <c r="G10107" t="inlineStr"/>
      <c r="H10107" t="inlineStr"/>
    </row>
    <row r="10108">
      <c r="A10108" t="inlineStr">
        <is>
          <t>370a6bb0-aca1-4925-9f85-c3e870d9e2c0.jpg</t>
        </is>
      </c>
      <c r="B10108">
        <f>HYPERLINK("Объекты недвижимости, не соответствующие градостроительным нормам_00-022_Август/370a6bb0-aca1-4925-9f85-c3e870d9e2c0.jpg","open")</f>
        <v/>
      </c>
      <c r="C10108" t="inlineStr">
        <is>
          <t>99f3abba-c55b-49f0-9de5-9f88e9597cc0</t>
        </is>
      </c>
      <c r="D10108" t="n">
        <v>55.59364</v>
      </c>
      <c r="E10108" t="n">
        <v>37.65025</v>
      </c>
      <c r="F10108" t="inlineStr"/>
      <c r="G10108" t="inlineStr"/>
      <c r="H10108" t="inlineStr"/>
    </row>
    <row r="10109">
      <c r="A10109" t="inlineStr">
        <is>
          <t>e976c7e6-8af9-47e2-b60c-62829ba77e55.jpg</t>
        </is>
      </c>
      <c r="B10109">
        <f>HYPERLINK("Объекты недвижимости, не соответствующие градостроительным нормам_00-022_Август/e976c7e6-8af9-47e2-b60c-62829ba77e55.jpg","open")</f>
        <v/>
      </c>
      <c r="C10109" t="inlineStr">
        <is>
          <t>b6b3590f-f506-4399-8205-e7ac710132e7</t>
        </is>
      </c>
      <c r="D10109" t="n">
        <v>55.83009</v>
      </c>
      <c r="E10109" t="n">
        <v>37.51107</v>
      </c>
      <c r="F10109" t="inlineStr"/>
      <c r="G10109" t="inlineStr"/>
      <c r="H10109" t="inlineStr"/>
    </row>
    <row r="10110">
      <c r="A10110" t="inlineStr">
        <is>
          <t>8900687d-7bd5-4c87-930b-ab70565f485d.jpg</t>
        </is>
      </c>
      <c r="B10110">
        <f>HYPERLINK("Объекты недвижимости, не соответствующие градостроительным нормам_00-022_Август/8900687d-7bd5-4c87-930b-ab70565f485d.jpg","open")</f>
        <v/>
      </c>
      <c r="C10110" t="inlineStr">
        <is>
          <t>b6b3590f-f506-4399-8205-e7ac710132e7</t>
        </is>
      </c>
      <c r="D10110" t="n">
        <v>55.82455</v>
      </c>
      <c r="E10110" t="n">
        <v>37.51673</v>
      </c>
      <c r="F10110" t="inlineStr"/>
      <c r="G10110" t="inlineStr"/>
      <c r="H10110" t="inlineStr"/>
    </row>
    <row r="10111">
      <c r="A10111" t="inlineStr">
        <is>
          <t>29a9f97a-e40d-4dca-a6e1-0967b7d29073.jpg</t>
        </is>
      </c>
      <c r="B10111">
        <f>HYPERLINK("Объекты недвижимости, не соответствующие градостроительным нормам_00-022_Август/29a9f97a-e40d-4dca-a6e1-0967b7d29073.jpg","open")</f>
        <v/>
      </c>
      <c r="C10111" t="inlineStr">
        <is>
          <t>fce890a6-27da-4062-a046-08262a160ee6</t>
        </is>
      </c>
      <c r="D10111" t="n">
        <v>55.8699</v>
      </c>
      <c r="E10111" t="n">
        <v>37.61036</v>
      </c>
      <c r="F10111" t="inlineStr"/>
      <c r="G10111" t="inlineStr"/>
      <c r="H10111" t="inlineStr"/>
    </row>
    <row r="10112">
      <c r="A10112" t="inlineStr">
        <is>
          <t>f3fb9c36-4c06-401d-a5e4-7ed08bb69671.jpg</t>
        </is>
      </c>
      <c r="B10112">
        <f>HYPERLINK("Объекты недвижимости, не соответствующие градостроительным нормам_00-022_Август/f3fb9c36-4c06-401d-a5e4-7ed08bb69671.jpg","open")</f>
        <v/>
      </c>
      <c r="C10112" t="inlineStr">
        <is>
          <t>b6b3590f-f506-4399-8205-e7ac710132e7</t>
        </is>
      </c>
      <c r="D10112" t="n">
        <v>55.81904</v>
      </c>
      <c r="E10112" t="n">
        <v>37.52325</v>
      </c>
      <c r="F10112" t="inlineStr"/>
      <c r="G10112" t="inlineStr"/>
      <c r="H10112" t="inlineStr"/>
    </row>
    <row r="10113">
      <c r="A10113" t="inlineStr">
        <is>
          <t>11b9a3c4-cbe4-45c8-a154-f64c53150ced.jpg</t>
        </is>
      </c>
      <c r="B10113">
        <f>HYPERLINK("Объекты недвижимости, не соответствующие градостроительным нормам_00-022_Август/11b9a3c4-cbe4-45c8-a154-f64c53150ced.jpg","open")</f>
        <v/>
      </c>
      <c r="C10113" t="inlineStr">
        <is>
          <t>fb9a37cc-57a6-447c-98bb-0b299f09c809</t>
        </is>
      </c>
      <c r="D10113" t="n">
        <v>55.81938</v>
      </c>
      <c r="E10113" t="n">
        <v>37.75156</v>
      </c>
      <c r="F10113" t="inlineStr"/>
      <c r="G10113" t="inlineStr"/>
      <c r="H10113" t="inlineStr"/>
    </row>
    <row r="10114">
      <c r="A10114" t="inlineStr">
        <is>
          <t>dd9662c7-f633-4315-9f50-6d409693fbac.jpg</t>
        </is>
      </c>
      <c r="B10114">
        <f>HYPERLINK("Объекты недвижимости, не соответствующие градостроительным нормам_00-022_Август/dd9662c7-f633-4315-9f50-6d409693fbac.jpg","open")</f>
        <v/>
      </c>
      <c r="C10114" t="inlineStr">
        <is>
          <t>b23a39fd-838c-435a-bacd-b4d6bb842c62</t>
        </is>
      </c>
      <c r="D10114" t="n">
        <v>55.81501</v>
      </c>
      <c r="E10114" t="n">
        <v>37.75289</v>
      </c>
      <c r="F10114" t="inlineStr"/>
      <c r="G10114" t="inlineStr"/>
      <c r="H10114" t="inlineStr"/>
    </row>
    <row r="10115">
      <c r="A10115" t="inlineStr">
        <is>
          <t>003e0b9b-39be-4834-bf7e-fb1774f3e6fb.jpg</t>
        </is>
      </c>
      <c r="B10115">
        <f>HYPERLINK("Объекты недвижимости, не соответствующие градостроительным нормам_00-022_Август/003e0b9b-39be-4834-bf7e-fb1774f3e6fb.jpg","open")</f>
        <v/>
      </c>
      <c r="C10115" t="inlineStr">
        <is>
          <t>57aae8a4-582b-4309-8045-c8127a9f86ae</t>
        </is>
      </c>
      <c r="D10115" t="n">
        <v>55.79598</v>
      </c>
      <c r="E10115" t="n">
        <v>37.78632</v>
      </c>
      <c r="F10115" t="inlineStr"/>
      <c r="G10115" t="inlineStr"/>
      <c r="H10115" t="inlineStr"/>
    </row>
    <row r="10116">
      <c r="A10116" t="inlineStr">
        <is>
          <t>00fb4260-cc4f-4774-a6bf-9a780431dd52.jpg</t>
        </is>
      </c>
      <c r="B10116">
        <f>HYPERLINK("Объекты недвижимости, не соответствующие градостроительным нормам_00-022_Август/00fb4260-cc4f-4774-a6bf-9a780431dd52.jpg","open")</f>
        <v/>
      </c>
      <c r="C10116" t="inlineStr">
        <is>
          <t>acedacc2-0d8b-4fc1-9622-25621a89d071</t>
        </is>
      </c>
      <c r="D10116" t="n">
        <v>55.79598</v>
      </c>
      <c r="E10116" t="n">
        <v>37.78631</v>
      </c>
      <c r="F10116" t="inlineStr"/>
      <c r="G10116" t="inlineStr"/>
      <c r="H10116" t="inlineStr"/>
    </row>
    <row r="10117">
      <c r="A10117" t="inlineStr">
        <is>
          <t>0d549b29-61e5-46c3-838f-50eb639f51fc.jpg</t>
        </is>
      </c>
      <c r="B10117">
        <f>HYPERLINK("Объекты недвижимости, не соответствующие градостроительным нормам_00-022_Август/0d549b29-61e5-46c3-838f-50eb639f51fc.jpg","open")</f>
        <v/>
      </c>
      <c r="C10117" t="inlineStr">
        <is>
          <t>57aae8a4-582b-4309-8045-c8127a9f86ae</t>
        </is>
      </c>
      <c r="D10117" t="n">
        <v>55.79598</v>
      </c>
      <c r="E10117" t="n">
        <v>37.7863</v>
      </c>
      <c r="F10117" t="inlineStr"/>
      <c r="G10117" t="inlineStr"/>
      <c r="H10117" t="inlineStr"/>
    </row>
    <row r="10118">
      <c r="A10118" t="inlineStr">
        <is>
          <t>1e0ecfc2-9fea-4ffe-a573-132385e5ca40.jpg</t>
        </is>
      </c>
      <c r="B10118">
        <f>HYPERLINK("Объекты недвижимости, не соответствующие градостроительным нормам_00-022_Август/1e0ecfc2-9fea-4ffe-a573-132385e5ca40.jpg","open")</f>
        <v/>
      </c>
      <c r="C10118" t="inlineStr">
        <is>
          <t>2acfb2da-e3f6-464c-bd17-4b713522c142</t>
        </is>
      </c>
      <c r="D10118" t="n">
        <v>55.84482</v>
      </c>
      <c r="E10118" t="n">
        <v>37.6701</v>
      </c>
      <c r="F10118" t="inlineStr"/>
      <c r="G10118" t="inlineStr"/>
      <c r="H10118" t="inlineStr"/>
    </row>
    <row r="10119">
      <c r="A10119" t="inlineStr">
        <is>
          <t>4faae280-55cb-4c7e-8e24-5d89215efad3.jpg</t>
        </is>
      </c>
      <c r="B10119">
        <f>HYPERLINK("Объекты недвижимости, не соответствующие градостроительным нормам_00-022_Август/4faae280-55cb-4c7e-8e24-5d89215efad3.jpg","open")</f>
        <v/>
      </c>
      <c r="C10119" t="inlineStr">
        <is>
          <t>5e5b9944-4f9e-4223-bf96-0bc0c8a93dfa</t>
        </is>
      </c>
      <c r="D10119" t="n">
        <v>55.71023</v>
      </c>
      <c r="E10119" t="n">
        <v>37.6648</v>
      </c>
      <c r="F10119" t="inlineStr"/>
      <c r="G10119" t="inlineStr"/>
      <c r="H10119" t="inlineStr"/>
    </row>
    <row r="10120">
      <c r="A10120" t="inlineStr">
        <is>
          <t>7ae63437-8612-4e41-8631-df33166b0e97.jpg</t>
        </is>
      </c>
      <c r="B10120">
        <f>HYPERLINK("Объекты недвижимости, не соответствующие градостроительным нормам_00-022_Август/7ae63437-8612-4e41-8631-df33166b0e97.jpg","open")</f>
        <v/>
      </c>
      <c r="C10120" t="inlineStr">
        <is>
          <t>5e5b9944-4f9e-4223-bf96-0bc0c8a93dfa</t>
        </is>
      </c>
      <c r="D10120" t="n">
        <v>55.71023</v>
      </c>
      <c r="E10120" t="n">
        <v>37.6648</v>
      </c>
      <c r="F10120" t="inlineStr"/>
      <c r="G10120" t="inlineStr"/>
      <c r="H10120" t="inlineStr"/>
    </row>
    <row r="10121">
      <c r="A10121" t="inlineStr">
        <is>
          <t>40b460c5-1983-4af6-96b3-316504c9dbec.jpg</t>
        </is>
      </c>
      <c r="B10121">
        <f>HYPERLINK("Объекты недвижимости, не соответствующие градостроительным нормам_00-022_Август/40b460c5-1983-4af6-96b3-316504c9dbec.jpg","open")</f>
        <v/>
      </c>
      <c r="C10121" t="inlineStr">
        <is>
          <t>685d9054-b74f-49ab-857b-109fd2cec80d</t>
        </is>
      </c>
      <c r="D10121" t="n">
        <v>55.66203</v>
      </c>
      <c r="E10121" t="n">
        <v>37.60499</v>
      </c>
      <c r="F10121" t="inlineStr"/>
      <c r="G10121" t="inlineStr"/>
      <c r="H10121" t="inlineStr"/>
    </row>
    <row r="10122">
      <c r="A10122" t="inlineStr">
        <is>
          <t>3edb96c9-6852-4d9d-942a-73bba6b6fd85.jpg</t>
        </is>
      </c>
      <c r="B10122">
        <f>HYPERLINK("Объекты недвижимости, не соответствующие градостроительным нормам_00-022_Август/3edb96c9-6852-4d9d-942a-73bba6b6fd85.jpg","open")</f>
        <v/>
      </c>
      <c r="C10122" t="inlineStr">
        <is>
          <t>1231bbc5-e64c-4dc7-9acc-77710f47607a</t>
        </is>
      </c>
      <c r="D10122" t="n">
        <v>55.66206</v>
      </c>
      <c r="E10122" t="n">
        <v>37.60502</v>
      </c>
      <c r="F10122" t="inlineStr"/>
      <c r="G10122" t="inlineStr"/>
      <c r="H10122" t="inlineStr"/>
    </row>
    <row r="10123">
      <c r="A10123" t="inlineStr">
        <is>
          <t>efd2077c-ca8a-4cd8-af8c-f15f918482cf.jpg</t>
        </is>
      </c>
      <c r="B10123">
        <f>HYPERLINK("Объекты недвижимости, не соответствующие градостроительным нормам_00-022_Август/efd2077c-ca8a-4cd8-af8c-f15f918482cf.jpg","open")</f>
        <v/>
      </c>
      <c r="C10123" t="inlineStr">
        <is>
          <t>fb9a37cc-57a6-447c-98bb-0b299f09c809</t>
        </is>
      </c>
      <c r="D10123" t="n">
        <v>55.81939</v>
      </c>
      <c r="E10123" t="n">
        <v>37.75146</v>
      </c>
      <c r="F10123" t="inlineStr"/>
      <c r="G10123" t="inlineStr"/>
      <c r="H10123" t="inlineStr"/>
    </row>
    <row r="10124">
      <c r="A10124" t="inlineStr">
        <is>
          <t>e2234bd7-20ad-4d99-9972-6a78fb794f4d.jpg</t>
        </is>
      </c>
      <c r="B10124">
        <f>HYPERLINK("Объекты недвижимости, не соответствующие градостроительным нормам_00-022_Август/e2234bd7-20ad-4d99-9972-6a78fb794f4d.jpg","open")</f>
        <v/>
      </c>
      <c r="C10124" t="inlineStr">
        <is>
          <t>57aae8a4-582b-4309-8045-c8127a9f86ae</t>
        </is>
      </c>
      <c r="D10124" t="n">
        <v>55.79525</v>
      </c>
      <c r="E10124" t="n">
        <v>37.78928</v>
      </c>
      <c r="F10124" t="inlineStr"/>
      <c r="G10124" t="inlineStr"/>
      <c r="H10124" t="inlineStr"/>
    </row>
    <row r="10125">
      <c r="A10125" t="inlineStr">
        <is>
          <t>c0d2f5a0-d485-43c1-910c-25acc69dbdba.jpg</t>
        </is>
      </c>
      <c r="B10125">
        <f>HYPERLINK("Объекты недвижимости, не соответствующие градостроительным нормам_00-022_Август/c0d2f5a0-d485-43c1-910c-25acc69dbdba.jpg","open")</f>
        <v/>
      </c>
      <c r="C10125" t="inlineStr">
        <is>
          <t>dd22c7c9-0046-46d8-8631-55150dbf8ae5</t>
        </is>
      </c>
      <c r="D10125" t="n">
        <v>55.88845</v>
      </c>
      <c r="E10125" t="n">
        <v>38.33947</v>
      </c>
      <c r="F10125" t="inlineStr"/>
      <c r="G10125" t="inlineStr"/>
      <c r="H10125" t="inlineStr"/>
    </row>
    <row r="10126">
      <c r="A10126" t="inlineStr">
        <is>
          <t>0d4e9d21-7703-4634-9cd6-72e91d00590c.jpg</t>
        </is>
      </c>
      <c r="B10126">
        <f>HYPERLINK("Объекты недвижимости, не соответствующие градостроительным нормам_00-022_Август/0d4e9d21-7703-4634-9cd6-72e91d00590c.jpg","open")</f>
        <v/>
      </c>
      <c r="C10126" t="inlineStr">
        <is>
          <t>fb9a37cc-57a6-447c-98bb-0b299f09c809</t>
        </is>
      </c>
      <c r="D10126" t="n">
        <v>55.8129</v>
      </c>
      <c r="E10126" t="n">
        <v>37.75301</v>
      </c>
      <c r="F10126" t="inlineStr"/>
      <c r="G10126" t="inlineStr"/>
      <c r="H10126" t="inlineStr"/>
    </row>
    <row r="10127">
      <c r="A10127" t="inlineStr">
        <is>
          <t>5ee548db-6cc9-45eb-845d-6ea4197bd16b.jpg</t>
        </is>
      </c>
      <c r="B10127">
        <f>HYPERLINK("Объекты недвижимости, не соответствующие градостроительным нормам_00-022_Август/5ee548db-6cc9-45eb-845d-6ea4197bd16b.jpg","open")</f>
        <v/>
      </c>
      <c r="C10127" t="inlineStr">
        <is>
          <t>dd22c7c9-0046-46d8-8631-55150dbf8ae5</t>
        </is>
      </c>
      <c r="D10127" t="n">
        <v>55.88845</v>
      </c>
      <c r="E10127" t="n">
        <v>38.33947</v>
      </c>
      <c r="F10127" t="inlineStr"/>
      <c r="G10127" t="inlineStr"/>
      <c r="H10127" t="inlineStr"/>
    </row>
    <row r="10128">
      <c r="A10128" t="inlineStr">
        <is>
          <t>a4c8f1c3-96d7-4496-b2fb-f8c8532dce81.jpg</t>
        </is>
      </c>
      <c r="B10128">
        <f>HYPERLINK("Объекты недвижимости, не соответствующие градостроительным нормам_00-022_Август/a4c8f1c3-96d7-4496-b2fb-f8c8532dce81.jpg","open")</f>
        <v/>
      </c>
      <c r="C10128" t="inlineStr">
        <is>
          <t>ad64e6b9-1ed5-44d7-a101-4945a1f9dec6</t>
        </is>
      </c>
      <c r="D10128" t="n">
        <v>55.57785</v>
      </c>
      <c r="E10128" t="n">
        <v>37.57541</v>
      </c>
      <c r="F10128" t="inlineStr"/>
      <c r="G10128" t="inlineStr"/>
      <c r="H10128" t="inlineStr"/>
    </row>
    <row r="10129">
      <c r="A10129" t="inlineStr">
        <is>
          <t>c6d5d5ae-1999-4fda-808f-4701fee6c258.jpg</t>
        </is>
      </c>
      <c r="B10129">
        <f>HYPERLINK("Объекты недвижимости, не соответствующие градостроительным нормам_00-022_Август/c6d5d5ae-1999-4fda-808f-4701fee6c258.jpg","open")</f>
        <v/>
      </c>
      <c r="C10129" t="inlineStr">
        <is>
          <t>12e795ad-2aa7-49de-b2da-2c6aa35a4559</t>
        </is>
      </c>
      <c r="D10129" t="n">
        <v>55.5779</v>
      </c>
      <c r="E10129" t="n">
        <v>37.57541</v>
      </c>
      <c r="F10129" t="inlineStr"/>
      <c r="G10129" t="inlineStr"/>
      <c r="H10129" t="inlineStr"/>
    </row>
    <row r="10130">
      <c r="A10130" t="inlineStr">
        <is>
          <t>f4a701d3-93e8-4658-afb0-24b5f8905662.jpg</t>
        </is>
      </c>
      <c r="B10130">
        <f>HYPERLINK("Объекты недвижимости, не соответствующие градостроительным нормам_00-022_Август/f4a701d3-93e8-4658-afb0-24b5f8905662.jpg","open")</f>
        <v/>
      </c>
      <c r="C10130" t="inlineStr">
        <is>
          <t>db8b536c-32f2-4d9a-ae08-679d227e61f1</t>
        </is>
      </c>
      <c r="D10130" t="n">
        <v>55.68185</v>
      </c>
      <c r="E10130" t="n">
        <v>37.56745</v>
      </c>
      <c r="F10130" t="inlineStr"/>
      <c r="G10130" t="inlineStr"/>
      <c r="H10130" t="inlineStr"/>
    </row>
    <row r="10131">
      <c r="A10131" t="inlineStr">
        <is>
          <t>a6b52eed-200c-4c33-b870-60f499072c61.jpg</t>
        </is>
      </c>
      <c r="B10131">
        <f>HYPERLINK("Объекты недвижимости, не соответствующие градостроительным нормам_00-022_Август/a6b52eed-200c-4c33-b870-60f499072c61.jpg","open")</f>
        <v/>
      </c>
      <c r="C10131" t="inlineStr">
        <is>
          <t>8b2675e2-7f40-47a9-a462-7c9feecd299c</t>
        </is>
      </c>
      <c r="D10131" t="n">
        <v>55.82175</v>
      </c>
      <c r="E10131" t="n">
        <v>37.1105</v>
      </c>
      <c r="F10131" t="inlineStr"/>
      <c r="G10131" t="inlineStr"/>
      <c r="H10131" t="inlineStr"/>
    </row>
    <row r="10132">
      <c r="A10132" t="inlineStr">
        <is>
          <t>fb14fbf2-507a-4e15-9de7-93a5c5199965.jpg</t>
        </is>
      </c>
      <c r="B10132">
        <f>HYPERLINK("Объекты недвижимости, не соответствующие градостроительным нормам_00-022_Август/fb14fbf2-507a-4e15-9de7-93a5c5199965.jpg","open")</f>
        <v/>
      </c>
      <c r="C10132" t="inlineStr">
        <is>
          <t>29ad9edb-d533-4272-a986-be24eb004851</t>
        </is>
      </c>
      <c r="D10132" t="n">
        <v>55.75155</v>
      </c>
      <c r="E10132" t="n">
        <v>37.66339</v>
      </c>
      <c r="F10132" t="inlineStr"/>
      <c r="G10132" t="inlineStr"/>
      <c r="H10132" t="inlineStr"/>
    </row>
    <row r="10133">
      <c r="A10133" t="inlineStr">
        <is>
          <t>5fab78bc-7d59-45dc-8dcf-4c1b807dbafd.jpg</t>
        </is>
      </c>
      <c r="B10133">
        <f>HYPERLINK("Объекты недвижимости, не соответствующие градостроительным нормам_00-022_Август/5fab78bc-7d59-45dc-8dcf-4c1b807dbafd.jpg","open")</f>
        <v/>
      </c>
      <c r="C10133" t="inlineStr">
        <is>
          <t>9f88688f-4c81-42a8-b76a-3c3e7edf869e</t>
        </is>
      </c>
      <c r="D10133" t="n">
        <v>55.86757</v>
      </c>
      <c r="E10133" t="n">
        <v>37.61577</v>
      </c>
      <c r="F10133" t="inlineStr"/>
      <c r="G10133" t="inlineStr"/>
      <c r="H10133" t="inlineStr"/>
    </row>
    <row r="10134">
      <c r="A10134" t="inlineStr">
        <is>
          <t>b2bfd44a-6cd3-4230-b957-301a061c1bb6.jpg</t>
        </is>
      </c>
      <c r="B10134">
        <f>HYPERLINK("Объекты недвижимости, не соответствующие градостроительным нормам_00-022_Август/b2bfd44a-6cd3-4230-b957-301a061c1bb6.jpg","open")</f>
        <v/>
      </c>
      <c r="C10134" t="inlineStr">
        <is>
          <t>9f88688f-4c81-42a8-b76a-3c3e7edf869e</t>
        </is>
      </c>
      <c r="D10134" t="n">
        <v>55.8675</v>
      </c>
      <c r="E10134" t="n">
        <v>37.61576</v>
      </c>
      <c r="F10134" t="inlineStr"/>
      <c r="G10134" t="inlineStr"/>
      <c r="H10134" t="inlineStr"/>
    </row>
    <row r="10135">
      <c r="A10135" t="inlineStr">
        <is>
          <t>411b3c85-9076-401c-9d38-8b63b0ac1617.jpg</t>
        </is>
      </c>
      <c r="B10135">
        <f>HYPERLINK("Объекты недвижимости, не соответствующие градостроительным нормам_00-022_Август/411b3c85-9076-401c-9d38-8b63b0ac1617.jpg","open")</f>
        <v/>
      </c>
      <c r="C10135" t="inlineStr">
        <is>
          <t>fce890a6-27da-4062-a046-08262a160ee6</t>
        </is>
      </c>
      <c r="D10135" t="n">
        <v>55.86746</v>
      </c>
      <c r="E10135" t="n">
        <v>37.61575</v>
      </c>
      <c r="F10135" t="inlineStr"/>
      <c r="G10135" t="inlineStr"/>
      <c r="H10135" t="inlineStr"/>
    </row>
    <row r="10136">
      <c r="A10136" t="inlineStr">
        <is>
          <t>ba9ced41-f327-4f1c-a34c-3306c077234c.jpg</t>
        </is>
      </c>
      <c r="B10136">
        <f>HYPERLINK("Объекты недвижимости, не соответствующие градостроительным нормам_00-022_Август/ba9ced41-f327-4f1c-a34c-3306c077234c.jpg","open")</f>
        <v/>
      </c>
      <c r="C10136" t="inlineStr">
        <is>
          <t>fce890a6-27da-4062-a046-08262a160ee6</t>
        </is>
      </c>
      <c r="D10136" t="n">
        <v>55.8674</v>
      </c>
      <c r="E10136" t="n">
        <v>37.61575</v>
      </c>
      <c r="F10136" t="inlineStr"/>
      <c r="G10136" t="inlineStr"/>
      <c r="H10136" t="inlineStr"/>
    </row>
    <row r="10137">
      <c r="A10137" t="inlineStr">
        <is>
          <t>0857c6c6-0e57-4a64-8893-3ba46352b3d4.jpg</t>
        </is>
      </c>
      <c r="B10137">
        <f>HYPERLINK("Объекты недвижимости, не соответствующие градостроительным нормам_00-022_Август/0857c6c6-0e57-4a64-8893-3ba46352b3d4.jpg","open")</f>
        <v/>
      </c>
      <c r="C10137" t="inlineStr">
        <is>
          <t>fce890a6-27da-4062-a046-08262a160ee6</t>
        </is>
      </c>
      <c r="D10137" t="n">
        <v>55.8674</v>
      </c>
      <c r="E10137" t="n">
        <v>37.61575</v>
      </c>
      <c r="F10137" t="inlineStr"/>
      <c r="G10137" t="inlineStr"/>
      <c r="H10137" t="inlineStr"/>
    </row>
    <row r="10138">
      <c r="A10138" t="inlineStr">
        <is>
          <t>88ec4d5d-c4d9-46c6-97a0-dbfbbc6006b7.jpg</t>
        </is>
      </c>
      <c r="B10138">
        <f>HYPERLINK("Объекты недвижимости, не соответствующие градостроительным нормам_00-022_Август/88ec4d5d-c4d9-46c6-97a0-dbfbbc6006b7.jpg","open")</f>
        <v/>
      </c>
      <c r="C10138" t="inlineStr">
        <is>
          <t>fce890a6-27da-4062-a046-08262a160ee6</t>
        </is>
      </c>
      <c r="D10138" t="n">
        <v>55.8674</v>
      </c>
      <c r="E10138" t="n">
        <v>37.61575</v>
      </c>
      <c r="F10138" t="inlineStr"/>
      <c r="G10138" t="inlineStr"/>
      <c r="H10138" t="inlineStr"/>
    </row>
    <row r="10139">
      <c r="A10139" t="inlineStr">
        <is>
          <t>e8273143-7fbf-47b3-add5-306560826c87.jpg</t>
        </is>
      </c>
      <c r="B10139">
        <f>HYPERLINK("Объекты недвижимости, не соответствующие градостроительным нормам_00-022_Август/e8273143-7fbf-47b3-add5-306560826c87.jpg","open")</f>
        <v/>
      </c>
      <c r="C10139" t="inlineStr">
        <is>
          <t>fce890a6-27da-4062-a046-08262a160ee6</t>
        </is>
      </c>
      <c r="D10139" t="n">
        <v>55.86739</v>
      </c>
      <c r="E10139" t="n">
        <v>37.61575</v>
      </c>
      <c r="F10139" t="inlineStr"/>
      <c r="G10139" t="inlineStr"/>
      <c r="H10139" t="inlineStr"/>
    </row>
    <row r="10140">
      <c r="A10140" t="inlineStr">
        <is>
          <t>8da06ad3-cdf2-4944-bd61-9bc7eda18a22.jpg</t>
        </is>
      </c>
      <c r="B10140">
        <f>HYPERLINK("Объекты недвижимости, не соответствующие градостроительным нормам_00-022_Август/8da06ad3-cdf2-4944-bd61-9bc7eda18a22.jpg","open")</f>
        <v/>
      </c>
      <c r="C10140" t="inlineStr">
        <is>
          <t>b0b7ea82-53be-40d0-b992-e2fd18611d5c</t>
        </is>
      </c>
      <c r="D10140" t="n">
        <v>55.7166</v>
      </c>
      <c r="E10140" t="n">
        <v>37.7368</v>
      </c>
      <c r="F10140" t="inlineStr"/>
      <c r="G10140" t="inlineStr"/>
      <c r="H10140" t="inlineStr"/>
    </row>
    <row r="10141">
      <c r="A10141" t="inlineStr">
        <is>
          <t>7e1828d4-bfdc-4901-8823-d14bb551980d.jpg</t>
        </is>
      </c>
      <c r="B10141">
        <f>HYPERLINK("Объекты недвижимости, не соответствующие градостроительным нормам_00-022_Август/7e1828d4-bfdc-4901-8823-d14bb551980d.jpg","open")</f>
        <v/>
      </c>
      <c r="C10141" t="inlineStr">
        <is>
          <t>f20fbc2b-b369-4734-bb66-92af02fbb0d1</t>
        </is>
      </c>
      <c r="D10141" t="n">
        <v>55.7166</v>
      </c>
      <c r="E10141" t="n">
        <v>37.7368</v>
      </c>
      <c r="F10141" t="inlineStr"/>
      <c r="G10141" t="inlineStr"/>
      <c r="H10141" t="inlineStr"/>
    </row>
    <row r="10142">
      <c r="A10142" t="inlineStr">
        <is>
          <t>e9d850b7-1d9f-4f3c-b956-7cf094909fd3.jpg</t>
        </is>
      </c>
      <c r="B10142">
        <f>HYPERLINK("Объекты недвижимости, не соответствующие градостроительным нормам_00-022_Август/e9d850b7-1d9f-4f3c-b956-7cf094909fd3.jpg","open")</f>
        <v/>
      </c>
      <c r="C10142" t="inlineStr">
        <is>
          <t>b0b7ea82-53be-40d0-b992-e2fd18611d5c</t>
        </is>
      </c>
      <c r="D10142" t="n">
        <v>55.7166</v>
      </c>
      <c r="E10142" t="n">
        <v>37.7368</v>
      </c>
      <c r="F10142" t="inlineStr"/>
      <c r="G10142" t="inlineStr"/>
      <c r="H10142" t="inlineStr"/>
    </row>
    <row r="10143">
      <c r="A10143" t="inlineStr">
        <is>
          <t>e5fed8cd-9480-41d0-97c8-e1ad381a7d23.jpg</t>
        </is>
      </c>
      <c r="B10143">
        <f>HYPERLINK("Объекты недвижимости, не соответствующие градостроительным нормам_00-022_Август/e5fed8cd-9480-41d0-97c8-e1ad381a7d23.jpg","open")</f>
        <v/>
      </c>
      <c r="C10143" t="inlineStr">
        <is>
          <t>57aae8a4-582b-4309-8045-c8127a9f86ae</t>
        </is>
      </c>
      <c r="D10143" t="n">
        <v>55.79291</v>
      </c>
      <c r="E10143" t="n">
        <v>37.78299</v>
      </c>
      <c r="F10143" t="inlineStr"/>
      <c r="G10143" t="inlineStr"/>
      <c r="H10143" t="inlineStr"/>
    </row>
    <row r="10144">
      <c r="A10144" t="inlineStr">
        <is>
          <t>b60bd37a-2f1b-473a-bef6-eeb81524fd2c.jpg</t>
        </is>
      </c>
      <c r="B10144">
        <f>HYPERLINK("Объекты недвижимости, не соответствующие градостроительным нормам_00-022_Август/b60bd37a-2f1b-473a-bef6-eeb81524fd2c.jpg","open")</f>
        <v/>
      </c>
      <c r="C10144" t="inlineStr">
        <is>
          <t>9f88688f-4c81-42a8-b76a-3c3e7edf869e</t>
        </is>
      </c>
      <c r="D10144" t="n">
        <v>55.86739</v>
      </c>
      <c r="E10144" t="n">
        <v>37.61575</v>
      </c>
      <c r="F10144" t="inlineStr"/>
      <c r="G10144" t="inlineStr"/>
      <c r="H10144" t="inlineStr"/>
    </row>
    <row r="10145">
      <c r="A10145" t="inlineStr">
        <is>
          <t>fa374a33-6aa2-4f02-8dd1-1bc13ad6ffb2.jpg</t>
        </is>
      </c>
      <c r="B10145">
        <f>HYPERLINK("Объекты недвижимости, не соответствующие градостроительным нормам_00-022_Август/fa374a33-6aa2-4f02-8dd1-1bc13ad6ffb2.jpg","open")</f>
        <v/>
      </c>
      <c r="C10145" t="inlineStr">
        <is>
          <t>fce890a6-27da-4062-a046-08262a160ee6</t>
        </is>
      </c>
      <c r="D10145" t="n">
        <v>55.86739</v>
      </c>
      <c r="E10145" t="n">
        <v>37.61575</v>
      </c>
      <c r="F10145" t="inlineStr"/>
      <c r="G10145" t="inlineStr"/>
      <c r="H10145" t="inlineStr"/>
    </row>
    <row r="10146">
      <c r="A10146" t="inlineStr">
        <is>
          <t>0451cee3-13c4-4305-81a7-aa1781c7730b.jpg</t>
        </is>
      </c>
      <c r="B10146">
        <f>HYPERLINK("Объекты недвижимости, не соответствующие градостроительным нормам_00-022_Август/0451cee3-13c4-4305-81a7-aa1781c7730b.jpg","open")</f>
        <v/>
      </c>
      <c r="C10146" t="inlineStr">
        <is>
          <t>b0b7ea82-53be-40d0-b992-e2fd18611d5c</t>
        </is>
      </c>
      <c r="D10146" t="n">
        <v>55.7166</v>
      </c>
      <c r="E10146" t="n">
        <v>37.7368</v>
      </c>
      <c r="F10146" t="inlineStr"/>
      <c r="G10146" t="inlineStr"/>
      <c r="H10146" t="inlineStr"/>
    </row>
    <row r="10147">
      <c r="A10147" t="inlineStr">
        <is>
          <t>318a4afa-7d8b-4f2d-b050-de581027d62c.jpg</t>
        </is>
      </c>
      <c r="B10147">
        <f>HYPERLINK("Объекты недвижимости, не соответствующие градостроительным нормам_00-022_Август/318a4afa-7d8b-4f2d-b050-de581027d62c.jpg","open")</f>
        <v/>
      </c>
      <c r="C10147" t="inlineStr">
        <is>
          <t>f20fbc2b-b369-4734-bb66-92af02fbb0d1</t>
        </is>
      </c>
      <c r="D10147" t="n">
        <v>55.7166</v>
      </c>
      <c r="E10147" t="n">
        <v>37.7368</v>
      </c>
      <c r="F10147" t="inlineStr"/>
      <c r="G10147" t="inlineStr"/>
      <c r="H10147" t="inlineStr"/>
    </row>
    <row r="10148">
      <c r="A10148" t="inlineStr">
        <is>
          <t>d17d9833-6e65-447b-8b69-7994fb375c41.jpg</t>
        </is>
      </c>
      <c r="B10148">
        <f>HYPERLINK("Объекты недвижимости, не соответствующие градостроительным нормам_00-022_Август/d17d9833-6e65-447b-8b69-7994fb375c41.jpg","open")</f>
        <v/>
      </c>
      <c r="C10148" t="inlineStr">
        <is>
          <t>29ad9edb-d533-4272-a986-be24eb004851</t>
        </is>
      </c>
      <c r="D10148" t="n">
        <v>55.75693</v>
      </c>
      <c r="E10148" t="n">
        <v>37.67897</v>
      </c>
      <c r="F10148" t="inlineStr"/>
      <c r="G10148" t="inlineStr"/>
      <c r="H10148" t="inlineStr"/>
    </row>
    <row r="10149">
      <c r="A10149" t="inlineStr">
        <is>
          <t>f913f4c1-d7eb-49c0-8cdf-adde650b20f8.jpg</t>
        </is>
      </c>
      <c r="B10149">
        <f>HYPERLINK("Объекты недвижимости, не соответствующие градостроительным нормам_00-022_Август/f913f4c1-d7eb-49c0-8cdf-adde650b20f8.jpg","open")</f>
        <v/>
      </c>
      <c r="C10149" t="inlineStr">
        <is>
          <t>61936922-4d4b-458e-80ea-6d4c450aa1d5</t>
        </is>
      </c>
      <c r="D10149" t="n">
        <v>55.66186</v>
      </c>
      <c r="E10149" t="n">
        <v>37.48712</v>
      </c>
      <c r="F10149" t="inlineStr"/>
      <c r="G10149" t="inlineStr"/>
      <c r="H10149" t="inlineStr"/>
    </row>
    <row r="10150">
      <c r="A10150" t="inlineStr">
        <is>
          <t>65df4e7f-02cd-4b75-9d3d-3bbb9e890d18.jpg</t>
        </is>
      </c>
      <c r="B10150">
        <f>HYPERLINK("Объекты недвижимости, не соответствующие градостроительным нормам_00-022_Август/65df4e7f-02cd-4b75-9d3d-3bbb9e890d18.jpg","open")</f>
        <v/>
      </c>
      <c r="C10150" t="inlineStr">
        <is>
          <t>29ad9edb-d533-4272-a986-be24eb004851</t>
        </is>
      </c>
      <c r="D10150" t="n">
        <v>55.75693</v>
      </c>
      <c r="E10150" t="n">
        <v>37.67897</v>
      </c>
      <c r="F10150" t="inlineStr"/>
      <c r="G10150" t="inlineStr"/>
      <c r="H10150" t="inlineStr"/>
    </row>
    <row r="10151">
      <c r="A10151" t="inlineStr">
        <is>
          <t>26722c6a-0606-4acd-a161-63cf45fdfc87.jpg</t>
        </is>
      </c>
      <c r="B10151">
        <f>HYPERLINK("Объекты недвижимости, не соответствующие градостроительным нормам_00-022_Август/26722c6a-0606-4acd-a161-63cf45fdfc87.jpg","open")</f>
        <v/>
      </c>
      <c r="C10151" t="inlineStr">
        <is>
          <t>750bf7e4-0f0f-4f1a-96af-607dc8c1f1c9</t>
        </is>
      </c>
      <c r="D10151" t="n">
        <v>55.87863</v>
      </c>
      <c r="E10151" t="n">
        <v>37.64302</v>
      </c>
      <c r="F10151" t="inlineStr"/>
      <c r="G10151" t="inlineStr"/>
      <c r="H10151" t="inlineStr"/>
    </row>
    <row r="10152">
      <c r="A10152" t="inlineStr">
        <is>
          <t>b1cf4771-45f4-45b2-9308-90801cf77eae.jpg</t>
        </is>
      </c>
      <c r="B10152">
        <f>HYPERLINK("Объекты недвижимости, не соответствующие градостроительным нормам_00-022_Август/b1cf4771-45f4-45b2-9308-90801cf77eae.jpg","open")</f>
        <v/>
      </c>
      <c r="C10152" t="inlineStr">
        <is>
          <t>9fb3d110-951f-48da-9d90-cfd7e1b5800d</t>
        </is>
      </c>
      <c r="D10152" t="n">
        <v>55.66079</v>
      </c>
      <c r="E10152" t="n">
        <v>37.48788</v>
      </c>
      <c r="F10152" t="inlineStr"/>
      <c r="G10152" t="inlineStr"/>
      <c r="H10152" t="inlineStr"/>
    </row>
    <row r="10153">
      <c r="A10153" t="inlineStr">
        <is>
          <t>aa7c2d65-58fc-4886-9fdf-b84bc7b9f272.jpg</t>
        </is>
      </c>
      <c r="B10153">
        <f>HYPERLINK("Объекты недвижимости, не соответствующие градостроительным нормам_00-022_Август/aa7c2d65-58fc-4886-9fdf-b84bc7b9f272.jpg","open")</f>
        <v/>
      </c>
      <c r="C10153" t="inlineStr">
        <is>
          <t>dd22c7c9-0046-46d8-8631-55150dbf8ae5</t>
        </is>
      </c>
      <c r="D10153" t="n">
        <v>55.88845</v>
      </c>
      <c r="E10153" t="n">
        <v>38.33947</v>
      </c>
      <c r="F10153" t="inlineStr"/>
      <c r="G10153" t="inlineStr"/>
      <c r="H10153" t="inlineStr"/>
    </row>
    <row r="10154">
      <c r="A10154" t="inlineStr">
        <is>
          <t>37809a16-8c3c-4131-9da7-ab293a4b3a0d.jpg</t>
        </is>
      </c>
      <c r="B10154">
        <f>HYPERLINK("Объекты недвижимости, не соответствующие градостроительным нормам_00-022_Август/37809a16-8c3c-4131-9da7-ab293a4b3a0d.jpg","open")</f>
        <v/>
      </c>
      <c r="C10154" t="inlineStr">
        <is>
          <t>dd22c7c9-0046-46d8-8631-55150dbf8ae5</t>
        </is>
      </c>
      <c r="D10154" t="n">
        <v>55.88845</v>
      </c>
      <c r="E10154" t="n">
        <v>38.33947</v>
      </c>
      <c r="F10154" t="inlineStr"/>
      <c r="G10154" t="inlineStr"/>
      <c r="H10154" t="inlineStr"/>
    </row>
    <row r="10155">
      <c r="A10155" t="inlineStr">
        <is>
          <t>54537b69-7091-42b6-a550-87878dec67c3.jpg</t>
        </is>
      </c>
      <c r="B10155">
        <f>HYPERLINK("Объекты недвижимости, не соответствующие градостроительным нормам_00-022_Август/54537b69-7091-42b6-a550-87878dec67c3.jpg","open")</f>
        <v/>
      </c>
      <c r="C10155" t="inlineStr">
        <is>
          <t>29ad9edb-d533-4272-a986-be24eb004851</t>
        </is>
      </c>
      <c r="D10155" t="n">
        <v>55.75693</v>
      </c>
      <c r="E10155" t="n">
        <v>37.67897</v>
      </c>
      <c r="F10155" t="inlineStr"/>
      <c r="G10155" t="inlineStr"/>
      <c r="H10155" t="inlineStr"/>
    </row>
    <row r="10156">
      <c r="A10156" t="inlineStr">
        <is>
          <t>55ef67a2-d987-46dd-8c14-5ba95777932f.jpg</t>
        </is>
      </c>
      <c r="B10156">
        <f>HYPERLINK("Объекты недвижимости, не соответствующие градостроительным нормам_00-022_Август/55ef67a2-d987-46dd-8c14-5ba95777932f.jpg","open")</f>
        <v/>
      </c>
      <c r="C10156" t="inlineStr">
        <is>
          <t>dd22c7c9-0046-46d8-8631-55150dbf8ae5</t>
        </is>
      </c>
      <c r="D10156" t="n">
        <v>55.88845</v>
      </c>
      <c r="E10156" t="n">
        <v>38.33947</v>
      </c>
      <c r="F10156" t="inlineStr"/>
      <c r="G10156" t="inlineStr"/>
      <c r="H10156" t="inlineStr"/>
    </row>
    <row r="10157">
      <c r="A10157" t="inlineStr">
        <is>
          <t>b283e671-a5a2-45f6-9c45-a33d761f2909.jpg</t>
        </is>
      </c>
      <c r="B10157">
        <f>HYPERLINK("Объекты недвижимости, не соответствующие градостроительным нормам_00-022_Август/b283e671-a5a2-45f6-9c45-a33d761f2909.jpg","open")</f>
        <v/>
      </c>
      <c r="C10157" t="inlineStr">
        <is>
          <t>af173c70-3716-4040-aa0b-1be99e78abe8</t>
        </is>
      </c>
      <c r="D10157" t="n">
        <v>55.88845</v>
      </c>
      <c r="E10157" t="n">
        <v>38.33947</v>
      </c>
      <c r="F10157" t="inlineStr"/>
      <c r="G10157" t="inlineStr"/>
      <c r="H10157" t="inlineStr"/>
    </row>
    <row r="10158">
      <c r="A10158" t="inlineStr">
        <is>
          <t>45f139a6-03f6-4f88-aac8-b777222481e3.jpg</t>
        </is>
      </c>
      <c r="B10158">
        <f>HYPERLINK("Объекты недвижимости, не соответствующие градостроительным нормам_00-022_Август/45f139a6-03f6-4f88-aac8-b777222481e3.jpg","open")</f>
        <v/>
      </c>
      <c r="C10158" t="inlineStr">
        <is>
          <t>93848fc8-17e7-4748-9ebc-c7e379e11d2f</t>
        </is>
      </c>
      <c r="D10158" t="n">
        <v>55.5118</v>
      </c>
      <c r="E10158" t="n">
        <v>37.57458</v>
      </c>
      <c r="F10158" t="inlineStr"/>
      <c r="G10158" t="inlineStr"/>
      <c r="H10158" t="inlineStr"/>
    </row>
    <row r="10159">
      <c r="A10159" t="inlineStr">
        <is>
          <t>5cc26f25-edf4-4e70-b844-3bc4c7f7a673.jpg</t>
        </is>
      </c>
      <c r="B10159">
        <f>HYPERLINK("Объекты недвижимости, не соответствующие градостроительным нормам_00-022_Август/5cc26f25-edf4-4e70-b844-3bc4c7f7a673.jpg","open")</f>
        <v/>
      </c>
      <c r="C10159" t="inlineStr">
        <is>
          <t>fb9a37cc-57a6-447c-98bb-0b299f09c809</t>
        </is>
      </c>
      <c r="D10159" t="n">
        <v>55.82899</v>
      </c>
      <c r="E10159" t="n">
        <v>37.76874</v>
      </c>
      <c r="F10159" t="inlineStr"/>
      <c r="G10159" t="inlineStr"/>
      <c r="H10159" t="inlineStr"/>
    </row>
    <row r="10160">
      <c r="A10160" t="inlineStr">
        <is>
          <t>e5b5a34b-9c41-4f27-9b89-ff4a989e91ef.jpg</t>
        </is>
      </c>
      <c r="B10160">
        <f>HYPERLINK("Объекты недвижимости, не соответствующие градостроительным нормам_00-022_Август/e5b5a34b-9c41-4f27-9b89-ff4a989e91ef.jpg","open")</f>
        <v/>
      </c>
      <c r="C10160" t="inlineStr">
        <is>
          <t>93848fc8-17e7-4748-9ebc-c7e379e11d2f</t>
        </is>
      </c>
      <c r="D10160" t="n">
        <v>55.51067</v>
      </c>
      <c r="E10160" t="n">
        <v>37.57534</v>
      </c>
      <c r="F10160" t="inlineStr"/>
      <c r="G10160" t="inlineStr"/>
      <c r="H10160" t="inlineStr"/>
    </row>
    <row r="10161">
      <c r="A10161" t="inlineStr">
        <is>
          <t>3cc9b7fc-d3a5-4f44-a2d1-e74689ffd37c.jpg</t>
        </is>
      </c>
      <c r="B10161">
        <f>HYPERLINK("Объекты недвижимости, не соответствующие градостроительным нормам_00-022_Август/3cc9b7fc-d3a5-4f44-a2d1-e74689ffd37c.jpg","open")</f>
        <v/>
      </c>
      <c r="C10161" t="inlineStr">
        <is>
          <t>9fb3d110-951f-48da-9d90-cfd7e1b5800d</t>
        </is>
      </c>
      <c r="D10161" t="n">
        <v>55.66498</v>
      </c>
      <c r="E10161" t="n">
        <v>37.48925</v>
      </c>
      <c r="F10161" t="inlineStr"/>
      <c r="G10161" t="inlineStr"/>
      <c r="H10161" t="inlineStr"/>
    </row>
    <row r="10162">
      <c r="A10162" t="inlineStr">
        <is>
          <t>a1d4b2bb-2bbf-4b6d-8eb7-9b97768716e9.jpg</t>
        </is>
      </c>
      <c r="B10162">
        <f>HYPERLINK("Объекты недвижимости, не соответствующие градостроительным нормам_00-022_Август/a1d4b2bb-2bbf-4b6d-8eb7-9b97768716e9.jpg","open")</f>
        <v/>
      </c>
      <c r="C10162" t="inlineStr">
        <is>
          <t>61936922-4d4b-458e-80ea-6d4c450aa1d5</t>
        </is>
      </c>
      <c r="D10162" t="n">
        <v>55.66496</v>
      </c>
      <c r="E10162" t="n">
        <v>37.48924</v>
      </c>
      <c r="F10162" t="inlineStr"/>
      <c r="G10162" t="inlineStr"/>
      <c r="H10162" t="inlineStr"/>
    </row>
    <row r="10163">
      <c r="A10163" t="inlineStr">
        <is>
          <t>e47836e7-b388-45ef-ae27-548caf4709cd.jpg</t>
        </is>
      </c>
      <c r="B10163">
        <f>HYPERLINK("Объекты недвижимости, не соответствующие градостроительным нормам_00-022_Август/e47836e7-b388-45ef-ae27-548caf4709cd.jpg","open")</f>
        <v/>
      </c>
      <c r="C10163" t="inlineStr">
        <is>
          <t>c008bda0-324b-4c90-9c2f-36cfc930e0b5</t>
        </is>
      </c>
      <c r="D10163" t="n">
        <v>55.74233</v>
      </c>
      <c r="E10163" t="n">
        <v>37.68095</v>
      </c>
      <c r="F10163" t="inlineStr"/>
      <c r="G10163" t="inlineStr"/>
      <c r="H10163" t="inlineStr"/>
    </row>
    <row r="10164">
      <c r="A10164" t="inlineStr">
        <is>
          <t>96ea5654-11a8-484c-8484-8149efdb7d47.jpg</t>
        </is>
      </c>
      <c r="B10164">
        <f>HYPERLINK("Объекты недвижимости, не соответствующие градостроительным нормам_00-022_Август/96ea5654-11a8-484c-8484-8149efdb7d47.jpg","open")</f>
        <v/>
      </c>
      <c r="C10164" t="inlineStr">
        <is>
          <t>b0429a31-0c70-4b9f-8ea5-73929d82f89e</t>
        </is>
      </c>
      <c r="D10164" t="n">
        <v>55.5815</v>
      </c>
      <c r="E10164" t="n">
        <v>37.65639</v>
      </c>
      <c r="F10164" t="inlineStr"/>
      <c r="G10164" t="inlineStr"/>
      <c r="H10164" t="inlineStr"/>
    </row>
    <row r="10165">
      <c r="A10165" t="inlineStr">
        <is>
          <t>a36045c7-c1b9-409b-ac15-4f5d1fe0ad97.jpg</t>
        </is>
      </c>
      <c r="B10165">
        <f>HYPERLINK("Объекты недвижимости, не соответствующие градостроительным нормам_00-022_Август/a36045c7-c1b9-409b-ac15-4f5d1fe0ad97.jpg","open")</f>
        <v/>
      </c>
      <c r="C10165" t="inlineStr">
        <is>
          <t>b0429a31-0c70-4b9f-8ea5-73929d82f89e</t>
        </is>
      </c>
      <c r="D10165" t="n">
        <v>55.58144</v>
      </c>
      <c r="E10165" t="n">
        <v>37.65618</v>
      </c>
      <c r="F10165" t="inlineStr"/>
      <c r="G10165" t="inlineStr"/>
      <c r="H10165" t="inlineStr"/>
    </row>
    <row r="10166">
      <c r="A10166" t="inlineStr">
        <is>
          <t>913c107f-a3c8-48cd-a709-e64b8b3205f3.jpg</t>
        </is>
      </c>
      <c r="B10166">
        <f>HYPERLINK("Объекты недвижимости, не соответствующие градостроительным нормам_00-022_Август/913c107f-a3c8-48cd-a709-e64b8b3205f3.jpg","open")</f>
        <v/>
      </c>
      <c r="C10166" t="inlineStr">
        <is>
          <t>29ad9edb-d533-4272-a986-be24eb004851</t>
        </is>
      </c>
      <c r="D10166" t="n">
        <v>55.72508</v>
      </c>
      <c r="E10166" t="n">
        <v>37.47105</v>
      </c>
      <c r="F10166" t="inlineStr"/>
      <c r="G10166" t="inlineStr"/>
      <c r="H10166" t="inlineStr"/>
    </row>
    <row r="10167">
      <c r="A10167" t="inlineStr">
        <is>
          <t>ecd7d2e9-1ced-4710-a45a-c3dee8dfde03.jpg</t>
        </is>
      </c>
      <c r="B10167">
        <f>HYPERLINK("Объекты недвижимости, не соответствующие градостроительным нормам_00-022_Август/ecd7d2e9-1ced-4710-a45a-c3dee8dfde03.jpg","open")</f>
        <v/>
      </c>
      <c r="C10167" t="inlineStr">
        <is>
          <t>685d9054-b74f-49ab-857b-109fd2cec80d</t>
        </is>
      </c>
      <c r="D10167" t="n">
        <v>55.65347</v>
      </c>
      <c r="E10167" t="n">
        <v>37.60258</v>
      </c>
      <c r="F10167" t="inlineStr"/>
      <c r="G10167" t="inlineStr"/>
      <c r="H10167" t="inlineStr"/>
    </row>
    <row r="10168">
      <c r="A10168" t="inlineStr">
        <is>
          <t>14a67c23-a5ff-4da1-a9ce-8664dbc27044.jpg</t>
        </is>
      </c>
      <c r="B10168">
        <f>HYPERLINK("Объекты недвижимости, не соответствующие градостроительным нормам_00-022_Август/14a67c23-a5ff-4da1-a9ce-8664dbc27044.jpg","open")</f>
        <v/>
      </c>
      <c r="C10168" t="inlineStr">
        <is>
          <t>9fb3d110-951f-48da-9d90-cfd7e1b5800d</t>
        </is>
      </c>
      <c r="D10168" t="n">
        <v>55.66505</v>
      </c>
      <c r="E10168" t="n">
        <v>37.48902</v>
      </c>
      <c r="F10168" t="inlineStr"/>
      <c r="G10168" t="inlineStr"/>
      <c r="H10168" t="inlineStr"/>
    </row>
    <row r="10169">
      <c r="A10169" t="inlineStr">
        <is>
          <t>b2c92cc5-f93e-4759-8821-229a0a250755.jpg</t>
        </is>
      </c>
      <c r="B10169">
        <f>HYPERLINK("Объекты недвижимости, не соответствующие градостроительным нормам_00-022_Август/b2c92cc5-f93e-4759-8821-229a0a250755.jpg","open")</f>
        <v/>
      </c>
      <c r="C10169" t="inlineStr">
        <is>
          <t>61936922-4d4b-458e-80ea-6d4c450aa1d5</t>
        </is>
      </c>
      <c r="D10169" t="n">
        <v>55.66505</v>
      </c>
      <c r="E10169" t="n">
        <v>37.48901</v>
      </c>
      <c r="F10169" t="inlineStr"/>
      <c r="G10169" t="inlineStr"/>
      <c r="H10169" t="inlineStr"/>
    </row>
    <row r="10170">
      <c r="A10170" t="inlineStr">
        <is>
          <t>4b1653ee-0d3e-4cbe-9dde-0076c8ec19c7.jpg</t>
        </is>
      </c>
      <c r="B10170">
        <f>HYPERLINK("Объекты недвижимости, не соответствующие градостроительным нормам_00-022_Август/4b1653ee-0d3e-4cbe-9dde-0076c8ec19c7.jpg","open")</f>
        <v/>
      </c>
      <c r="C10170" t="inlineStr">
        <is>
          <t>b0429a31-0c70-4b9f-8ea5-73929d82f89e</t>
        </is>
      </c>
      <c r="D10170" t="n">
        <v>55.57787</v>
      </c>
      <c r="E10170" t="n">
        <v>37.65606</v>
      </c>
      <c r="F10170" t="inlineStr"/>
      <c r="G10170" t="inlineStr"/>
      <c r="H10170" t="inlineStr"/>
    </row>
    <row r="10171">
      <c r="A10171" t="inlineStr">
        <is>
          <t>84bb71b5-796e-4a8e-b9a0-49cef0ef2288.jpg</t>
        </is>
      </c>
      <c r="B10171">
        <f>HYPERLINK("Объекты недвижимости, не соответствующие градостроительным нормам_00-022_Август/84bb71b5-796e-4a8e-b9a0-49cef0ef2288.jpg","open")</f>
        <v/>
      </c>
      <c r="C10171" t="inlineStr">
        <is>
          <t>b0429a31-0c70-4b9f-8ea5-73929d82f89e</t>
        </is>
      </c>
      <c r="D10171" t="n">
        <v>55.57812</v>
      </c>
      <c r="E10171" t="n">
        <v>37.65628</v>
      </c>
      <c r="F10171" t="inlineStr"/>
      <c r="G10171" t="inlineStr"/>
      <c r="H10171" t="inlineStr"/>
    </row>
    <row r="10172">
      <c r="A10172" t="inlineStr">
        <is>
          <t>cf079fd3-b216-45bb-9d19-b5f734b42d04.jpg</t>
        </is>
      </c>
      <c r="B10172">
        <f>HYPERLINK("Объекты недвижимости, не соответствующие градостроительным нормам_00-022_Август/cf079fd3-b216-45bb-9d19-b5f734b42d04.jpg","open")</f>
        <v/>
      </c>
      <c r="C10172" t="inlineStr">
        <is>
          <t>99f3abba-c55b-49f0-9de5-9f88e9597cc0</t>
        </is>
      </c>
      <c r="D10172" t="n">
        <v>55.57808</v>
      </c>
      <c r="E10172" t="n">
        <v>37.65628</v>
      </c>
      <c r="F10172" t="inlineStr"/>
      <c r="G10172" t="inlineStr"/>
      <c r="H10172" t="inlineStr"/>
    </row>
    <row r="10173">
      <c r="A10173" t="inlineStr">
        <is>
          <t>56a97f3a-a8c0-4c24-b1a9-981a8225d4bb.jpg</t>
        </is>
      </c>
      <c r="B10173">
        <f>HYPERLINK("Объекты недвижимости, не соответствующие градостроительным нормам_00-022_Август/56a97f3a-a8c0-4c24-b1a9-981a8225d4bb.jpg","open")</f>
        <v/>
      </c>
      <c r="C10173" t="inlineStr">
        <is>
          <t>56702d00-3d38-4721-8f83-3846a59c1e44</t>
        </is>
      </c>
      <c r="D10173" t="n">
        <v>55.73127</v>
      </c>
      <c r="E10173" t="n">
        <v>37.72829</v>
      </c>
      <c r="F10173" t="inlineStr"/>
      <c r="G10173" t="inlineStr"/>
      <c r="H10173" t="inlineStr"/>
    </row>
    <row r="10174">
      <c r="A10174" t="inlineStr">
        <is>
          <t>4daf0963-b588-445e-9a16-3e4101460558.jpg</t>
        </is>
      </c>
      <c r="B10174">
        <f>HYPERLINK("Объекты недвижимости, не соответствующие градостроительным нормам_00-022_Август/4daf0963-b588-445e-9a16-3e4101460558.jpg","open")</f>
        <v/>
      </c>
      <c r="C10174" t="inlineStr">
        <is>
          <t>936502dd-24a4-4256-9fdf-0d8fb72af3ed</t>
        </is>
      </c>
      <c r="D10174" t="n">
        <v>55.65139</v>
      </c>
      <c r="E10174" t="n">
        <v>37.70208</v>
      </c>
      <c r="F10174" t="inlineStr"/>
      <c r="G10174" t="inlineStr"/>
      <c r="H10174" t="inlineStr"/>
    </row>
    <row r="10175">
      <c r="A10175" t="inlineStr">
        <is>
          <t>af93cc7b-7f65-4dd6-8188-c6ec62ee67cc.jpg</t>
        </is>
      </c>
      <c r="B10175">
        <f>HYPERLINK("Объекты недвижимости, не соответствующие градостроительным нормам_00-022_Август/af93cc7b-7f65-4dd6-8188-c6ec62ee67cc.jpg","open")</f>
        <v/>
      </c>
      <c r="C10175" t="inlineStr">
        <is>
          <t>936502dd-24a4-4256-9fdf-0d8fb72af3ed</t>
        </is>
      </c>
      <c r="D10175" t="n">
        <v>55.65014</v>
      </c>
      <c r="E10175" t="n">
        <v>37.70041</v>
      </c>
      <c r="F10175" t="inlineStr"/>
      <c r="G10175" t="inlineStr"/>
      <c r="H10175" t="inlineStr"/>
    </row>
    <row r="10176">
      <c r="A10176" t="inlineStr">
        <is>
          <t>5e1fd4d5-6a75-48bb-95d8-7227cc5b60fb.jpg</t>
        </is>
      </c>
      <c r="B10176">
        <f>HYPERLINK("Объекты недвижимости, не соответствующие градостроительным нормам_00-022_Август/5e1fd4d5-6a75-48bb-95d8-7227cc5b60fb.jpg","open")</f>
        <v/>
      </c>
      <c r="C10176" t="inlineStr">
        <is>
          <t>61936922-4d4b-458e-80ea-6d4c450aa1d5</t>
        </is>
      </c>
      <c r="D10176" t="n">
        <v>55.6632</v>
      </c>
      <c r="E10176" t="n">
        <v>37.48878</v>
      </c>
      <c r="F10176" t="inlineStr"/>
      <c r="G10176" t="inlineStr"/>
      <c r="H10176" t="inlineStr"/>
    </row>
    <row r="10177">
      <c r="A10177" t="inlineStr">
        <is>
          <t>55a8af32-4596-45a5-8cad-c6cc493421ae.jpg</t>
        </is>
      </c>
      <c r="B10177">
        <f>HYPERLINK("Объекты недвижимости, не соответствующие градостроительным нормам_00-022_Август/55a8af32-4596-45a5-8cad-c6cc493421ae.jpg","open")</f>
        <v/>
      </c>
      <c r="C10177" t="inlineStr">
        <is>
          <t>31a713a9-b910-424b-b847-e0eaa2f70c70</t>
        </is>
      </c>
      <c r="D10177" t="n">
        <v>55.88776</v>
      </c>
      <c r="E10177" t="n">
        <v>37.65429</v>
      </c>
      <c r="F10177" t="inlineStr"/>
      <c r="G10177" t="inlineStr"/>
      <c r="H10177" t="inlineStr"/>
    </row>
    <row r="10178">
      <c r="A10178" t="inlineStr">
        <is>
          <t>9bd56bfc-c192-4a0e-8425-86fd1467df71.jpg</t>
        </is>
      </c>
      <c r="B10178">
        <f>HYPERLINK("Объекты недвижимости, не соответствующие градостроительным нормам_00-022_Август/9bd56bfc-c192-4a0e-8425-86fd1467df71.jpg","open")</f>
        <v/>
      </c>
      <c r="C10178" t="inlineStr">
        <is>
          <t>31a713a9-b910-424b-b847-e0eaa2f70c70</t>
        </is>
      </c>
      <c r="D10178" t="n">
        <v>55.88774</v>
      </c>
      <c r="E10178" t="n">
        <v>37.65508</v>
      </c>
      <c r="F10178" t="inlineStr"/>
      <c r="G10178" t="inlineStr"/>
      <c r="H10178" t="inlineStr"/>
    </row>
    <row r="10179">
      <c r="A10179" t="inlineStr">
        <is>
          <t>1932f966-5afc-4258-9ba8-a8797f15cef2.jpg</t>
        </is>
      </c>
      <c r="B10179">
        <f>HYPERLINK("Объекты недвижимости, не соответствующие градостроительным нормам_00-022_Август/1932f966-5afc-4258-9ba8-a8797f15cef2.jpg","open")</f>
        <v/>
      </c>
      <c r="C10179" t="inlineStr">
        <is>
          <t>1231bbc5-e64c-4dc7-9acc-77710f47607a</t>
        </is>
      </c>
      <c r="D10179" t="n">
        <v>55.66648</v>
      </c>
      <c r="E10179" t="n">
        <v>37.61206</v>
      </c>
      <c r="F10179" t="inlineStr"/>
      <c r="G10179" t="inlineStr"/>
      <c r="H10179" t="inlineStr"/>
    </row>
    <row r="10180">
      <c r="A10180" t="inlineStr">
        <is>
          <t>09a6ca22-6f09-40dd-9c10-03b20d7ffc54.jpg</t>
        </is>
      </c>
      <c r="B10180">
        <f>HYPERLINK("Объекты недвижимости, не соответствующие градостроительным нормам_00-022_Август/09a6ca22-6f09-40dd-9c10-03b20d7ffc54.jpg","open")</f>
        <v/>
      </c>
      <c r="C10180" t="inlineStr">
        <is>
          <t>29ad9edb-d533-4272-a986-be24eb004851</t>
        </is>
      </c>
      <c r="D10180" t="n">
        <v>55.77308</v>
      </c>
      <c r="E10180" t="n">
        <v>37.68692</v>
      </c>
      <c r="F10180" t="inlineStr"/>
      <c r="G10180" t="inlineStr"/>
      <c r="H10180" t="inlineStr"/>
    </row>
    <row r="10181">
      <c r="A10181" t="inlineStr">
        <is>
          <t>b26af681-febe-418f-8fb3-c98b3c39efb5.jpg</t>
        </is>
      </c>
      <c r="B10181">
        <f>HYPERLINK("Объекты недвижимости, не соответствующие градостроительным нормам_00-022_Август/b26af681-febe-418f-8fb3-c98b3c39efb5.jpg","open")</f>
        <v/>
      </c>
      <c r="C10181" t="inlineStr">
        <is>
          <t>f389b777-2837-46f0-983f-56af24850601</t>
        </is>
      </c>
      <c r="D10181" t="n">
        <v>55.73532</v>
      </c>
      <c r="E10181" t="n">
        <v>37.66489</v>
      </c>
      <c r="F10181" t="inlineStr"/>
      <c r="G10181" t="inlineStr"/>
      <c r="H10181" t="inlineStr"/>
    </row>
    <row r="10182">
      <c r="A10182" t="inlineStr">
        <is>
          <t>ceaca9fa-1c44-4d79-92fd-35426159ea02.jpg</t>
        </is>
      </c>
      <c r="B10182">
        <f>HYPERLINK("Объекты недвижимости, не соответствующие градостроительным нормам_00-022_Август/ceaca9fa-1c44-4d79-92fd-35426159ea02.jpg","open")</f>
        <v/>
      </c>
      <c r="C10182" t="inlineStr">
        <is>
          <t>57812597-37e6-414c-8b11-8c661dbfeb70</t>
        </is>
      </c>
      <c r="D10182" t="n">
        <v>55.73532</v>
      </c>
      <c r="E10182" t="n">
        <v>37.66489</v>
      </c>
      <c r="F10182" t="inlineStr"/>
      <c r="G10182" t="inlineStr"/>
      <c r="H10182" t="inlineStr"/>
    </row>
    <row r="10183">
      <c r="A10183" t="inlineStr">
        <is>
          <t>f7c94869-40e9-456c-ab64-1b28eab0fee4.jpg</t>
        </is>
      </c>
      <c r="B10183">
        <f>HYPERLINK("Объекты недвижимости, не соответствующие градостроительным нормам_00-022_Август/f7c94869-40e9-456c-ab64-1b28eab0fee4.jpg","open")</f>
        <v/>
      </c>
      <c r="C10183" t="inlineStr">
        <is>
          <t>fb9a37cc-57a6-447c-98bb-0b299f09c809</t>
        </is>
      </c>
      <c r="D10183" t="n">
        <v>55.82231</v>
      </c>
      <c r="E10183" t="n">
        <v>37.72917</v>
      </c>
      <c r="F10183" t="inlineStr"/>
      <c r="G10183" t="inlineStr"/>
      <c r="H10183" t="inlineStr"/>
    </row>
    <row r="10184">
      <c r="A10184" t="inlineStr">
        <is>
          <t>e4cedb8e-e588-4e91-ade9-e28f3abbea6b.jpg</t>
        </is>
      </c>
      <c r="B10184">
        <f>HYPERLINK("Объекты недвижимости, не соответствующие градостроительным нормам_00-022_Август/e4cedb8e-e588-4e91-ade9-e28f3abbea6b.jpg","open")</f>
        <v/>
      </c>
      <c r="C10184" t="inlineStr">
        <is>
          <t>b0429a31-0c70-4b9f-8ea5-73929d82f89e</t>
        </is>
      </c>
      <c r="D10184" t="n">
        <v>55.57952</v>
      </c>
      <c r="E10184" t="n">
        <v>37.65775</v>
      </c>
      <c r="F10184" t="inlineStr"/>
      <c r="G10184" t="inlineStr"/>
      <c r="H10184" t="inlineStr"/>
    </row>
    <row r="10185">
      <c r="A10185" t="inlineStr">
        <is>
          <t>3ef8c130-341d-4ea4-879c-ad8a3b137da2.jpg</t>
        </is>
      </c>
      <c r="B10185">
        <f>HYPERLINK("Объекты недвижимости, не соответствующие градостроительным нормам_00-022_Август/3ef8c130-341d-4ea4-879c-ad8a3b137da2.jpg","open")</f>
        <v/>
      </c>
      <c r="C10185" t="inlineStr">
        <is>
          <t>f20fbc2b-b369-4734-bb66-92af02fbb0d1</t>
        </is>
      </c>
      <c r="D10185" t="n">
        <v>55.71533</v>
      </c>
      <c r="E10185" t="n">
        <v>37.74074</v>
      </c>
      <c r="F10185" t="inlineStr"/>
      <c r="G10185" t="inlineStr"/>
      <c r="H10185" t="inlineStr"/>
    </row>
    <row r="10186">
      <c r="A10186" t="inlineStr">
        <is>
          <t>3321f66d-6e5a-4be1-aeba-5ed2ef5c996c.jpg</t>
        </is>
      </c>
      <c r="B10186">
        <f>HYPERLINK("Объекты недвижимости, не соответствующие градостроительным нормам_00-022_Август/3321f66d-6e5a-4be1-aeba-5ed2ef5c996c.jpg","open")</f>
        <v/>
      </c>
      <c r="C10186" t="inlineStr">
        <is>
          <t>ad64e6b9-1ed5-44d7-a101-4945a1f9dec6</t>
        </is>
      </c>
      <c r="D10186" t="n">
        <v>55.67184</v>
      </c>
      <c r="E10186" t="n">
        <v>37.54179</v>
      </c>
      <c r="F10186" t="inlineStr"/>
      <c r="G10186" t="inlineStr"/>
      <c r="H10186" t="inlineStr"/>
    </row>
    <row r="10187">
      <c r="A10187" t="inlineStr">
        <is>
          <t>3421980a-7c34-41a6-be49-6aa7af9d0c66.jpg</t>
        </is>
      </c>
      <c r="B10187">
        <f>HYPERLINK("Объекты недвижимости, не соответствующие градостроительным нормам_00-022_Август/3421980a-7c34-41a6-be49-6aa7af9d0c66.jpg","open")</f>
        <v/>
      </c>
      <c r="C10187" t="inlineStr">
        <is>
          <t>e90a3ac0-5b70-4ede-abeb-382371713306</t>
        </is>
      </c>
      <c r="D10187" t="n">
        <v>55.68185</v>
      </c>
      <c r="E10187" t="n">
        <v>37.56745</v>
      </c>
      <c r="F10187" t="inlineStr"/>
      <c r="G10187" t="inlineStr"/>
      <c r="H10187" t="inlineStr"/>
    </row>
    <row r="10188">
      <c r="A10188" t="inlineStr">
        <is>
          <t>aacd6767-53f3-411d-936d-dcd1f140726d.jpg</t>
        </is>
      </c>
      <c r="B10188">
        <f>HYPERLINK("Объекты недвижимости, не соответствующие градостроительным нормам_00-022_Август/aacd6767-53f3-411d-936d-dcd1f140726d.jpg","open")</f>
        <v/>
      </c>
      <c r="C10188" t="inlineStr">
        <is>
          <t>db8b536c-32f2-4d9a-ae08-679d227e61f1</t>
        </is>
      </c>
      <c r="D10188" t="n">
        <v>55.68185</v>
      </c>
      <c r="E10188" t="n">
        <v>37.56745</v>
      </c>
      <c r="F10188" t="inlineStr"/>
      <c r="G10188" t="inlineStr"/>
      <c r="H10188" t="inlineStr"/>
    </row>
    <row r="10189">
      <c r="A10189" t="inlineStr">
        <is>
          <t>00d81946-5035-4dad-93d5-7a4dbe04e0de.jpg</t>
        </is>
      </c>
      <c r="B10189">
        <f>HYPERLINK("Объекты недвижимости, не соответствующие градостроительным нормам_00-022_Август/00d81946-5035-4dad-93d5-7a4dbe04e0de.jpg","open")</f>
        <v/>
      </c>
      <c r="C10189" t="inlineStr">
        <is>
          <t>12e795ad-2aa7-49de-b2da-2c6aa35a4559</t>
        </is>
      </c>
      <c r="D10189" t="n">
        <v>55.67186</v>
      </c>
      <c r="E10189" t="n">
        <v>37.54174</v>
      </c>
      <c r="F10189" t="inlineStr"/>
      <c r="G10189" t="inlineStr"/>
      <c r="H10189" t="inlineStr"/>
    </row>
    <row r="10190">
      <c r="A10190" t="inlineStr">
        <is>
          <t>f0cf9cd1-e257-4d8b-9799-dcce34e23dd4.jpg</t>
        </is>
      </c>
      <c r="B10190">
        <f>HYPERLINK("Объекты недвижимости, не соответствующие градостроительным нормам_00-022_Август/f0cf9cd1-e257-4d8b-9799-dcce34e23dd4.jpg","open")</f>
        <v/>
      </c>
      <c r="C10190" t="inlineStr">
        <is>
          <t>dd22c7c9-0046-46d8-8631-55150dbf8ae5</t>
        </is>
      </c>
      <c r="D10190" t="n">
        <v>55.88845</v>
      </c>
      <c r="E10190" t="n">
        <v>38.33947</v>
      </c>
      <c r="F10190" t="inlineStr"/>
      <c r="G10190" t="inlineStr"/>
      <c r="H10190" t="inlineStr"/>
    </row>
    <row r="10191">
      <c r="A10191" t="inlineStr">
        <is>
          <t>4bdf3546-7cdb-4edf-836a-fc818a713783.jpg</t>
        </is>
      </c>
      <c r="B10191">
        <f>HYPERLINK("Объекты недвижимости, не соответствующие градостроительным нормам_00-022_Август/4bdf3546-7cdb-4edf-836a-fc818a713783.jpg","open")</f>
        <v/>
      </c>
      <c r="C10191" t="inlineStr">
        <is>
          <t>12e795ad-2aa7-49de-b2da-2c6aa35a4559</t>
        </is>
      </c>
      <c r="D10191" t="n">
        <v>55.67327</v>
      </c>
      <c r="E10191" t="n">
        <v>37.54294</v>
      </c>
      <c r="F10191" t="inlineStr"/>
      <c r="G10191" t="inlineStr"/>
      <c r="H10191" t="inlineStr"/>
    </row>
    <row r="10192">
      <c r="A10192" t="inlineStr">
        <is>
          <t>0c4e7e42-a64b-494c-a20c-d2e9b4082355.jpg</t>
        </is>
      </c>
      <c r="B10192">
        <f>HYPERLINK("Объекты недвижимости, не соответствующие градостроительным нормам_00-022_Август/0c4e7e42-a64b-494c-a20c-d2e9b4082355.jpg","open")</f>
        <v/>
      </c>
      <c r="C10192" t="inlineStr">
        <is>
          <t>a28f597e-d1cd-4d3b-b572-c86d033412e9</t>
        </is>
      </c>
      <c r="D10192" t="n">
        <v>55.65006</v>
      </c>
      <c r="E10192" t="n">
        <v>37.40897</v>
      </c>
      <c r="F10192" t="inlineStr"/>
      <c r="G10192" t="inlineStr"/>
      <c r="H10192" t="inlineStr"/>
    </row>
    <row r="10193">
      <c r="A10193" t="inlineStr">
        <is>
          <t>dacbf3f4-4f1c-4792-8344-2a2418ef5002.jpg</t>
        </is>
      </c>
      <c r="B10193">
        <f>HYPERLINK("Объекты недвижимости, не соответствующие градостроительным нормам_00-022_Август/dacbf3f4-4f1c-4792-8344-2a2418ef5002.jpg","open")</f>
        <v/>
      </c>
      <c r="C10193" t="inlineStr">
        <is>
          <t>fb9a37cc-57a6-447c-98bb-0b299f09c809</t>
        </is>
      </c>
      <c r="D10193" t="n">
        <v>55.81648</v>
      </c>
      <c r="E10193" t="n">
        <v>37.72857</v>
      </c>
      <c r="F10193" t="inlineStr"/>
      <c r="G10193" t="inlineStr"/>
      <c r="H10193" t="inlineStr"/>
    </row>
    <row r="10194">
      <c r="A10194" t="inlineStr">
        <is>
          <t>3e1187aa-5efd-48d5-b5af-87c15d268f8e.jpg</t>
        </is>
      </c>
      <c r="B10194">
        <f>HYPERLINK("Объекты недвижимости, не соответствующие градостроительным нормам_00-022_Август/3e1187aa-5efd-48d5-b5af-87c15d268f8e.jpg","open")</f>
        <v/>
      </c>
      <c r="C10194" t="inlineStr">
        <is>
          <t>db8b536c-32f2-4d9a-ae08-679d227e61f1</t>
        </is>
      </c>
      <c r="D10194" t="n">
        <v>55.68185</v>
      </c>
      <c r="E10194" t="n">
        <v>37.56745</v>
      </c>
      <c r="F10194" t="inlineStr"/>
      <c r="G10194" t="inlineStr"/>
      <c r="H10194" t="inlineStr"/>
    </row>
    <row r="10195">
      <c r="A10195" t="inlineStr">
        <is>
          <t>2478ad7a-e8fa-4615-ad66-70b7004c4585.jpg</t>
        </is>
      </c>
      <c r="B10195">
        <f>HYPERLINK("Объекты недвижимости, не соответствующие градостроительным нормам_00-022_Август/2478ad7a-e8fa-4615-ad66-70b7004c4585.jpg","open")</f>
        <v/>
      </c>
      <c r="C10195" t="inlineStr">
        <is>
          <t>db8b536c-32f2-4d9a-ae08-679d227e61f1</t>
        </is>
      </c>
      <c r="D10195" t="n">
        <v>55.68185</v>
      </c>
      <c r="E10195" t="n">
        <v>37.56745</v>
      </c>
      <c r="F10195" t="inlineStr"/>
      <c r="G10195" t="inlineStr"/>
      <c r="H10195" t="inlineStr"/>
    </row>
    <row r="10196">
      <c r="A10196" t="inlineStr">
        <is>
          <t>9326a651-9efc-4a8d-a080-5f3c8c9700a7.jpg</t>
        </is>
      </c>
      <c r="B10196">
        <f>HYPERLINK("Объекты недвижимости, не соответствующие градостроительным нормам_00-022_Август/9326a651-9efc-4a8d-a080-5f3c8c9700a7.jpg","open")</f>
        <v/>
      </c>
      <c r="C10196" t="inlineStr">
        <is>
          <t>db8b536c-32f2-4d9a-ae08-679d227e61f1</t>
        </is>
      </c>
      <c r="D10196" t="n">
        <v>55.68185</v>
      </c>
      <c r="E10196" t="n">
        <v>37.56745</v>
      </c>
      <c r="F10196" t="inlineStr"/>
      <c r="G10196" t="inlineStr"/>
      <c r="H10196" t="inlineStr"/>
    </row>
    <row r="10197">
      <c r="A10197" t="inlineStr">
        <is>
          <t>489fc4a4-4c4f-40c3-a2e7-08081989bf76.jpg</t>
        </is>
      </c>
      <c r="B10197">
        <f>HYPERLINK("Объекты недвижимости, не соответствующие градостроительным нормам_00-022_Август/489fc4a4-4c4f-40c3-a2e7-08081989bf76.jpg","open")</f>
        <v/>
      </c>
      <c r="C10197" t="inlineStr">
        <is>
          <t>8996eb30-6497-4318-8a0e-b95314b8172e</t>
        </is>
      </c>
      <c r="D10197" t="n">
        <v>55.76534</v>
      </c>
      <c r="E10197" t="n">
        <v>37.53759</v>
      </c>
      <c r="F10197" t="inlineStr"/>
      <c r="G10197" t="inlineStr"/>
      <c r="H10197" t="inlineStr"/>
    </row>
    <row r="10198">
      <c r="A10198" t="inlineStr">
        <is>
          <t>51ad1948-8df2-4549-896e-5711315a6c36.jpg</t>
        </is>
      </c>
      <c r="B10198">
        <f>HYPERLINK("Объекты недвижимости, не соответствующие градостроительным нормам_00-022_Август/51ad1948-8df2-4549-896e-5711315a6c36.jpg","open")</f>
        <v/>
      </c>
      <c r="C10198" t="inlineStr">
        <is>
          <t>fb40ed24-21ef-458a-a239-038ab19932cc</t>
        </is>
      </c>
      <c r="D10198" t="n">
        <v>55.81216</v>
      </c>
      <c r="E10198" t="n">
        <v>37.82875</v>
      </c>
      <c r="F10198" t="inlineStr"/>
      <c r="G10198" t="inlineStr"/>
      <c r="H10198" t="inlineStr"/>
    </row>
    <row r="10199">
      <c r="A10199" t="inlineStr">
        <is>
          <t>ee284a8a-b4ef-4c08-91fd-2614078fa067.jpg</t>
        </is>
      </c>
      <c r="B10199">
        <f>HYPERLINK("Объекты недвижимости, не соответствующие градостроительным нормам_00-022_Август/ee284a8a-b4ef-4c08-91fd-2614078fa067.jpg","open")</f>
        <v/>
      </c>
      <c r="C10199" t="inlineStr">
        <is>
          <t>18a5c468-d9e6-4814-8477-1caf4a2e1fe9</t>
        </is>
      </c>
      <c r="D10199" t="n">
        <v>55.72811</v>
      </c>
      <c r="E10199" t="n">
        <v>37.58659</v>
      </c>
      <c r="F10199" t="inlineStr"/>
      <c r="G10199" t="inlineStr"/>
      <c r="H10199" t="inlineStr"/>
    </row>
    <row r="10200">
      <c r="A10200" t="inlineStr">
        <is>
          <t>1c32d6d9-88ef-403e-89b0-addecace6e6f.jpg</t>
        </is>
      </c>
      <c r="B10200">
        <f>HYPERLINK("Объекты недвижимости, не соответствующие градостроительным нормам_00-022_Август/1c32d6d9-88ef-403e-89b0-addecace6e6f.jpg","open")</f>
        <v/>
      </c>
      <c r="C10200" t="inlineStr">
        <is>
          <t>1a55986c-2c3f-40c0-b3d1-014dce77832e</t>
        </is>
      </c>
      <c r="D10200" t="n">
        <v>55.5148</v>
      </c>
      <c r="E10200" t="n">
        <v>37.12941</v>
      </c>
      <c r="F10200" t="inlineStr"/>
      <c r="G10200" t="inlineStr"/>
      <c r="H10200" t="inlineStr"/>
    </row>
    <row r="10201">
      <c r="A10201" t="inlineStr">
        <is>
          <t>623e7de4-4eea-429e-9d36-d6b5f19aba08.jpg</t>
        </is>
      </c>
      <c r="B10201">
        <f>HYPERLINK("Объекты недвижимости, не соответствующие градостроительным нормам_00-022_Август/623e7de4-4eea-429e-9d36-d6b5f19aba08.jpg","open")</f>
        <v/>
      </c>
      <c r="C10201" t="inlineStr">
        <is>
          <t>ed2bf0f1-3a66-4913-896e-4420a9796c0b</t>
        </is>
      </c>
      <c r="D10201" t="n">
        <v>55.51474</v>
      </c>
      <c r="E10201" t="n">
        <v>37.12944</v>
      </c>
      <c r="F10201" t="inlineStr"/>
      <c r="G10201" t="inlineStr"/>
      <c r="H10201" t="inlineStr"/>
    </row>
    <row r="10202">
      <c r="A10202" t="inlineStr">
        <is>
          <t>bb11df8f-edde-490c-996f-27620ce43bad.jpg</t>
        </is>
      </c>
      <c r="B10202">
        <f>HYPERLINK("Объекты недвижимости, не соответствующие градостроительным нормам_00-022_Август/bb11df8f-edde-490c-996f-27620ce43bad.jpg","open")</f>
        <v/>
      </c>
      <c r="C10202" t="inlineStr">
        <is>
          <t>036c664f-5408-4fd0-b479-342c00468eeb</t>
        </is>
      </c>
      <c r="D10202" t="n">
        <v>55.65103</v>
      </c>
      <c r="E10202" t="n">
        <v>37.40244</v>
      </c>
      <c r="F10202" t="inlineStr"/>
      <c r="G10202" t="inlineStr"/>
      <c r="H10202" t="inlineStr"/>
    </row>
    <row r="10203">
      <c r="A10203" t="inlineStr">
        <is>
          <t>43131ed2-bbc2-4dad-945b-2a6c732554ad.jpg</t>
        </is>
      </c>
      <c r="B10203">
        <f>HYPERLINK("Объекты недвижимости, не соответствующие градостроительным нормам_00-022_Август/43131ed2-bbc2-4dad-945b-2a6c732554ad.jpg","open")</f>
        <v/>
      </c>
      <c r="C10203" t="inlineStr">
        <is>
          <t>a28f597e-d1cd-4d3b-b572-c86d033412e9</t>
        </is>
      </c>
      <c r="D10203" t="n">
        <v>55.65111</v>
      </c>
      <c r="E10203" t="n">
        <v>37.40251</v>
      </c>
      <c r="F10203" t="inlineStr"/>
      <c r="G10203" t="inlineStr"/>
      <c r="H10203" t="inlineStr"/>
    </row>
    <row r="10204">
      <c r="A10204" t="inlineStr">
        <is>
          <t>8ece3e7a-4f9b-47e9-967a-b05915782921.jpg</t>
        </is>
      </c>
      <c r="B10204">
        <f>HYPERLINK("Объекты недвижимости, не соответствующие градостроительным нормам_00-022_Август/8ece3e7a-4f9b-47e9-967a-b05915782921.jpg","open")</f>
        <v/>
      </c>
      <c r="C10204" t="inlineStr">
        <is>
          <t>036c664f-5408-4fd0-b479-342c00468eeb</t>
        </is>
      </c>
      <c r="D10204" t="n">
        <v>55.65102</v>
      </c>
      <c r="E10204" t="n">
        <v>37.40247</v>
      </c>
      <c r="F10204" t="inlineStr"/>
      <c r="G10204" t="inlineStr"/>
      <c r="H10204" t="inlineStr"/>
    </row>
    <row r="10205">
      <c r="A10205" t="inlineStr">
        <is>
          <t>722a6391-d509-4900-920d-48a8af2275d0.jpg</t>
        </is>
      </c>
      <c r="B10205">
        <f>HYPERLINK("Объекты недвижимости, не соответствующие градостроительным нормам_00-022_Август/722a6391-d509-4900-920d-48a8af2275d0.jpg","open")</f>
        <v/>
      </c>
      <c r="C10205" t="inlineStr">
        <is>
          <t>036c664f-5408-4fd0-b479-342c00468eeb</t>
        </is>
      </c>
      <c r="D10205" t="n">
        <v>55.651</v>
      </c>
      <c r="E10205" t="n">
        <v>37.40251</v>
      </c>
      <c r="F10205" t="inlineStr"/>
      <c r="G10205" t="inlineStr"/>
      <c r="H10205" t="inlineStr"/>
    </row>
    <row r="10206">
      <c r="A10206" t="inlineStr">
        <is>
          <t>6e9cda7c-bad8-43d2-9919-234ffce0f258.jpg</t>
        </is>
      </c>
      <c r="B10206">
        <f>HYPERLINK("Объекты недвижимости, не соответствующие градостроительным нормам_00-022_Август/6e9cda7c-bad8-43d2-9919-234ffce0f258.jpg","open")</f>
        <v/>
      </c>
      <c r="C10206" t="inlineStr">
        <is>
          <t>036c664f-5408-4fd0-b479-342c00468eeb</t>
        </is>
      </c>
      <c r="D10206" t="n">
        <v>55.65099</v>
      </c>
      <c r="E10206" t="n">
        <v>37.4025</v>
      </c>
      <c r="F10206" t="inlineStr"/>
      <c r="G10206" t="inlineStr"/>
      <c r="H10206" t="inlineStr"/>
    </row>
    <row r="10207">
      <c r="A10207" t="inlineStr">
        <is>
          <t>1e03d8cd-6106-4103-baa6-4fc5dc7e15f8.jpg</t>
        </is>
      </c>
      <c r="B10207">
        <f>HYPERLINK("Объекты недвижимости, не соответствующие градостроительным нормам_00-022_Август/1e03d8cd-6106-4103-baa6-4fc5dc7e15f8.jpg","open")</f>
        <v/>
      </c>
      <c r="C10207" t="inlineStr">
        <is>
          <t>dd22c7c9-0046-46d8-8631-55150dbf8ae5</t>
        </is>
      </c>
      <c r="D10207" t="n">
        <v>55.88845</v>
      </c>
      <c r="E10207" t="n">
        <v>38.33947</v>
      </c>
      <c r="F10207" t="inlineStr"/>
      <c r="G10207" t="inlineStr"/>
      <c r="H10207" t="inlineStr"/>
    </row>
    <row r="10208">
      <c r="A10208" t="inlineStr">
        <is>
          <t>e9a5a8b9-fd6a-4177-9ea3-9db87bf55278.jpg</t>
        </is>
      </c>
      <c r="B10208">
        <f>HYPERLINK("Объекты недвижимости, не соответствующие градостроительным нормам_00-022_Август/e9a5a8b9-fd6a-4177-9ea3-9db87bf55278.jpg","open")</f>
        <v/>
      </c>
      <c r="C10208" t="inlineStr">
        <is>
          <t>1a55986c-2c3f-40c0-b3d1-014dce77832e</t>
        </is>
      </c>
      <c r="D10208" t="n">
        <v>55.51357</v>
      </c>
      <c r="E10208" t="n">
        <v>37.12971</v>
      </c>
      <c r="F10208" t="inlineStr"/>
      <c r="G10208" t="inlineStr"/>
      <c r="H10208" t="inlineStr"/>
    </row>
    <row r="10209">
      <c r="A10209" t="inlineStr">
        <is>
          <t>7e455fd9-cf1c-43f4-9a5f-d7a0bef1447d.jpg</t>
        </is>
      </c>
      <c r="B10209">
        <f>HYPERLINK("Объекты недвижимости, не соответствующие градостроительным нормам_00-022_Август/7e455fd9-cf1c-43f4-9a5f-d7a0bef1447d.jpg","open")</f>
        <v/>
      </c>
      <c r="C10209" t="inlineStr">
        <is>
          <t>57812597-37e6-414c-8b11-8c661dbfeb70</t>
        </is>
      </c>
      <c r="D10209" t="n">
        <v>55.75574</v>
      </c>
      <c r="E10209" t="n">
        <v>37.53438</v>
      </c>
      <c r="F10209" t="inlineStr"/>
      <c r="G10209" t="inlineStr"/>
      <c r="H10209" t="inlineStr"/>
    </row>
    <row r="10210">
      <c r="A10210" t="inlineStr">
        <is>
          <t>cef95cd5-f1a0-447d-b653-4ff8adc7780e.jpg</t>
        </is>
      </c>
      <c r="B10210">
        <f>HYPERLINK("Объекты недвижимости, не соответствующие градостроительным нормам_00-022_Август/cef95cd5-f1a0-447d-b653-4ff8adc7780e.jpg","open")</f>
        <v/>
      </c>
      <c r="C10210" t="inlineStr">
        <is>
          <t>f389b777-2837-46f0-983f-56af24850601</t>
        </is>
      </c>
      <c r="D10210" t="n">
        <v>55.75574</v>
      </c>
      <c r="E10210" t="n">
        <v>37.53438</v>
      </c>
      <c r="F10210" t="inlineStr"/>
      <c r="G10210" t="inlineStr"/>
      <c r="H10210" t="inlineStr"/>
    </row>
    <row r="10211">
      <c r="A10211" t="inlineStr">
        <is>
          <t>033e04a1-d6f6-4284-a9f4-1d7b4a48beec.jpg</t>
        </is>
      </c>
      <c r="B10211">
        <f>HYPERLINK("Объекты недвижимости, не соответствующие градостроительным нормам_00-022_Август/033e04a1-d6f6-4284-a9f4-1d7b4a48beec.jpg","open")</f>
        <v/>
      </c>
      <c r="C10211" t="inlineStr">
        <is>
          <t>b0b7ea82-53be-40d0-b992-e2fd18611d5c</t>
        </is>
      </c>
      <c r="D10211" t="n">
        <v>55.71469</v>
      </c>
      <c r="E10211" t="n">
        <v>37.74099</v>
      </c>
      <c r="F10211" t="inlineStr"/>
      <c r="G10211" t="inlineStr"/>
      <c r="H10211" t="inlineStr"/>
    </row>
    <row r="10212">
      <c r="A10212" t="inlineStr">
        <is>
          <t>ff8cf186-ff28-4927-be5f-09e29cfbdbc2.jpg</t>
        </is>
      </c>
      <c r="B10212">
        <f>HYPERLINK("Объекты недвижимости, не соответствующие градостроительным нормам_00-022_Август/ff8cf186-ff28-4927-be5f-09e29cfbdbc2.jpg","open")</f>
        <v/>
      </c>
      <c r="C10212" t="inlineStr">
        <is>
          <t>dd22c7c9-0046-46d8-8631-55150dbf8ae5</t>
        </is>
      </c>
      <c r="D10212" t="n">
        <v>55.88845</v>
      </c>
      <c r="E10212" t="n">
        <v>38.33947</v>
      </c>
      <c r="F10212" t="inlineStr"/>
      <c r="G10212" t="inlineStr"/>
      <c r="H10212" t="inlineStr"/>
    </row>
    <row r="10213">
      <c r="A10213" t="inlineStr">
        <is>
          <t>24f5c3ca-06c3-42e7-9418-c953af584a1f.jpg</t>
        </is>
      </c>
      <c r="B10213">
        <f>HYPERLINK("Объекты недвижимости, не соответствующие градостроительным нормам_00-022_Август/24f5c3ca-06c3-42e7-9418-c953af584a1f.jpg","open")</f>
        <v/>
      </c>
      <c r="C10213" t="inlineStr">
        <is>
          <t>9fb3d110-951f-48da-9d90-cfd7e1b5800d</t>
        </is>
      </c>
      <c r="D10213" t="n">
        <v>55.66577</v>
      </c>
      <c r="E10213" t="n">
        <v>37.49508</v>
      </c>
      <c r="F10213" t="inlineStr"/>
      <c r="G10213" t="inlineStr"/>
      <c r="H10213" t="inlineStr"/>
    </row>
    <row r="10214">
      <c r="A10214" t="inlineStr">
        <is>
          <t>e04f231d-0cd4-44ae-ab40-8a1e5ec538d1.jpg</t>
        </is>
      </c>
      <c r="B10214">
        <f>HYPERLINK("Объекты недвижимости, не соответствующие градостроительным нормам_00-022_Август/e04f231d-0cd4-44ae-ab40-8a1e5ec538d1.jpg","open")</f>
        <v/>
      </c>
      <c r="C10214" t="inlineStr">
        <is>
          <t>18a5c468-d9e6-4814-8477-1caf4a2e1fe9</t>
        </is>
      </c>
      <c r="D10214" t="n">
        <v>55.72811</v>
      </c>
      <c r="E10214" t="n">
        <v>37.58659</v>
      </c>
      <c r="F10214" t="inlineStr"/>
      <c r="G10214" t="inlineStr"/>
      <c r="H10214" t="inlineStr"/>
    </row>
    <row r="10215">
      <c r="A10215" t="inlineStr">
        <is>
          <t>ce4a3fe5-5527-4c67-be81-cba80c5ff5bb.jpg</t>
        </is>
      </c>
      <c r="B10215">
        <f>HYPERLINK("Объекты недвижимости, не соответствующие градостроительным нормам_00-022_Август/ce4a3fe5-5527-4c67-be81-cba80c5ff5bb.jpg","open")</f>
        <v/>
      </c>
      <c r="C10215" t="inlineStr">
        <is>
          <t>18a5c468-d9e6-4814-8477-1caf4a2e1fe9</t>
        </is>
      </c>
      <c r="D10215" t="n">
        <v>55.72811</v>
      </c>
      <c r="E10215" t="n">
        <v>37.58659</v>
      </c>
      <c r="F10215" t="inlineStr"/>
      <c r="G10215" t="inlineStr"/>
      <c r="H10215" t="inlineStr"/>
    </row>
    <row r="10216">
      <c r="A10216" t="inlineStr">
        <is>
          <t>ced2b1d9-18be-48e8-b315-6c8c78706781.jpg</t>
        </is>
      </c>
      <c r="B10216">
        <f>HYPERLINK("Объекты недвижимости, не соответствующие градостроительным нормам_00-022_Август/ced2b1d9-18be-48e8-b315-6c8c78706781.jpg","open")</f>
        <v/>
      </c>
      <c r="C10216" t="inlineStr">
        <is>
          <t>d2c4eccd-3e4b-406c-a903-0f5e43d0be35</t>
        </is>
      </c>
      <c r="D10216" t="n">
        <v>55.72811</v>
      </c>
      <c r="E10216" t="n">
        <v>37.58659</v>
      </c>
      <c r="F10216" t="inlineStr"/>
      <c r="G10216" t="inlineStr"/>
      <c r="H10216" t="inlineStr"/>
    </row>
    <row r="10217">
      <c r="A10217" t="inlineStr">
        <is>
          <t>e3743154-4a47-4017-9d04-8b7c1f95898d.jpg</t>
        </is>
      </c>
      <c r="B10217">
        <f>HYPERLINK("Объекты недвижимости, не соответствующие градостроительным нормам_00-022_Август/e3743154-4a47-4017-9d04-8b7c1f95898d.jpg","open")</f>
        <v/>
      </c>
      <c r="C10217" t="inlineStr">
        <is>
          <t>57812597-37e6-414c-8b11-8c661dbfeb70</t>
        </is>
      </c>
      <c r="D10217" t="n">
        <v>55.7631</v>
      </c>
      <c r="E10217" t="n">
        <v>37.56459</v>
      </c>
      <c r="F10217" t="inlineStr"/>
      <c r="G10217" t="inlineStr"/>
      <c r="H10217" t="inlineStr"/>
    </row>
    <row r="10218">
      <c r="A10218" t="inlineStr">
        <is>
          <t>ebcedd28-670a-4658-ab40-cbb8db5cb870.jpg</t>
        </is>
      </c>
      <c r="B10218">
        <f>HYPERLINK("Объекты недвижимости, не соответствующие градостроительным нормам_00-022_Август/ebcedd28-670a-4658-ab40-cbb8db5cb870.jpg","open")</f>
        <v/>
      </c>
      <c r="C10218" t="inlineStr">
        <is>
          <t>18a5c468-d9e6-4814-8477-1caf4a2e1fe9</t>
        </is>
      </c>
      <c r="D10218" t="n">
        <v>55.72811</v>
      </c>
      <c r="E10218" t="n">
        <v>37.58659</v>
      </c>
      <c r="F10218" t="inlineStr"/>
      <c r="G10218" t="inlineStr"/>
      <c r="H10218" t="inlineStr"/>
    </row>
    <row r="10219">
      <c r="A10219" t="inlineStr">
        <is>
          <t>60c83413-a416-44be-8261-a0d904719d71.jpg</t>
        </is>
      </c>
      <c r="B10219">
        <f>HYPERLINK("Объекты недвижимости, не соответствующие градостроительным нормам_00-022_Август/60c83413-a416-44be-8261-a0d904719d71.jpg","open")</f>
        <v/>
      </c>
      <c r="C10219" t="inlineStr">
        <is>
          <t>0dd30d74-4dbc-46a8-b638-91e1431bb398</t>
        </is>
      </c>
      <c r="D10219" t="n">
        <v>55.54535</v>
      </c>
      <c r="E10219" t="n">
        <v>37.57849</v>
      </c>
      <c r="F10219" t="inlineStr"/>
      <c r="G10219" t="inlineStr"/>
      <c r="H10219" t="inlineStr"/>
    </row>
    <row r="10220">
      <c r="A10220" t="inlineStr">
        <is>
          <t>d3f84395-9eb9-4821-812c-292efafcf08e.jpg</t>
        </is>
      </c>
      <c r="B10220">
        <f>HYPERLINK("Объекты недвижимости, не соответствующие градостроительным нормам_00-022_Август/d3f84395-9eb9-4821-812c-292efafcf08e.jpg","open")</f>
        <v/>
      </c>
      <c r="C10220" t="inlineStr">
        <is>
          <t>99f3abba-c55b-49f0-9de5-9f88e9597cc0</t>
        </is>
      </c>
      <c r="D10220" t="n">
        <v>55.58069</v>
      </c>
      <c r="E10220" t="n">
        <v>37.64688</v>
      </c>
      <c r="F10220" t="inlineStr"/>
      <c r="G10220" t="inlineStr"/>
      <c r="H10220" t="inlineStr"/>
    </row>
    <row r="10221">
      <c r="A10221" t="inlineStr">
        <is>
          <t>84a3f483-fb0c-48af-b4c4-6d87b5ce3da0.jpg</t>
        </is>
      </c>
      <c r="B10221">
        <f>HYPERLINK("Объекты недвижимости, не соответствующие градостроительным нормам_00-022_Август/84a3f483-fb0c-48af-b4c4-6d87b5ce3da0.jpg","open")</f>
        <v/>
      </c>
      <c r="C10221" t="inlineStr">
        <is>
          <t>b0429a31-0c70-4b9f-8ea5-73929d82f89e</t>
        </is>
      </c>
      <c r="D10221" t="n">
        <v>55.5806</v>
      </c>
      <c r="E10221" t="n">
        <v>37.6469</v>
      </c>
      <c r="F10221" t="inlineStr"/>
      <c r="G10221" t="inlineStr"/>
      <c r="H10221" t="inlineStr"/>
    </row>
    <row r="10222">
      <c r="A10222" t="inlineStr">
        <is>
          <t>4818e075-9c50-4796-b68f-4b718f1cc594.jpg</t>
        </is>
      </c>
      <c r="B10222">
        <f>HYPERLINK("Объекты недвижимости, не соответствующие градостроительным нормам_00-022_Август/4818e075-9c50-4796-b68f-4b718f1cc594.jpg","open")</f>
        <v/>
      </c>
      <c r="C10222" t="inlineStr">
        <is>
          <t>1c951e11-4940-43c6-a447-394097e5609a</t>
        </is>
      </c>
      <c r="D10222" t="n">
        <v>55.94907</v>
      </c>
      <c r="E10222" t="n">
        <v>37.35313</v>
      </c>
      <c r="F10222" t="inlineStr"/>
      <c r="G10222" t="inlineStr"/>
      <c r="H10222" t="inlineStr"/>
    </row>
    <row r="10223">
      <c r="A10223" t="inlineStr">
        <is>
          <t>57325207-6aad-428b-a23f-384794d94c29.jpg</t>
        </is>
      </c>
      <c r="B10223">
        <f>HYPERLINK("Объекты недвижимости, не соответствующие градостроительным нормам_00-022_Август/57325207-6aad-428b-a23f-384794d94c29.jpg","open")</f>
        <v/>
      </c>
      <c r="C10223" t="inlineStr">
        <is>
          <t>99f3abba-c55b-49f0-9de5-9f88e9597cc0</t>
        </is>
      </c>
      <c r="D10223" t="n">
        <v>55.58152</v>
      </c>
      <c r="E10223" t="n">
        <v>37.64717</v>
      </c>
      <c r="F10223" t="inlineStr"/>
      <c r="G10223" t="inlineStr"/>
      <c r="H10223" t="inlineStr"/>
    </row>
    <row r="10224">
      <c r="A10224" t="inlineStr">
        <is>
          <t>1bf7c632-749a-4289-badf-8e5100a6e8a0.jpg</t>
        </is>
      </c>
      <c r="B10224">
        <f>HYPERLINK("Объекты недвижимости, не соответствующие градостроительным нормам_00-022_Август/1bf7c632-749a-4289-badf-8e5100a6e8a0.jpg","open")</f>
        <v/>
      </c>
      <c r="C10224" t="inlineStr">
        <is>
          <t>b0429a31-0c70-4b9f-8ea5-73929d82f89e</t>
        </is>
      </c>
      <c r="D10224" t="n">
        <v>55.584</v>
      </c>
      <c r="E10224" t="n">
        <v>37.64494</v>
      </c>
      <c r="F10224" t="inlineStr"/>
      <c r="G10224" t="inlineStr"/>
      <c r="H10224" t="inlineStr"/>
    </row>
    <row r="10225">
      <c r="A10225" t="inlineStr">
        <is>
          <t>c34f7073-bde1-479b-9b4a-7ae6d87a618b.jpg</t>
        </is>
      </c>
      <c r="B10225">
        <f>HYPERLINK("Объекты недвижимости, не соответствующие градостроительным нормам_00-022_Август/c34f7073-bde1-479b-9b4a-7ae6d87a618b.jpg","open")</f>
        <v/>
      </c>
      <c r="C10225" t="inlineStr">
        <is>
          <t>e85aff3b-73e8-4856-827e-477ccc0aea77</t>
        </is>
      </c>
      <c r="D10225" t="n">
        <v>55.57961</v>
      </c>
      <c r="E10225" t="n">
        <v>37.48392</v>
      </c>
      <c r="F10225" t="inlineStr"/>
      <c r="G10225" t="inlineStr"/>
      <c r="H10225" t="inlineStr"/>
    </row>
    <row r="10226">
      <c r="A10226" t="inlineStr">
        <is>
          <t>8e4a3290-2bcf-4a35-8068-cb3e3c36a094.jpg</t>
        </is>
      </c>
      <c r="B10226">
        <f>HYPERLINK("Объекты недвижимости, не соответствующие градостроительным нормам_00-022_Август/8e4a3290-2bcf-4a35-8068-cb3e3c36a094.jpg","open")</f>
        <v/>
      </c>
      <c r="C10226" t="inlineStr">
        <is>
          <t>036c664f-5408-4fd0-b479-342c00468eeb</t>
        </is>
      </c>
      <c r="D10226" t="n">
        <v>55.63813</v>
      </c>
      <c r="E10226" t="n">
        <v>37.41478</v>
      </c>
      <c r="F10226" t="inlineStr"/>
      <c r="G10226" t="inlineStr"/>
      <c r="H10226" t="inlineStr"/>
    </row>
    <row r="10227">
      <c r="A10227" t="inlineStr">
        <is>
          <t>cfc58d41-8366-4e53-9032-d914b25ee98d.jpg</t>
        </is>
      </c>
      <c r="B10227">
        <f>HYPERLINK("Объекты недвижимости, не соответствующие градостроительным нормам_00-022_Август/cfc58d41-8366-4e53-9032-d914b25ee98d.jpg","open")</f>
        <v/>
      </c>
      <c r="C10227" t="inlineStr">
        <is>
          <t>936502dd-24a4-4256-9fdf-0d8fb72af3ed</t>
        </is>
      </c>
      <c r="D10227" t="n">
        <v>55.63723</v>
      </c>
      <c r="E10227" t="n">
        <v>37.69458</v>
      </c>
      <c r="F10227" t="inlineStr"/>
      <c r="G10227" t="inlineStr"/>
      <c r="H10227" t="inlineStr"/>
    </row>
    <row r="10228">
      <c r="A10228" t="inlineStr">
        <is>
          <t>f90d0fe2-6c22-4adf-adc9-194dc7923ab9.jpg</t>
        </is>
      </c>
      <c r="B10228">
        <f>HYPERLINK("Объекты недвижимости, не соответствующие градостроительным нормам_00-022_Август/f90d0fe2-6c22-4adf-adc9-194dc7923ab9.jpg","open")</f>
        <v/>
      </c>
      <c r="C10228" t="inlineStr">
        <is>
          <t>1c951e11-4940-43c6-a447-394097e5609a</t>
        </is>
      </c>
      <c r="D10228" t="n">
        <v>55.94532</v>
      </c>
      <c r="E10228" t="n">
        <v>37.34436</v>
      </c>
      <c r="F10228" t="inlineStr"/>
      <c r="G10228" t="inlineStr"/>
      <c r="H10228" t="inlineStr"/>
    </row>
    <row r="10229">
      <c r="A10229" t="inlineStr">
        <is>
          <t>2b63a98e-2b3c-4eec-a1e2-df1b58580a41.jpg</t>
        </is>
      </c>
      <c r="B10229">
        <f>HYPERLINK("Объекты недвижимости, не соответствующие градостроительным нормам_00-022_Август/2b63a98e-2b3c-4eec-a1e2-df1b58580a41.jpg","open")</f>
        <v/>
      </c>
      <c r="C10229" t="inlineStr">
        <is>
          <t>8cde1fd0-eca1-4510-86ab-3c743b65fdfc</t>
        </is>
      </c>
      <c r="D10229" t="n">
        <v>55.94529</v>
      </c>
      <c r="E10229" t="n">
        <v>37.34442</v>
      </c>
      <c r="F10229" t="inlineStr"/>
      <c r="G10229" t="inlineStr"/>
      <c r="H10229" t="inlineStr"/>
    </row>
    <row r="10230">
      <c r="A10230" t="inlineStr">
        <is>
          <t>2c6ac450-5f2f-44f5-bbc8-f42bd66dabd8.jpg</t>
        </is>
      </c>
      <c r="B10230">
        <f>HYPERLINK("Объекты недвижимости, не соответствующие градостроительным нормам_00-022_Август/2c6ac450-5f2f-44f5-bbc8-f42bd66dabd8.jpg","open")</f>
        <v/>
      </c>
      <c r="C10230" t="inlineStr">
        <is>
          <t>e85aff3b-73e8-4856-827e-477ccc0aea77</t>
        </is>
      </c>
      <c r="D10230" t="n">
        <v>55.57597</v>
      </c>
      <c r="E10230" t="n">
        <v>37.4524</v>
      </c>
      <c r="F10230" t="inlineStr"/>
      <c r="G10230" t="inlineStr"/>
      <c r="H10230" t="inlineStr"/>
    </row>
    <row r="10231">
      <c r="A10231" t="inlineStr">
        <is>
          <t>6f20e923-5b8e-41ad-b2e9-f9da797f432b.jpg</t>
        </is>
      </c>
      <c r="B10231">
        <f>HYPERLINK("Объекты недвижимости, не соответствующие градостроительным нормам_00-022_Август/6f20e923-5b8e-41ad-b2e9-f9da797f432b.jpg","open")</f>
        <v/>
      </c>
      <c r="C10231" t="inlineStr">
        <is>
          <t>12e795ad-2aa7-49de-b2da-2c6aa35a4559</t>
        </is>
      </c>
      <c r="D10231" t="n">
        <v>55.67363</v>
      </c>
      <c r="E10231" t="n">
        <v>37.54108</v>
      </c>
      <c r="F10231" t="inlineStr"/>
      <c r="G10231" t="inlineStr"/>
      <c r="H10231" t="inlineStr"/>
    </row>
    <row r="10232">
      <c r="A10232" t="inlineStr">
        <is>
          <t>641dce74-b5c0-4989-a26e-1731759817fc.jpg</t>
        </is>
      </c>
      <c r="B10232">
        <f>HYPERLINK("Объекты недвижимости, не соответствующие градостроительным нормам_00-022_Август/641dce74-b5c0-4989-a26e-1731759817fc.jpg","open")</f>
        <v/>
      </c>
      <c r="C10232" t="inlineStr">
        <is>
          <t>e85aff3b-73e8-4856-827e-477ccc0aea77</t>
        </is>
      </c>
      <c r="D10232" t="n">
        <v>55.60919</v>
      </c>
      <c r="E10232" t="n">
        <v>37.395</v>
      </c>
      <c r="F10232" t="inlineStr"/>
      <c r="G10232" t="inlineStr"/>
      <c r="H10232" t="inlineStr"/>
    </row>
    <row r="10233">
      <c r="A10233" t="inlineStr">
        <is>
          <t>d46bafa7-1856-4745-866a-0f0a28cfc5aa.jpg</t>
        </is>
      </c>
      <c r="B10233">
        <f>HYPERLINK("Объекты недвижимости, не соответствующие градостроительным нормам_00-022_Август/d46bafa7-1856-4745-866a-0f0a28cfc5aa.jpg","open")</f>
        <v/>
      </c>
      <c r="C10233" t="inlineStr">
        <is>
          <t>dd22c7c9-0046-46d8-8631-55150dbf8ae5</t>
        </is>
      </c>
      <c r="D10233" t="n">
        <v>55.88845</v>
      </c>
      <c r="E10233" t="n">
        <v>38.33947</v>
      </c>
      <c r="F10233" t="inlineStr"/>
      <c r="G10233" t="inlineStr"/>
      <c r="H10233" t="inlineStr"/>
    </row>
    <row r="10234">
      <c r="A10234" t="inlineStr">
        <is>
          <t>e4324b37-876a-462f-b096-9340d59c6df3.jpg</t>
        </is>
      </c>
      <c r="B10234">
        <f>HYPERLINK("Объекты недвижимости, не соответствующие градостроительным нормам_00-022_Август/e4324b37-876a-462f-b096-9340d59c6df3.jpg","open")</f>
        <v/>
      </c>
      <c r="C10234" t="inlineStr">
        <is>
          <t>dd22c7c9-0046-46d8-8631-55150dbf8ae5</t>
        </is>
      </c>
      <c r="D10234" t="n">
        <v>55.88845</v>
      </c>
      <c r="E10234" t="n">
        <v>38.33947</v>
      </c>
      <c r="F10234" t="inlineStr"/>
      <c r="G10234" t="inlineStr"/>
      <c r="H10234" t="inlineStr"/>
    </row>
    <row r="10235">
      <c r="A10235" t="inlineStr">
        <is>
          <t>2b57fa0c-790d-43d8-b502-7f2d04e96291.jpg</t>
        </is>
      </c>
      <c r="B10235">
        <f>HYPERLINK("Объекты недвижимости, не соответствующие градостроительным нормам_00-022_Август/2b57fa0c-790d-43d8-b502-7f2d04e96291.jpg","open")</f>
        <v/>
      </c>
      <c r="C10235" t="inlineStr">
        <is>
          <t>cb4060b2-34d3-44a4-9f60-115fb1e9278e</t>
        </is>
      </c>
      <c r="D10235" t="n">
        <v>55.78241</v>
      </c>
      <c r="E10235" t="n">
        <v>37.67105</v>
      </c>
      <c r="F10235" t="inlineStr"/>
      <c r="G10235" t="inlineStr"/>
      <c r="H10235" t="inlineStr"/>
    </row>
    <row r="10236">
      <c r="A10236" t="inlineStr">
        <is>
          <t>d4f1660f-c54f-46b6-94b7-09887d664df5.jpg</t>
        </is>
      </c>
      <c r="B10236">
        <f>HYPERLINK("Объекты недвижимости, не соответствующие градостроительным нормам_00-022_Август/d4f1660f-c54f-46b6-94b7-09887d664df5.jpg","open")</f>
        <v/>
      </c>
      <c r="C10236" t="inlineStr">
        <is>
          <t>dd22c7c9-0046-46d8-8631-55150dbf8ae5</t>
        </is>
      </c>
      <c r="D10236" t="n">
        <v>55.88845</v>
      </c>
      <c r="E10236" t="n">
        <v>38.33947</v>
      </c>
      <c r="F10236" t="inlineStr"/>
      <c r="G10236" t="inlineStr"/>
      <c r="H10236" t="inlineStr"/>
    </row>
    <row r="10237">
      <c r="A10237" t="inlineStr">
        <is>
          <t>f6eb062b-82af-4c7f-b70e-78c270483a1a.jpg</t>
        </is>
      </c>
      <c r="B10237">
        <f>HYPERLINK("Объекты недвижимости, не соответствующие градостроительным нормам_00-022_Август/f6eb062b-82af-4c7f-b70e-78c270483a1a.jpg","open")</f>
        <v/>
      </c>
      <c r="C10237" t="inlineStr">
        <is>
          <t>cb4060b2-34d3-44a4-9f60-115fb1e9278e</t>
        </is>
      </c>
      <c r="D10237" t="n">
        <v>55.78119</v>
      </c>
      <c r="E10237" t="n">
        <v>37.66777</v>
      </c>
      <c r="F10237" t="inlineStr"/>
      <c r="G10237" t="inlineStr"/>
      <c r="H10237" t="inlineStr"/>
    </row>
    <row r="10238">
      <c r="A10238" t="inlineStr">
        <is>
          <t>b345e9ab-d4bf-4c19-9117-f410c632fd2b.jpg</t>
        </is>
      </c>
      <c r="B10238">
        <f>HYPERLINK("Объекты недвижимости, не соответствующие градостроительным нормам_00-022_Август/b345e9ab-d4bf-4c19-9117-f410c632fd2b.jpg","open")</f>
        <v/>
      </c>
      <c r="C10238" t="inlineStr">
        <is>
          <t>56702d00-3d38-4721-8f83-3846a59c1e44</t>
        </is>
      </c>
      <c r="D10238" t="n">
        <v>55.68151</v>
      </c>
      <c r="E10238" t="n">
        <v>37.73492</v>
      </c>
      <c r="F10238" t="inlineStr"/>
      <c r="G10238" t="inlineStr"/>
      <c r="H10238" t="inlineStr"/>
    </row>
    <row r="10239">
      <c r="A10239" t="inlineStr">
        <is>
          <t>3cf37d8c-2ede-4dd8-8e51-bef8e5fe5879.jpg</t>
        </is>
      </c>
      <c r="B10239">
        <f>HYPERLINK("Объекты недвижимости, не соответствующие градостроительным нормам_00-022_Август/3cf37d8c-2ede-4dd8-8e51-bef8e5fe5879.jpg","open")</f>
        <v/>
      </c>
      <c r="C10239" t="inlineStr">
        <is>
          <t>6e2567a0-1fb9-40d5-a0e7-0adb480d2965</t>
        </is>
      </c>
      <c r="D10239" t="n">
        <v>55.78623</v>
      </c>
      <c r="E10239" t="n">
        <v>37.66043</v>
      </c>
      <c r="F10239" t="inlineStr"/>
      <c r="G10239" t="inlineStr"/>
      <c r="H10239" t="inlineStr"/>
    </row>
    <row r="10240">
      <c r="A10240" t="inlineStr">
        <is>
          <t>4e53678d-aec8-461e-b8cc-674ecc7c8bf9.jpg</t>
        </is>
      </c>
      <c r="B10240">
        <f>HYPERLINK("Объекты недвижимости, не соответствующие градостроительным нормам_00-022_Август/4e53678d-aec8-461e-b8cc-674ecc7c8bf9.jpg","open")</f>
        <v/>
      </c>
      <c r="C10240" t="inlineStr">
        <is>
          <t>cb4060b2-34d3-44a4-9f60-115fb1e9278e</t>
        </is>
      </c>
      <c r="D10240" t="n">
        <v>55.7811</v>
      </c>
      <c r="E10240" t="n">
        <v>37.66825</v>
      </c>
      <c r="F10240" t="inlineStr"/>
      <c r="G10240" t="inlineStr"/>
      <c r="H10240" t="inlineStr"/>
    </row>
    <row r="10241">
      <c r="A10241" t="inlineStr">
        <is>
          <t>c8ed467e-0315-4efc-93e8-dcbfa7c7d493.jpg</t>
        </is>
      </c>
      <c r="B10241">
        <f>HYPERLINK("Объекты недвижимости, не соответствующие градостроительным нормам_00-022_Август/c8ed467e-0315-4efc-93e8-dcbfa7c7d493.jpg","open")</f>
        <v/>
      </c>
      <c r="C10241" t="inlineStr">
        <is>
          <t>b0b7ea82-53be-40d0-b992-e2fd18611d5c</t>
        </is>
      </c>
      <c r="D10241" t="n">
        <v>55.71035</v>
      </c>
      <c r="E10241" t="n">
        <v>37.74159</v>
      </c>
      <c r="F10241" t="inlineStr"/>
      <c r="G10241" t="inlineStr"/>
      <c r="H10241" t="inlineStr"/>
    </row>
    <row r="10242">
      <c r="A10242" t="inlineStr">
        <is>
          <t>11505921-870b-4496-921b-8bd3bc3a526b.jpg</t>
        </is>
      </c>
      <c r="B10242">
        <f>HYPERLINK("Объекты недвижимости, не соответствующие градостроительным нормам_00-022_Август/11505921-870b-4496-921b-8bd3bc3a526b.jpg","open")</f>
        <v/>
      </c>
      <c r="C10242" t="inlineStr">
        <is>
          <t>b0b7ea82-53be-40d0-b992-e2fd18611d5c</t>
        </is>
      </c>
      <c r="D10242" t="n">
        <v>55.71038</v>
      </c>
      <c r="E10242" t="n">
        <v>37.74148</v>
      </c>
      <c r="F10242" t="inlineStr"/>
      <c r="G10242" t="inlineStr"/>
      <c r="H10242" t="inlineStr"/>
    </row>
    <row r="10243">
      <c r="A10243" t="inlineStr">
        <is>
          <t>dfbd838c-2ce6-45d2-8582-412c82ef88e6.jpg</t>
        </is>
      </c>
      <c r="B10243">
        <f>HYPERLINK("Объекты недвижимости, не соответствующие градостроительным нормам_00-022_Август/dfbd838c-2ce6-45d2-8582-412c82ef88e6.jpg","open")</f>
        <v/>
      </c>
      <c r="C10243" t="inlineStr">
        <is>
          <t>dd22c7c9-0046-46d8-8631-55150dbf8ae5</t>
        </is>
      </c>
      <c r="D10243" t="n">
        <v>55.88845</v>
      </c>
      <c r="E10243" t="n">
        <v>38.33947</v>
      </c>
      <c r="F10243" t="inlineStr"/>
      <c r="G10243" t="inlineStr"/>
      <c r="H10243" t="inlineStr"/>
    </row>
    <row r="10244">
      <c r="A10244" t="inlineStr">
        <is>
          <t>d0207e73-8f9a-4593-b229-2de5d0f148b7.jpg</t>
        </is>
      </c>
      <c r="B10244">
        <f>HYPERLINK("Объекты недвижимости, не соответствующие градостроительным нормам_00-022_Август/d0207e73-8f9a-4593-b229-2de5d0f148b7.jpg","open")</f>
        <v/>
      </c>
      <c r="C10244" t="inlineStr">
        <is>
          <t>b0429a31-0c70-4b9f-8ea5-73929d82f89e</t>
        </is>
      </c>
      <c r="D10244" t="n">
        <v>55.6435</v>
      </c>
      <c r="E10244" t="n">
        <v>37.64973</v>
      </c>
      <c r="F10244" t="inlineStr"/>
      <c r="G10244" t="inlineStr"/>
      <c r="H10244" t="inlineStr"/>
    </row>
    <row r="10245">
      <c r="A10245" t="inlineStr">
        <is>
          <t>7349bdba-2282-4651-ac55-2ec0a5d6138e.jpg</t>
        </is>
      </c>
      <c r="B10245">
        <f>HYPERLINK("Объекты недвижимости, не соответствующие градостроительным нормам_00-022_Август/7349bdba-2282-4651-ac55-2ec0a5d6138e.jpg","open")</f>
        <v/>
      </c>
      <c r="C10245" t="inlineStr">
        <is>
          <t>12e795ad-2aa7-49de-b2da-2c6aa35a4559</t>
        </is>
      </c>
      <c r="D10245" t="n">
        <v>55.67592</v>
      </c>
      <c r="E10245" t="n">
        <v>37.53086</v>
      </c>
      <c r="F10245" t="inlineStr"/>
      <c r="G10245" t="inlineStr"/>
      <c r="H10245" t="inlineStr"/>
    </row>
    <row r="10246">
      <c r="A10246" t="inlineStr">
        <is>
          <t>c751a575-8f65-44bb-a4b4-43abc5d0876d.jpg</t>
        </is>
      </c>
      <c r="B10246">
        <f>HYPERLINK("Объекты недвижимости, не соответствующие градостроительным нормам_00-022_Август/c751a575-8f65-44bb-a4b4-43abc5d0876d.jpg","open")</f>
        <v/>
      </c>
      <c r="C10246" t="inlineStr">
        <is>
          <t>dd22c7c9-0046-46d8-8631-55150dbf8ae5</t>
        </is>
      </c>
      <c r="D10246" t="n">
        <v>55.88845</v>
      </c>
      <c r="E10246" t="n">
        <v>38.33947</v>
      </c>
      <c r="F10246" t="inlineStr"/>
      <c r="G10246" t="inlineStr"/>
      <c r="H10246" t="inlineStr"/>
    </row>
    <row r="10247">
      <c r="A10247" t="inlineStr">
        <is>
          <t>29a64c89-7d09-4f1b-8aec-378129bd609e.jpg</t>
        </is>
      </c>
      <c r="B10247">
        <f>HYPERLINK("Объекты недвижимости, не соответствующие градостроительным нормам_00-022_Август/29a64c89-7d09-4f1b-8aec-378129bd609e.jpg","open")</f>
        <v/>
      </c>
      <c r="C10247" t="inlineStr">
        <is>
          <t>af173c70-3716-4040-aa0b-1be99e78abe8</t>
        </is>
      </c>
      <c r="D10247" t="n">
        <v>55.88845</v>
      </c>
      <c r="E10247" t="n">
        <v>38.33947</v>
      </c>
      <c r="F10247" t="inlineStr"/>
      <c r="G10247" t="inlineStr"/>
      <c r="H10247" t="inlineStr"/>
    </row>
    <row r="10248">
      <c r="A10248" t="inlineStr">
        <is>
          <t>859a53bd-8fc6-4c8a-b2e1-97901cdd2f54.jpg</t>
        </is>
      </c>
      <c r="B10248">
        <f>HYPERLINK("Объекты недвижимости, не соответствующие градостроительным нормам_00-022_Август/859a53bd-8fc6-4c8a-b2e1-97901cdd2f54.jpg","open")</f>
        <v/>
      </c>
      <c r="C10248" t="inlineStr">
        <is>
          <t>8996eb30-6497-4318-8a0e-b95314b8172e</t>
        </is>
      </c>
      <c r="D10248" t="n">
        <v>55.7921</v>
      </c>
      <c r="E10248" t="n">
        <v>37.39771</v>
      </c>
      <c r="F10248" t="inlineStr"/>
      <c r="G10248" t="inlineStr"/>
      <c r="H10248" t="inlineStr"/>
    </row>
    <row r="10249">
      <c r="A10249" t="inlineStr">
        <is>
          <t>0b08a219-da1e-4708-9bd3-dedcc0d795ce.jpg</t>
        </is>
      </c>
      <c r="B10249">
        <f>HYPERLINK("Объекты недвижимости, не соответствующие градостроительным нормам_00-022_Август/0b08a219-da1e-4708-9bd3-dedcc0d795ce.jpg","open")</f>
        <v/>
      </c>
      <c r="C10249" t="inlineStr">
        <is>
          <t>af173c70-3716-4040-aa0b-1be99e78abe8</t>
        </is>
      </c>
      <c r="D10249" t="n">
        <v>55.88845</v>
      </c>
      <c r="E10249" t="n">
        <v>38.33947</v>
      </c>
      <c r="F10249" t="inlineStr"/>
      <c r="G10249" t="inlineStr"/>
      <c r="H10249" t="inlineStr"/>
    </row>
    <row r="10250">
      <c r="A10250" t="inlineStr">
        <is>
          <t>8701f1b0-216c-46c3-b037-1d5d32a7bd92.jpg</t>
        </is>
      </c>
      <c r="B10250">
        <f>HYPERLINK("Объекты недвижимости, не соответствующие градостроительным нормам_00-022_Август/8701f1b0-216c-46c3-b037-1d5d32a7bd92.jpg","open")</f>
        <v/>
      </c>
      <c r="C10250" t="inlineStr">
        <is>
          <t>dd22c7c9-0046-46d8-8631-55150dbf8ae5</t>
        </is>
      </c>
      <c r="D10250" t="n">
        <v>55.88845</v>
      </c>
      <c r="E10250" t="n">
        <v>38.33947</v>
      </c>
      <c r="F10250" t="inlineStr"/>
      <c r="G10250" t="inlineStr"/>
      <c r="H10250" t="inlineStr"/>
    </row>
    <row r="10251">
      <c r="A10251" t="inlineStr">
        <is>
          <t>aee97ee5-f083-482b-872b-1817720f0398.jpg</t>
        </is>
      </c>
      <c r="B10251">
        <f>HYPERLINK("Объекты недвижимости, не соответствующие градостроительным нормам_00-022_Август/aee97ee5-f083-482b-872b-1817720f0398.jpg","open")</f>
        <v/>
      </c>
      <c r="C10251" t="inlineStr">
        <is>
          <t>685d9054-b74f-49ab-857b-109fd2cec80d</t>
        </is>
      </c>
      <c r="D10251" t="n">
        <v>55.67733</v>
      </c>
      <c r="E10251" t="n">
        <v>37.60162</v>
      </c>
      <c r="F10251" t="inlineStr"/>
      <c r="G10251" t="inlineStr"/>
      <c r="H10251" t="inlineStr"/>
    </row>
    <row r="10252">
      <c r="A10252" t="inlineStr">
        <is>
          <t>9fa0e606-f9c0-4f08-89ed-4e784a2f22c9.jpg</t>
        </is>
      </c>
      <c r="B10252">
        <f>HYPERLINK("Объекты недвижимости, не соответствующие градостроительным нормам_00-022_Август/9fa0e606-f9c0-4f08-89ed-4e784a2f22c9.jpg","open")</f>
        <v/>
      </c>
      <c r="C10252" t="inlineStr">
        <is>
          <t>dd22c7c9-0046-46d8-8631-55150dbf8ae5</t>
        </is>
      </c>
      <c r="D10252" t="n">
        <v>55.88845</v>
      </c>
      <c r="E10252" t="n">
        <v>38.33947</v>
      </c>
      <c r="F10252" t="inlineStr"/>
      <c r="G10252" t="inlineStr"/>
      <c r="H10252" t="inlineStr"/>
    </row>
    <row r="10253">
      <c r="A10253" t="inlineStr">
        <is>
          <t>f17fa22e-9a6e-446d-a6fc-f54ea1c710af.jpg</t>
        </is>
      </c>
      <c r="B10253">
        <f>HYPERLINK("Объекты недвижимости, не соответствующие градостроительным нормам_00-022_Август/f17fa22e-9a6e-446d-a6fc-f54ea1c710af.jpg","open")</f>
        <v/>
      </c>
      <c r="C10253" t="inlineStr">
        <is>
          <t>ed2bf0f1-3a66-4913-896e-4420a9796c0b</t>
        </is>
      </c>
      <c r="D10253" t="n">
        <v>55.50835</v>
      </c>
      <c r="E10253" t="n">
        <v>37.16718</v>
      </c>
      <c r="F10253" t="inlineStr"/>
      <c r="G10253" t="inlineStr"/>
      <c r="H10253" t="inlineStr"/>
    </row>
    <row r="10254">
      <c r="A10254" t="inlineStr">
        <is>
          <t>6c32f14d-68f3-4255-b84e-ee467a8453f2.jpg</t>
        </is>
      </c>
      <c r="B10254">
        <f>HYPERLINK("Объекты недвижимости, не соответствующие градостроительным нормам_00-022_Август/6c32f14d-68f3-4255-b84e-ee467a8453f2.jpg","open")</f>
        <v/>
      </c>
      <c r="C10254" t="inlineStr">
        <is>
          <t>5adecbcf-6742-48b8-951f-8e3abc9509e4</t>
        </is>
      </c>
      <c r="D10254" t="n">
        <v>55.71004</v>
      </c>
      <c r="E10254" t="n">
        <v>37.66496</v>
      </c>
      <c r="F10254" t="inlineStr"/>
      <c r="G10254" t="inlineStr"/>
      <c r="H10254" t="inlineStr"/>
    </row>
    <row r="10255">
      <c r="A10255" t="inlineStr">
        <is>
          <t>128c0a19-52fa-453a-a6a4-f6d414ba6b47.jpg</t>
        </is>
      </c>
      <c r="B10255">
        <f>HYPERLINK("Объекты недвижимости, не соответствующие градостроительным нормам_00-022_Август/128c0a19-52fa-453a-a6a4-f6d414ba6b47.jpg","open")</f>
        <v/>
      </c>
      <c r="C10255" t="inlineStr">
        <is>
          <t>5e5b9944-4f9e-4223-bf96-0bc0c8a93dfa</t>
        </is>
      </c>
      <c r="D10255" t="n">
        <v>55.71004</v>
      </c>
      <c r="E10255" t="n">
        <v>37.66496</v>
      </c>
      <c r="F10255" t="inlineStr"/>
      <c r="G10255" t="inlineStr"/>
      <c r="H10255" t="inlineStr"/>
    </row>
    <row r="10256">
      <c r="A10256" t="inlineStr">
        <is>
          <t>95852f66-57d1-4ffc-b2f0-cccdc55ff197.jpg</t>
        </is>
      </c>
      <c r="B10256">
        <f>HYPERLINK("Объекты недвижимости, не соответствующие градостроительным нормам_00-022_Август/95852f66-57d1-4ffc-b2f0-cccdc55ff197.jpg","open")</f>
        <v/>
      </c>
      <c r="C10256" t="inlineStr">
        <is>
          <t>61936922-4d4b-458e-80ea-6d4c450aa1d5</t>
        </is>
      </c>
      <c r="D10256" t="n">
        <v>55.67662</v>
      </c>
      <c r="E10256" t="n">
        <v>37.48903</v>
      </c>
      <c r="F10256" t="inlineStr"/>
      <c r="G10256" t="inlineStr"/>
      <c r="H10256" t="inlineStr"/>
    </row>
    <row r="10257">
      <c r="A10257" t="inlineStr">
        <is>
          <t>64e062b3-12e2-4a2b-877b-b20b43bfeed2.jpg</t>
        </is>
      </c>
      <c r="B10257">
        <f>HYPERLINK("Объекты недвижимости, не соответствующие градостроительным нормам_00-022_Август/64e062b3-12e2-4a2b-877b-b20b43bfeed2.jpg","open")</f>
        <v/>
      </c>
      <c r="C10257" t="inlineStr">
        <is>
          <t>9fb3d110-951f-48da-9d90-cfd7e1b5800d</t>
        </is>
      </c>
      <c r="D10257" t="n">
        <v>55.67656</v>
      </c>
      <c r="E10257" t="n">
        <v>37.489</v>
      </c>
      <c r="F10257" t="inlineStr"/>
      <c r="G10257" t="inlineStr"/>
      <c r="H10257" t="inlineStr"/>
    </row>
    <row r="10258">
      <c r="A10258" t="inlineStr">
        <is>
          <t>f38102d2-0a76-4bbb-8b9f-d3b041a6d268.jpg</t>
        </is>
      </c>
      <c r="B10258">
        <f>HYPERLINK("Объекты недвижимости, не соответствующие градостроительным нормам_00-022_Август/f38102d2-0a76-4bbb-8b9f-d3b041a6d268.jpg","open")</f>
        <v/>
      </c>
      <c r="C10258" t="inlineStr">
        <is>
          <t>b0b7ea82-53be-40d0-b992-e2fd18611d5c</t>
        </is>
      </c>
      <c r="D10258" t="n">
        <v>55.70949</v>
      </c>
      <c r="E10258" t="n">
        <v>37.73304</v>
      </c>
      <c r="F10258" t="inlineStr"/>
      <c r="G10258" t="inlineStr"/>
      <c r="H10258" t="inlineStr"/>
    </row>
    <row r="10259">
      <c r="A10259" t="inlineStr">
        <is>
          <t>a9067a19-c44f-4242-b645-22cc43a6a786.jpg</t>
        </is>
      </c>
      <c r="B10259">
        <f>HYPERLINK("Объекты недвижимости, не соответствующие градостроительным нормам_00-022_Август/a9067a19-c44f-4242-b645-22cc43a6a786.jpg","open")</f>
        <v/>
      </c>
      <c r="C10259" t="inlineStr">
        <is>
          <t>8cde1fd0-eca1-4510-86ab-3c743b65fdfc</t>
        </is>
      </c>
      <c r="D10259" t="n">
        <v>55.94165</v>
      </c>
      <c r="E10259" t="n">
        <v>37.35745</v>
      </c>
      <c r="F10259" t="inlineStr"/>
      <c r="G10259" t="inlineStr"/>
      <c r="H10259" t="inlineStr"/>
    </row>
    <row r="10260">
      <c r="A10260" t="inlineStr">
        <is>
          <t>8a256309-1977-4374-b6c1-8858791dde33.jpg</t>
        </is>
      </c>
      <c r="B10260">
        <f>HYPERLINK("Объекты недвижимости, не соответствующие градостроительным нормам_00-022_Август/8a256309-1977-4374-b6c1-8858791dde33.jpg","open")</f>
        <v/>
      </c>
      <c r="C10260" t="inlineStr">
        <is>
          <t>db8b536c-32f2-4d9a-ae08-679d227e61f1</t>
        </is>
      </c>
      <c r="D10260" t="n">
        <v>55.74825</v>
      </c>
      <c r="E10260" t="n">
        <v>37.69981</v>
      </c>
      <c r="F10260" t="inlineStr"/>
      <c r="G10260" t="inlineStr"/>
      <c r="H10260" t="inlineStr"/>
    </row>
    <row r="10261">
      <c r="A10261" t="inlineStr">
        <is>
          <t>77eb151a-ec5a-434c-a3e8-8fdf8ff4f6f9.jpg</t>
        </is>
      </c>
      <c r="B10261">
        <f>HYPERLINK("Объекты недвижимости, не соответствующие градостроительным нормам_00-022_Август/77eb151a-ec5a-434c-a3e8-8fdf8ff4f6f9.jpg","open")</f>
        <v/>
      </c>
      <c r="C10261" t="inlineStr">
        <is>
          <t>789f6c51-64ee-4078-b7bd-443af8b8b68a</t>
        </is>
      </c>
      <c r="D10261" t="n">
        <v>55.87562</v>
      </c>
      <c r="E10261" t="n">
        <v>37.65104</v>
      </c>
      <c r="F10261" t="inlineStr"/>
      <c r="G10261" t="inlineStr"/>
      <c r="H10261" t="inlineStr"/>
    </row>
    <row r="10262">
      <c r="A10262" t="inlineStr">
        <is>
          <t>a707df2a-58dd-4021-bda9-4283a6107a00.jpg</t>
        </is>
      </c>
      <c r="B10262">
        <f>HYPERLINK("Объекты недвижимости, не соответствующие градостроительным нормам_00-022_Август/a707df2a-58dd-4021-bda9-4283a6107a00.jpg","open")</f>
        <v/>
      </c>
      <c r="C10262" t="inlineStr">
        <is>
          <t>2acfb2da-e3f6-464c-bd17-4b713522c142</t>
        </is>
      </c>
      <c r="D10262" t="n">
        <v>55.87564</v>
      </c>
      <c r="E10262" t="n">
        <v>37.65098</v>
      </c>
      <c r="F10262" t="inlineStr"/>
      <c r="G10262" t="inlineStr"/>
      <c r="H10262" t="inlineStr"/>
    </row>
    <row r="10263">
      <c r="A10263" t="inlineStr">
        <is>
          <t>2d73307a-35eb-4b4b-8507-651e2b8a0e57.jpg</t>
        </is>
      </c>
      <c r="B10263">
        <f>HYPERLINK("Объекты недвижимости, не соответствующие градостроительным нормам_00-022_Август/2d73307a-35eb-4b4b-8507-651e2b8a0e57.jpg","open")</f>
        <v/>
      </c>
      <c r="C10263" t="inlineStr">
        <is>
          <t>b23a39fd-838c-435a-bacd-b4d6bb842c62</t>
        </is>
      </c>
      <c r="D10263" t="n">
        <v>55.81676</v>
      </c>
      <c r="E10263" t="n">
        <v>37.78834</v>
      </c>
      <c r="F10263" t="inlineStr"/>
      <c r="G10263" t="inlineStr"/>
      <c r="H10263" t="inlineStr"/>
    </row>
    <row r="10264">
      <c r="A10264" t="inlineStr">
        <is>
          <t>c9e1b566-ae6f-4b21-ab79-7b45be9fa38b.jpg</t>
        </is>
      </c>
      <c r="B10264">
        <f>HYPERLINK("Объекты недвижимости, не соответствующие градостроительным нормам_00-022_Август/c9e1b566-ae6f-4b21-ab79-7b45be9fa38b.jpg","open")</f>
        <v/>
      </c>
      <c r="C10264" t="inlineStr">
        <is>
          <t>2acfb2da-e3f6-464c-bd17-4b713522c142</t>
        </is>
      </c>
      <c r="D10264" t="n">
        <v>55.87582</v>
      </c>
      <c r="E10264" t="n">
        <v>37.65118</v>
      </c>
      <c r="F10264" t="inlineStr"/>
      <c r="G10264" t="inlineStr"/>
      <c r="H10264" t="inlineStr"/>
    </row>
    <row r="10265">
      <c r="A10265" t="inlineStr">
        <is>
          <t>ca288143-b408-44d3-8cf7-3a92eb9a7ef4.jpg</t>
        </is>
      </c>
      <c r="B10265">
        <f>HYPERLINK("Объекты недвижимости, не соответствующие градостроительным нормам_00-022_Август/ca288143-b408-44d3-8cf7-3a92eb9a7ef4.jpg","open")</f>
        <v/>
      </c>
      <c r="C10265" t="inlineStr">
        <is>
          <t>789f6c51-64ee-4078-b7bd-443af8b8b68a</t>
        </is>
      </c>
      <c r="D10265" t="n">
        <v>55.87582</v>
      </c>
      <c r="E10265" t="n">
        <v>37.65118</v>
      </c>
      <c r="F10265" t="inlineStr"/>
      <c r="G10265" t="inlineStr"/>
      <c r="H10265" t="inlineStr"/>
    </row>
    <row r="10266">
      <c r="A10266" t="inlineStr">
        <is>
          <t>d992c795-42d7-491c-869e-26873650fe9f.jpg</t>
        </is>
      </c>
      <c r="B10266">
        <f>HYPERLINK("Объекты недвижимости, не соответствующие градостроительным нормам_00-022_Август/d992c795-42d7-491c-869e-26873650fe9f.jpg","open")</f>
        <v/>
      </c>
      <c r="C10266" t="inlineStr">
        <is>
          <t>2acfb2da-e3f6-464c-bd17-4b713522c142</t>
        </is>
      </c>
      <c r="D10266" t="n">
        <v>55.8759</v>
      </c>
      <c r="E10266" t="n">
        <v>37.65108</v>
      </c>
      <c r="F10266" t="inlineStr"/>
      <c r="G10266" t="inlineStr"/>
      <c r="H10266" t="inlineStr"/>
    </row>
    <row r="10267">
      <c r="A10267" t="inlineStr">
        <is>
          <t>1af5bab8-5fac-44b2-9d41-f75da70a77e2.jpg</t>
        </is>
      </c>
      <c r="B10267">
        <f>HYPERLINK("Объекты недвижимости, не соответствующие градостроительным нормам_00-022_Август/1af5bab8-5fac-44b2-9d41-f75da70a77e2.jpg","open")</f>
        <v/>
      </c>
      <c r="C10267" t="inlineStr">
        <is>
          <t>789f6c51-64ee-4078-b7bd-443af8b8b68a</t>
        </is>
      </c>
      <c r="D10267" t="n">
        <v>55.8759</v>
      </c>
      <c r="E10267" t="n">
        <v>37.65108</v>
      </c>
      <c r="F10267" t="inlineStr"/>
      <c r="G10267" t="inlineStr"/>
      <c r="H10267" t="inlineStr"/>
    </row>
    <row r="10268">
      <c r="A10268" t="inlineStr">
        <is>
          <t>1fd5d8f2-74ae-4398-beb9-25146ff7f54d.jpg</t>
        </is>
      </c>
      <c r="B10268">
        <f>HYPERLINK("Объекты недвижимости, не соответствующие градостроительным нормам_00-022_Август/1fd5d8f2-74ae-4398-beb9-25146ff7f54d.jpg","open")</f>
        <v/>
      </c>
      <c r="C10268" t="inlineStr">
        <is>
          <t>fb9a37cc-57a6-447c-98bb-0b299f09c809</t>
        </is>
      </c>
      <c r="D10268" t="n">
        <v>55.81702</v>
      </c>
      <c r="E10268" t="n">
        <v>37.78833</v>
      </c>
      <c r="F10268" t="inlineStr"/>
      <c r="G10268" t="inlineStr"/>
      <c r="H10268" t="inlineStr"/>
    </row>
    <row r="10269">
      <c r="A10269" t="inlineStr">
        <is>
          <t>a618d16c-6ced-4f99-83a1-accb6f263c82.jpg</t>
        </is>
      </c>
      <c r="B10269">
        <f>HYPERLINK("Объекты недвижимости, не соответствующие градостроительным нормам_00-022_Август/a618d16c-6ced-4f99-83a1-accb6f263c82.jpg","open")</f>
        <v/>
      </c>
      <c r="C10269" t="inlineStr">
        <is>
          <t>91248771-2c4d-44f3-b3cf-d536bd4ae73c</t>
        </is>
      </c>
      <c r="D10269" t="n">
        <v>55.78933</v>
      </c>
      <c r="E10269" t="n">
        <v>37.70852</v>
      </c>
      <c r="F10269" t="inlineStr"/>
      <c r="G10269" t="inlineStr"/>
      <c r="H10269" t="inlineStr"/>
    </row>
    <row r="10270">
      <c r="A10270" t="inlineStr">
        <is>
          <t>4070ffc3-1f80-4d70-87e4-e098e4ebe166.jpg</t>
        </is>
      </c>
      <c r="B10270">
        <f>HYPERLINK("Объекты недвижимости, не соответствующие градостроительным нормам_00-022_Август/4070ffc3-1f80-4d70-87e4-e098e4ebe166.jpg","open")</f>
        <v/>
      </c>
      <c r="C10270" t="inlineStr">
        <is>
          <t>61936922-4d4b-458e-80ea-6d4c450aa1d5</t>
        </is>
      </c>
      <c r="D10270" t="n">
        <v>55.67753</v>
      </c>
      <c r="E10270" t="n">
        <v>37.49182</v>
      </c>
      <c r="F10270" t="inlineStr"/>
      <c r="G10270" t="inlineStr"/>
      <c r="H10270" t="inlineStr"/>
    </row>
    <row r="10271">
      <c r="A10271" t="inlineStr">
        <is>
          <t>608cd539-cc93-4f03-9ff4-46897855b7fe.jpg</t>
        </is>
      </c>
      <c r="B10271">
        <f>HYPERLINK("Объекты недвижимости, не соответствующие градостроительным нормам_00-022_Август/608cd539-cc93-4f03-9ff4-46897855b7fe.jpg","open")</f>
        <v/>
      </c>
      <c r="C10271" t="inlineStr">
        <is>
          <t>dd22c7c9-0046-46d8-8631-55150dbf8ae5</t>
        </is>
      </c>
      <c r="D10271" t="n">
        <v>55.71858</v>
      </c>
      <c r="E10271" t="n">
        <v>37.56965</v>
      </c>
      <c r="F10271" t="inlineStr"/>
      <c r="G10271" t="inlineStr"/>
      <c r="H10271" t="inlineStr"/>
    </row>
    <row r="10272">
      <c r="A10272" t="inlineStr">
        <is>
          <t>0295ee93-b8c3-4e48-a5d0-c319b842b924.jpg</t>
        </is>
      </c>
      <c r="B10272">
        <f>HYPERLINK("Объекты недвижимости, не соответствующие градостроительным нормам_00-022_Август/0295ee93-b8c3-4e48-a5d0-c319b842b924.jpg","open")</f>
        <v/>
      </c>
      <c r="C10272" t="inlineStr">
        <is>
          <t>2acfb2da-e3f6-464c-bd17-4b713522c142</t>
        </is>
      </c>
      <c r="D10272" t="n">
        <v>55.87574</v>
      </c>
      <c r="E10272" t="n">
        <v>37.65109</v>
      </c>
      <c r="F10272" t="inlineStr"/>
      <c r="G10272" t="inlineStr"/>
      <c r="H10272" t="inlineStr"/>
    </row>
    <row r="10273">
      <c r="A10273" t="inlineStr">
        <is>
          <t>d264eea4-e9ab-475f-9f5c-4304aa9b0e70.jpg</t>
        </is>
      </c>
      <c r="B10273">
        <f>HYPERLINK("Объекты недвижимости, не соответствующие градостроительным нормам_00-022_Август/d264eea4-e9ab-475f-9f5c-4304aa9b0e70.jpg","open")</f>
        <v/>
      </c>
      <c r="C10273" t="inlineStr">
        <is>
          <t>789f6c51-64ee-4078-b7bd-443af8b8b68a</t>
        </is>
      </c>
      <c r="D10273" t="n">
        <v>55.87574</v>
      </c>
      <c r="E10273" t="n">
        <v>37.65109</v>
      </c>
      <c r="F10273" t="inlineStr"/>
      <c r="G10273" t="inlineStr"/>
      <c r="H10273" t="inlineStr"/>
    </row>
    <row r="10274">
      <c r="A10274" t="inlineStr">
        <is>
          <t>19af975b-3378-4b13-82b6-e00a29dd14ab.jpg</t>
        </is>
      </c>
      <c r="B10274">
        <f>HYPERLINK("Объекты недвижимости, не соответствующие градостроительным нормам_00-022_Август/19af975b-3378-4b13-82b6-e00a29dd14ab.jpg","open")</f>
        <v/>
      </c>
      <c r="C10274" t="inlineStr">
        <is>
          <t>12e795ad-2aa7-49de-b2da-2c6aa35a4559</t>
        </is>
      </c>
      <c r="D10274" t="n">
        <v>55.66744</v>
      </c>
      <c r="E10274" t="n">
        <v>37.54544</v>
      </c>
      <c r="F10274" t="inlineStr"/>
      <c r="G10274" t="inlineStr"/>
      <c r="H10274" t="inlineStr"/>
    </row>
    <row r="10275">
      <c r="A10275" t="inlineStr">
        <is>
          <t>108224f6-2b39-4a68-a5c3-86b1d8a684ce.jpg</t>
        </is>
      </c>
      <c r="B10275">
        <f>HYPERLINK("Объекты недвижимости, не соответствующие градостроительным нормам_00-022_Август/108224f6-2b39-4a68-a5c3-86b1d8a684ce.jpg","open")</f>
        <v/>
      </c>
      <c r="C10275" t="inlineStr">
        <is>
          <t>61936922-4d4b-458e-80ea-6d4c450aa1d5</t>
        </is>
      </c>
      <c r="D10275" t="n">
        <v>55.67519</v>
      </c>
      <c r="E10275" t="n">
        <v>37.48993</v>
      </c>
      <c r="F10275" t="inlineStr"/>
      <c r="G10275" t="inlineStr"/>
      <c r="H10275" t="inlineStr"/>
    </row>
    <row r="10276">
      <c r="A10276" t="inlineStr">
        <is>
          <t>0365b36b-7da1-43db-937c-100462683839.jpg</t>
        </is>
      </c>
      <c r="B10276">
        <f>HYPERLINK("Объекты недвижимости, не соответствующие градостроительным нормам_00-022_Август/0365b36b-7da1-43db-937c-100462683839.jpg","open")</f>
        <v/>
      </c>
      <c r="C10276" t="inlineStr">
        <is>
          <t>8996eb30-6497-4318-8a0e-b95314b8172e</t>
        </is>
      </c>
      <c r="D10276" t="n">
        <v>55.79144</v>
      </c>
      <c r="E10276" t="n">
        <v>37.3637</v>
      </c>
      <c r="F10276" t="inlineStr"/>
      <c r="G10276" t="inlineStr"/>
      <c r="H10276" t="inlineStr"/>
    </row>
    <row r="10277">
      <c r="A10277" t="inlineStr">
        <is>
          <t>f1683464-1f33-434e-92a4-0b2c19d79ed2.jpg</t>
        </is>
      </c>
      <c r="B10277">
        <f>HYPERLINK("Объекты недвижимости, не соответствующие градостроительным нормам_00-022_Август/f1683464-1f33-434e-92a4-0b2c19d79ed2.jpg","open")</f>
        <v/>
      </c>
      <c r="C10277" t="inlineStr">
        <is>
          <t>1a55986c-2c3f-40c0-b3d1-014dce77832e</t>
        </is>
      </c>
      <c r="D10277" t="n">
        <v>55.52751</v>
      </c>
      <c r="E10277" t="n">
        <v>37.17801</v>
      </c>
      <c r="F10277" t="inlineStr"/>
      <c r="G10277" t="inlineStr"/>
      <c r="H10277" t="inlineStr"/>
    </row>
    <row r="10278">
      <c r="A10278" t="inlineStr">
        <is>
          <t>42dbf136-38e5-4b1e-8b3c-de071207656b.jpg</t>
        </is>
      </c>
      <c r="B10278">
        <f>HYPERLINK("Объекты недвижимости, не соответствующие градостроительным нормам_00-022_Август/42dbf136-38e5-4b1e-8b3c-de071207656b.jpg","open")</f>
        <v/>
      </c>
      <c r="C10278" t="inlineStr">
        <is>
          <t>dd22c7c9-0046-46d8-8631-55150dbf8ae5</t>
        </is>
      </c>
      <c r="D10278" t="n">
        <v>55.71858</v>
      </c>
      <c r="E10278" t="n">
        <v>37.56965</v>
      </c>
      <c r="F10278" t="inlineStr"/>
      <c r="G10278" t="inlineStr"/>
      <c r="H10278" t="inlineStr"/>
    </row>
    <row r="10279">
      <c r="A10279" t="inlineStr">
        <is>
          <t>2555c531-d162-4946-bea9-a2e6b35f55c7.jpg</t>
        </is>
      </c>
      <c r="B10279">
        <f>HYPERLINK("Объекты недвижимости, не соответствующие градостроительным нормам_00-022_Август/2555c531-d162-4946-bea9-a2e6b35f55c7.jpg","open")</f>
        <v/>
      </c>
      <c r="C10279" t="inlineStr">
        <is>
          <t>fb40ed24-21ef-458a-a239-038ab19932cc</t>
        </is>
      </c>
      <c r="D10279" t="n">
        <v>55.80243</v>
      </c>
      <c r="E10279" t="n">
        <v>37.76953</v>
      </c>
      <c r="F10279" t="inlineStr"/>
      <c r="G10279" t="inlineStr"/>
      <c r="H10279" t="inlineStr"/>
    </row>
    <row r="10280">
      <c r="A10280" t="inlineStr">
        <is>
          <t>208595fc-b484-4f3a-8d23-10fcea64ac04.jpg</t>
        </is>
      </c>
      <c r="B10280">
        <f>HYPERLINK("Объекты недвижимости, не соответствующие градостроительным нормам_00-022_Август/208595fc-b484-4f3a-8d23-10fcea64ac04.jpg","open")</f>
        <v/>
      </c>
      <c r="C10280" t="inlineStr">
        <is>
          <t>036c664f-5408-4fd0-b479-342c00468eeb</t>
        </is>
      </c>
      <c r="D10280" t="n">
        <v>55.63574</v>
      </c>
      <c r="E10280" t="n">
        <v>37.38448</v>
      </c>
      <c r="F10280" t="inlineStr"/>
      <c r="G10280" t="inlineStr"/>
      <c r="H10280" t="inlineStr"/>
    </row>
    <row r="10281">
      <c r="A10281" t="inlineStr">
        <is>
          <t>ee352711-2dd4-498c-b791-7ee565e24db7.jpg</t>
        </is>
      </c>
      <c r="B10281">
        <f>HYPERLINK("Объекты недвижимости, не соответствующие градостроительным нормам_00-022_Август/ee352711-2dd4-498c-b791-7ee565e24db7.jpg","open")</f>
        <v/>
      </c>
      <c r="C10281" t="inlineStr">
        <is>
          <t>4cd87d14-7440-44b7-a5b2-a738e10006f7</t>
        </is>
      </c>
      <c r="D10281" t="n">
        <v>55.7822</v>
      </c>
      <c r="E10281" t="n">
        <v>37.67102</v>
      </c>
      <c r="F10281" t="inlineStr"/>
      <c r="G10281" t="inlineStr"/>
      <c r="H10281" t="inlineStr"/>
    </row>
    <row r="10282">
      <c r="A10282" t="inlineStr">
        <is>
          <t>ebf094b5-f73a-437e-b535-e18c43babce1.jpg</t>
        </is>
      </c>
      <c r="B10282">
        <f>HYPERLINK("Объекты недвижимости, не соответствующие градостроительным нормам_00-022_Август/ebf094b5-f73a-437e-b535-e18c43babce1.jpg","open")</f>
        <v/>
      </c>
      <c r="C10282" t="inlineStr">
        <is>
          <t>93848fc8-17e7-4748-9ebc-c7e379e11d2f</t>
        </is>
      </c>
      <c r="D10282" t="n">
        <v>55.52914</v>
      </c>
      <c r="E10282" t="n">
        <v>37.58009</v>
      </c>
      <c r="F10282" t="inlineStr"/>
      <c r="G10282" t="inlineStr"/>
      <c r="H10282" t="inlineStr"/>
    </row>
    <row r="10283">
      <c r="A10283" t="inlineStr">
        <is>
          <t>6e399237-24ff-4151-9e0f-ebab9b987d97.jpg</t>
        </is>
      </c>
      <c r="B10283">
        <f>HYPERLINK("Объекты недвижимости, не соответствующие градостроительным нормам_00-022_Август/6e399237-24ff-4151-9e0f-ebab9b987d97.jpg","open")</f>
        <v/>
      </c>
      <c r="C10283" t="inlineStr">
        <is>
          <t>dd22c7c9-0046-46d8-8631-55150dbf8ae5</t>
        </is>
      </c>
      <c r="D10283" t="n">
        <v>55.71858</v>
      </c>
      <c r="E10283" t="n">
        <v>37.56965</v>
      </c>
      <c r="F10283" t="inlineStr"/>
      <c r="G10283" t="inlineStr"/>
      <c r="H10283" t="inlineStr"/>
    </row>
    <row r="10284">
      <c r="A10284" t="inlineStr">
        <is>
          <t>bb724c39-21bb-42ca-8b2e-3a9375cdacae.jpg</t>
        </is>
      </c>
      <c r="B10284">
        <f>HYPERLINK("Объекты недвижимости, не соответствующие градостроительным нормам_00-022_Август/bb724c39-21bb-42ca-8b2e-3a9375cdacae.jpg","open")</f>
        <v/>
      </c>
      <c r="C10284" t="inlineStr">
        <is>
          <t>29ad9edb-d533-4272-a986-be24eb004851</t>
        </is>
      </c>
      <c r="D10284" t="n">
        <v>55.72032</v>
      </c>
      <c r="E10284" t="n">
        <v>37.46525</v>
      </c>
      <c r="F10284" t="inlineStr"/>
      <c r="G10284" t="inlineStr"/>
      <c r="H10284" t="inlineStr"/>
    </row>
    <row r="10285">
      <c r="A10285" t="inlineStr">
        <is>
          <t>af626139-726a-47b7-bbfd-9b9b4fff5600.jpg</t>
        </is>
      </c>
      <c r="B10285">
        <f>HYPERLINK("Объекты недвижимости, не соответствующие градостроительным нормам_00-022_Август/af626139-726a-47b7-bbfd-9b9b4fff5600.jpg","open")</f>
        <v/>
      </c>
      <c r="C10285" t="inlineStr">
        <is>
          <t>dd22c7c9-0046-46d8-8631-55150dbf8ae5</t>
        </is>
      </c>
      <c r="D10285" t="n">
        <v>55.71858</v>
      </c>
      <c r="E10285" t="n">
        <v>37.56965</v>
      </c>
      <c r="F10285" t="inlineStr"/>
      <c r="G10285" t="inlineStr"/>
      <c r="H10285" t="inlineStr"/>
    </row>
    <row r="10286">
      <c r="A10286" t="inlineStr">
        <is>
          <t>7eba1e68-5bea-4503-a6a0-b46c8a4582ae.jpg</t>
        </is>
      </c>
      <c r="B10286">
        <f>HYPERLINK("Объекты недвижимости, не соответствующие градостроительным нормам_00-022_Август/7eba1e68-5bea-4503-a6a0-b46c8a4582ae.jpg","open")</f>
        <v/>
      </c>
      <c r="C10286" t="inlineStr">
        <is>
          <t>e26f5fc2-1353-4f29-85f3-87c56419161c</t>
        </is>
      </c>
      <c r="D10286" t="n">
        <v>55.69524</v>
      </c>
      <c r="E10286" t="n">
        <v>37.62101</v>
      </c>
      <c r="F10286" t="inlineStr"/>
      <c r="G10286" t="inlineStr"/>
      <c r="H10286" t="inlineStr"/>
    </row>
    <row r="10287">
      <c r="A10287" t="inlineStr">
        <is>
          <t>e66e1695-bbac-49dd-aaa0-4b99f39689b1.jpg</t>
        </is>
      </c>
      <c r="B10287">
        <f>HYPERLINK("Объекты недвижимости, не соответствующие градостроительным нормам_00-022_Август/e66e1695-bbac-49dd-aaa0-4b99f39689b1.jpg","open")</f>
        <v/>
      </c>
      <c r="C10287" t="inlineStr">
        <is>
          <t>af173c70-3716-4040-aa0b-1be99e78abe8</t>
        </is>
      </c>
      <c r="D10287" t="n">
        <v>55.71858</v>
      </c>
      <c r="E10287" t="n">
        <v>37.56965</v>
      </c>
      <c r="F10287" t="inlineStr"/>
      <c r="G10287" t="inlineStr"/>
      <c r="H10287" t="inlineStr"/>
    </row>
    <row r="10288">
      <c r="A10288" t="inlineStr">
        <is>
          <t>6900e80e-913b-4f17-a303-0cfb3c433497.jpg</t>
        </is>
      </c>
      <c r="B10288">
        <f>HYPERLINK("Объекты недвижимости, не соответствующие градостроительным нормам_00-022_Август/6900e80e-913b-4f17-a303-0cfb3c433497.jpg","open")</f>
        <v/>
      </c>
      <c r="C10288" t="inlineStr">
        <is>
          <t>750bf7e4-0f0f-4f1a-96af-607dc8c1f1c9</t>
        </is>
      </c>
      <c r="D10288" t="n">
        <v>55.8878</v>
      </c>
      <c r="E10288" t="n">
        <v>37.65525</v>
      </c>
      <c r="F10288" t="inlineStr"/>
      <c r="G10288" t="inlineStr"/>
      <c r="H10288" t="inlineStr"/>
    </row>
    <row r="10289">
      <c r="A10289" t="inlineStr">
        <is>
          <t>492aa98f-aee5-42d7-9d2f-40756b3cbec1.jpg</t>
        </is>
      </c>
      <c r="B10289">
        <f>HYPERLINK("Объекты недвижимости, не соответствующие градостроительным нормам_00-022_Август/492aa98f-aee5-42d7-9d2f-40756b3cbec1.jpg","open")</f>
        <v/>
      </c>
      <c r="C10289" t="inlineStr">
        <is>
          <t>31a713a9-b910-424b-b847-e0eaa2f70c70</t>
        </is>
      </c>
      <c r="D10289" t="n">
        <v>55.88783</v>
      </c>
      <c r="E10289" t="n">
        <v>37.6553</v>
      </c>
      <c r="F10289" t="inlineStr"/>
      <c r="G10289" t="inlineStr"/>
      <c r="H10289" t="inlineStr"/>
    </row>
    <row r="10290">
      <c r="A10290" t="inlineStr">
        <is>
          <t>ae6dd79d-a49d-4529-8684-ef3791544ed7.jpg</t>
        </is>
      </c>
      <c r="B10290">
        <f>HYPERLINK("Объекты недвижимости, не соответствующие градостроительным нормам_00-022_Август/ae6dd79d-a49d-4529-8684-ef3791544ed7.jpg","open")</f>
        <v/>
      </c>
      <c r="C10290" t="inlineStr">
        <is>
          <t>8b2675e2-7f40-47a9-a462-7c9feecd299c</t>
        </is>
      </c>
      <c r="D10290" t="n">
        <v>55.71012</v>
      </c>
      <c r="E10290" t="n">
        <v>37.66477</v>
      </c>
      <c r="F10290" t="inlineStr"/>
      <c r="G10290" t="inlineStr"/>
      <c r="H10290" t="inlineStr"/>
    </row>
    <row r="10291">
      <c r="A10291" t="inlineStr">
        <is>
          <t>d73151b8-0729-466d-8b3e-61dd646f81e8.jpg</t>
        </is>
      </c>
      <c r="B10291">
        <f>HYPERLINK("Объекты недвижимости, не соответствующие градостроительным нормам_00-022_Август/d73151b8-0729-466d-8b3e-61dd646f81e8.jpg","open")</f>
        <v/>
      </c>
      <c r="C10291" t="inlineStr">
        <is>
          <t>e26f5fc2-1353-4f29-85f3-87c56419161c</t>
        </is>
      </c>
      <c r="D10291" t="n">
        <v>55.6702</v>
      </c>
      <c r="E10291" t="n">
        <v>37.6255</v>
      </c>
      <c r="F10291" t="inlineStr"/>
      <c r="G10291" t="inlineStr"/>
      <c r="H10291" t="inlineStr"/>
    </row>
    <row r="10292">
      <c r="A10292" t="inlineStr">
        <is>
          <t>7e483758-dd12-4284-b8f5-eb31decbcc9b.jpg</t>
        </is>
      </c>
      <c r="B10292">
        <f>HYPERLINK("Объекты недвижимости, не соответствующие градостроительным нормам_00-022_Август/7e483758-dd12-4284-b8f5-eb31decbcc9b.jpg","open")</f>
        <v/>
      </c>
      <c r="C10292" t="inlineStr">
        <is>
          <t>036c664f-5408-4fd0-b479-342c00468eeb</t>
        </is>
      </c>
      <c r="D10292" t="n">
        <v>55.63429</v>
      </c>
      <c r="E10292" t="n">
        <v>37.38623</v>
      </c>
      <c r="F10292" t="inlineStr"/>
      <c r="G10292" t="inlineStr"/>
      <c r="H10292" t="inlineStr"/>
    </row>
    <row r="10293">
      <c r="A10293" t="inlineStr">
        <is>
          <t>671068f7-6ea5-47a5-880e-e2c2ffba74a4.jpg</t>
        </is>
      </c>
      <c r="B10293">
        <f>HYPERLINK("Объекты недвижимости, не соответствующие градостроительным нормам_00-022_Август/671068f7-6ea5-47a5-880e-e2c2ffba74a4.jpg","open")</f>
        <v/>
      </c>
      <c r="C10293" t="inlineStr">
        <is>
          <t>685d9054-b74f-49ab-857b-109fd2cec80d</t>
        </is>
      </c>
      <c r="D10293" t="n">
        <v>55.68058</v>
      </c>
      <c r="E10293" t="n">
        <v>37.6105</v>
      </c>
      <c r="F10293" t="inlineStr"/>
      <c r="G10293" t="inlineStr"/>
      <c r="H10293" t="inlineStr"/>
    </row>
    <row r="10294">
      <c r="A10294" t="inlineStr">
        <is>
          <t>01ac0194-37dc-44b7-a19e-3ef7df9599a8.jpg</t>
        </is>
      </c>
      <c r="B10294">
        <f>HYPERLINK("Объекты недвижимости, не соответствующие градостроительным нормам_00-022_Август/01ac0194-37dc-44b7-a19e-3ef7df9599a8.jpg","open")</f>
        <v/>
      </c>
      <c r="C10294" t="inlineStr">
        <is>
          <t>685d9054-b74f-49ab-857b-109fd2cec80d</t>
        </is>
      </c>
      <c r="D10294" t="n">
        <v>55.6806</v>
      </c>
      <c r="E10294" t="n">
        <v>37.61051</v>
      </c>
      <c r="F10294" t="inlineStr"/>
      <c r="G10294" t="inlineStr"/>
      <c r="H10294" t="inlineStr"/>
    </row>
    <row r="10295">
      <c r="A10295" t="inlineStr">
        <is>
          <t>e5574941-5714-4226-b818-75a1f21e51dd.jpg</t>
        </is>
      </c>
      <c r="B10295">
        <f>HYPERLINK("Объекты недвижимости, не соответствующие градостроительным нормам_00-022_Август/e5574941-5714-4226-b818-75a1f21e51dd.jpg","open")</f>
        <v/>
      </c>
      <c r="C10295" t="inlineStr">
        <is>
          <t>685d9054-b74f-49ab-857b-109fd2cec80d</t>
        </is>
      </c>
      <c r="D10295" t="n">
        <v>55.6806</v>
      </c>
      <c r="E10295" t="n">
        <v>37.61052</v>
      </c>
      <c r="F10295" t="inlineStr"/>
      <c r="G10295" t="inlineStr"/>
      <c r="H10295" t="inlineStr"/>
    </row>
    <row r="10296">
      <c r="A10296" t="inlineStr">
        <is>
          <t>f4bfc9a6-ed4b-4a73-92b8-c7082fbbbc49.jpg</t>
        </is>
      </c>
      <c r="B10296">
        <f>HYPERLINK("Объекты недвижимости, не соответствующие градостроительным нормам_00-022_Август/f4bfc9a6-ed4b-4a73-92b8-c7082fbbbc49.jpg","open")</f>
        <v/>
      </c>
      <c r="C10296" t="inlineStr">
        <is>
          <t>685d9054-b74f-49ab-857b-109fd2cec80d</t>
        </is>
      </c>
      <c r="D10296" t="n">
        <v>55.68061</v>
      </c>
      <c r="E10296" t="n">
        <v>37.61053</v>
      </c>
      <c r="F10296" t="inlineStr"/>
      <c r="G10296" t="inlineStr"/>
      <c r="H10296" t="inlineStr"/>
    </row>
    <row r="10297">
      <c r="A10297" t="inlineStr">
        <is>
          <t>b4bed235-c0ce-42fd-9454-02a13cf0378f.jpg</t>
        </is>
      </c>
      <c r="B10297">
        <f>HYPERLINK("Объекты недвижимости, не соответствующие градостроительным нормам_00-022_Август/b4bed235-c0ce-42fd-9454-02a13cf0378f.jpg","open")</f>
        <v/>
      </c>
      <c r="C10297" t="inlineStr">
        <is>
          <t>685d9054-b74f-49ab-857b-109fd2cec80d</t>
        </is>
      </c>
      <c r="D10297" t="n">
        <v>55.68063</v>
      </c>
      <c r="E10297" t="n">
        <v>37.61055</v>
      </c>
      <c r="F10297" t="inlineStr"/>
      <c r="G10297" t="inlineStr"/>
      <c r="H10297" t="inlineStr"/>
    </row>
    <row r="10298">
      <c r="A10298" t="inlineStr">
        <is>
          <t>188cfff8-a4db-49ee-aef8-687484df853d.jpg</t>
        </is>
      </c>
      <c r="B10298">
        <f>HYPERLINK("Объекты недвижимости, не соответствующие градостроительным нормам_00-022_Август/188cfff8-a4db-49ee-aef8-687484df853d.jpg","open")</f>
        <v/>
      </c>
      <c r="C10298" t="inlineStr">
        <is>
          <t>685d9054-b74f-49ab-857b-109fd2cec80d</t>
        </is>
      </c>
      <c r="D10298" t="n">
        <v>55.68063</v>
      </c>
      <c r="E10298" t="n">
        <v>37.61053</v>
      </c>
      <c r="F10298" t="inlineStr"/>
      <c r="G10298" t="inlineStr"/>
      <c r="H10298" t="inlineStr"/>
    </row>
    <row r="10299">
      <c r="A10299" t="inlineStr">
        <is>
          <t>bf98638b-67d5-4707-b442-8dd58e75a295.jpg</t>
        </is>
      </c>
      <c r="B10299">
        <f>HYPERLINK("Объекты недвижимости, не соответствующие градостроительным нормам_00-022_Август/bf98638b-67d5-4707-b442-8dd58e75a295.jpg","open")</f>
        <v/>
      </c>
      <c r="C10299" t="inlineStr">
        <is>
          <t>1231bbc5-e64c-4dc7-9acc-77710f47607a</t>
        </is>
      </c>
      <c r="D10299" t="n">
        <v>55.68062</v>
      </c>
      <c r="E10299" t="n">
        <v>37.61044</v>
      </c>
      <c r="F10299" t="inlineStr"/>
      <c r="G10299" t="inlineStr"/>
      <c r="H10299" t="inlineStr"/>
    </row>
    <row r="10300">
      <c r="A10300" t="inlineStr">
        <is>
          <t>b14d5bb2-848f-4680-a940-578bc89c6c94.jpg</t>
        </is>
      </c>
      <c r="B10300">
        <f>HYPERLINK("Объекты недвижимости, не соответствующие градостроительным нормам_00-022_Август/b14d5bb2-848f-4680-a940-578bc89c6c94.jpg","open")</f>
        <v/>
      </c>
      <c r="C10300" t="inlineStr">
        <is>
          <t>685d9054-b74f-49ab-857b-109fd2cec80d</t>
        </is>
      </c>
      <c r="D10300" t="n">
        <v>55.68062</v>
      </c>
      <c r="E10300" t="n">
        <v>37.61043</v>
      </c>
      <c r="F10300" t="inlineStr"/>
      <c r="G10300" t="inlineStr"/>
      <c r="H10300" t="inlineStr"/>
    </row>
    <row r="10301">
      <c r="A10301" t="inlineStr">
        <is>
          <t>a14f5060-9b43-45e1-b06a-d281a133a003.jpg</t>
        </is>
      </c>
      <c r="B10301">
        <f>HYPERLINK("Объекты недвижимости, не соответствующие градостроительным нормам_00-022_Август/a14f5060-9b43-45e1-b06a-d281a133a003.jpg","open")</f>
        <v/>
      </c>
      <c r="C10301" t="inlineStr">
        <is>
          <t>e26f5fc2-1353-4f29-85f3-87c56419161c</t>
        </is>
      </c>
      <c r="D10301" t="n">
        <v>55.65123</v>
      </c>
      <c r="E10301" t="n">
        <v>37.61934</v>
      </c>
      <c r="F10301" t="inlineStr"/>
      <c r="G10301" t="inlineStr"/>
      <c r="H10301" t="inlineStr"/>
    </row>
    <row r="10302">
      <c r="A10302" t="inlineStr">
        <is>
          <t>86220b71-329a-4f9d-9797-a6ff4e179cfd.jpg</t>
        </is>
      </c>
      <c r="B10302">
        <f>HYPERLINK("Объекты недвижимости, не соответствующие градостроительным нормам_00-022_Август/86220b71-329a-4f9d-9797-a6ff4e179cfd.jpg","open")</f>
        <v/>
      </c>
      <c r="C10302" t="inlineStr">
        <is>
          <t>61936922-4d4b-458e-80ea-6d4c450aa1d5</t>
        </is>
      </c>
      <c r="D10302" t="n">
        <v>55.67289</v>
      </c>
      <c r="E10302" t="n">
        <v>37.49638</v>
      </c>
      <c r="F10302" t="inlineStr"/>
      <c r="G10302" t="inlineStr"/>
      <c r="H10302" t="inlineStr"/>
    </row>
    <row r="10303">
      <c r="A10303" t="inlineStr">
        <is>
          <t>6eefc200-6368-4fa7-a898-f12bcc831890.jpg</t>
        </is>
      </c>
      <c r="B10303">
        <f>HYPERLINK("Объекты недвижимости, не соответствующие градостроительным нормам_00-022_Август/6eefc200-6368-4fa7-a898-f12bcc831890.jpg","open")</f>
        <v/>
      </c>
      <c r="C10303" t="inlineStr">
        <is>
          <t>31a713a9-b910-424b-b847-e0eaa2f70c70</t>
        </is>
      </c>
      <c r="D10303" t="n">
        <v>55.89073</v>
      </c>
      <c r="E10303" t="n">
        <v>37.66219</v>
      </c>
      <c r="F10303" t="inlineStr"/>
      <c r="G10303" t="inlineStr"/>
      <c r="H10303" t="inlineStr"/>
    </row>
    <row r="10304">
      <c r="A10304" t="inlineStr">
        <is>
          <t>141ecabe-211d-4b24-afbd-28d165698bc3.jpg</t>
        </is>
      </c>
      <c r="B10304">
        <f>HYPERLINK("Объекты недвижимости, не соответствующие градостроительным нормам_00-022_Август/141ecabe-211d-4b24-afbd-28d165698bc3.jpg","open")</f>
        <v/>
      </c>
      <c r="C10304" t="inlineStr">
        <is>
          <t>685d9054-b74f-49ab-857b-109fd2cec80d</t>
        </is>
      </c>
      <c r="D10304" t="n">
        <v>55.68069</v>
      </c>
      <c r="E10304" t="n">
        <v>37.60993</v>
      </c>
      <c r="F10304" t="inlineStr"/>
      <c r="G10304" t="inlineStr"/>
      <c r="H10304" t="inlineStr"/>
    </row>
    <row r="10305">
      <c r="A10305" t="inlineStr">
        <is>
          <t>9119391d-16c2-43d0-a862-444e61299853.jpg</t>
        </is>
      </c>
      <c r="B10305">
        <f>HYPERLINK("Объекты недвижимости, не соответствующие градостроительным нормам_00-022_Август/9119391d-16c2-43d0-a862-444e61299853.jpg","open")</f>
        <v/>
      </c>
      <c r="C10305" t="inlineStr">
        <is>
          <t>dd22c7c9-0046-46d8-8631-55150dbf8ae5</t>
        </is>
      </c>
      <c r="D10305" t="n">
        <v>55.71858</v>
      </c>
      <c r="E10305" t="n">
        <v>37.56965</v>
      </c>
      <c r="F10305" t="inlineStr"/>
      <c r="G10305" t="inlineStr"/>
      <c r="H10305" t="inlineStr"/>
    </row>
    <row r="10306">
      <c r="A10306" t="inlineStr">
        <is>
          <t>b7b8ffbb-c0a8-4cf4-a580-4b46aa103740.jpg</t>
        </is>
      </c>
      <c r="B10306">
        <f>HYPERLINK("Объекты недвижимости, не соответствующие градостроительным нормам_00-022_Август/b7b8ffbb-c0a8-4cf4-a580-4b46aa103740.jpg","open")</f>
        <v/>
      </c>
      <c r="C10306" t="inlineStr">
        <is>
          <t>dd22c7c9-0046-46d8-8631-55150dbf8ae5</t>
        </is>
      </c>
      <c r="D10306" t="n">
        <v>55.71858</v>
      </c>
      <c r="E10306" t="n">
        <v>37.56965</v>
      </c>
      <c r="F10306" t="inlineStr"/>
      <c r="G10306" t="inlineStr"/>
      <c r="H10306" t="inlineStr"/>
    </row>
    <row r="10307">
      <c r="A10307" t="inlineStr">
        <is>
          <t>49f3105a-f615-4d29-870c-ebfc5c2d62ec.jpg</t>
        </is>
      </c>
      <c r="B10307">
        <f>HYPERLINK("Объекты недвижимости, не соответствующие градостроительным нормам_00-022_Август/49f3105a-f615-4d29-870c-ebfc5c2d62ec.jpg","open")</f>
        <v/>
      </c>
      <c r="C10307" t="inlineStr">
        <is>
          <t>9c930d0e-e445-452d-a046-325646b21ab7</t>
        </is>
      </c>
      <c r="D10307" t="n">
        <v>55.87627</v>
      </c>
      <c r="E10307" t="n">
        <v>37.68022</v>
      </c>
      <c r="F10307" t="inlineStr"/>
      <c r="G10307" t="inlineStr"/>
      <c r="H10307" t="inlineStr"/>
    </row>
    <row r="10308">
      <c r="A10308" t="inlineStr">
        <is>
          <t>43022e80-ab9a-41fd-a9f9-bc6e16a0f2a3.jpg</t>
        </is>
      </c>
      <c r="B10308">
        <f>HYPERLINK("Объекты недвижимости, не соответствующие градостроительным нормам_00-022_Август/43022e80-ab9a-41fd-a9f9-bc6e16a0f2a3.jpg","open")</f>
        <v/>
      </c>
      <c r="C10308" t="inlineStr">
        <is>
          <t>b0b7ea82-53be-40d0-b992-e2fd18611d5c</t>
        </is>
      </c>
      <c r="D10308" t="n">
        <v>55.71238</v>
      </c>
      <c r="E10308" t="n">
        <v>37.73271</v>
      </c>
      <c r="F10308" t="inlineStr"/>
      <c r="G10308" t="inlineStr"/>
      <c r="H10308" t="inlineStr"/>
    </row>
    <row r="10309">
      <c r="A10309" t="inlineStr">
        <is>
          <t>435f2927-0962-4f33-a08c-0db888fc296c.jpg</t>
        </is>
      </c>
      <c r="B10309">
        <f>HYPERLINK("Объекты недвижимости, не соответствующие градостроительным нормам_00-022_Август/435f2927-0962-4f33-a08c-0db888fc296c.jpg","open")</f>
        <v/>
      </c>
      <c r="C10309" t="inlineStr">
        <is>
          <t>cb4060b2-34d3-44a4-9f60-115fb1e9278e</t>
        </is>
      </c>
      <c r="D10309" t="n">
        <v>55.68367</v>
      </c>
      <c r="E10309" t="n">
        <v>37.58458</v>
      </c>
      <c r="F10309" t="inlineStr"/>
      <c r="G10309" t="inlineStr"/>
      <c r="H10309" t="inlineStr"/>
    </row>
    <row r="10310">
      <c r="A10310" t="inlineStr">
        <is>
          <t>93107457-69ce-40d9-81d2-ef42b743ec71.jpg</t>
        </is>
      </c>
      <c r="B10310">
        <f>HYPERLINK("Объекты недвижимости, не соответствующие градостроительным нормам_00-022_Август/93107457-69ce-40d9-81d2-ef42b743ec71.jpg","open")</f>
        <v/>
      </c>
      <c r="C10310" t="inlineStr">
        <is>
          <t>93848fc8-17e7-4748-9ebc-c7e379e11d2f</t>
        </is>
      </c>
      <c r="D10310" t="n">
        <v>55.55368</v>
      </c>
      <c r="E10310" t="n">
        <v>37.5599</v>
      </c>
      <c r="F10310" t="inlineStr"/>
      <c r="G10310" t="inlineStr"/>
      <c r="H10310" t="inlineStr"/>
    </row>
    <row r="10311">
      <c r="A10311" t="inlineStr">
        <is>
          <t>a9abab67-e85c-4367-ae34-91aa633913cf.jpg</t>
        </is>
      </c>
      <c r="B10311">
        <f>HYPERLINK("Объекты недвижимости, не соответствующие градостроительным нормам_00-022_Август/a9abab67-e85c-4367-ae34-91aa633913cf.jpg","open")</f>
        <v/>
      </c>
      <c r="C10311" t="inlineStr">
        <is>
          <t>dd22c7c9-0046-46d8-8631-55150dbf8ae5</t>
        </is>
      </c>
      <c r="D10311" t="n">
        <v>55.71858</v>
      </c>
      <c r="E10311" t="n">
        <v>37.56965</v>
      </c>
      <c r="F10311" t="inlineStr"/>
      <c r="G10311" t="inlineStr"/>
      <c r="H10311" t="inlineStr"/>
    </row>
    <row r="10312">
      <c r="A10312" t="inlineStr">
        <is>
          <t>99a3e2cd-3bf4-4ef0-915e-43d115facf9c.jpg</t>
        </is>
      </c>
      <c r="B10312">
        <f>HYPERLINK("Объекты недвижимости, не соответствующие градостроительным нормам_00-022_Август/99a3e2cd-3bf4-4ef0-915e-43d115facf9c.jpg","open")</f>
        <v/>
      </c>
      <c r="C10312" t="inlineStr">
        <is>
          <t>1231bbc5-e64c-4dc7-9acc-77710f47607a</t>
        </is>
      </c>
      <c r="D10312" t="n">
        <v>55.68174</v>
      </c>
      <c r="E10312" t="n">
        <v>37.61206</v>
      </c>
      <c r="F10312" t="inlineStr"/>
      <c r="G10312" t="inlineStr"/>
      <c r="H10312" t="inlineStr"/>
    </row>
    <row r="10313">
      <c r="A10313" t="inlineStr">
        <is>
          <t>c3fc3ced-1704-4400-bcb9-72e22181c2a5.jpg</t>
        </is>
      </c>
      <c r="B10313">
        <f>HYPERLINK("Объекты недвижимости, не соответствующие градостроительным нормам_00-022_Август/c3fc3ced-1704-4400-bcb9-72e22181c2a5.jpg","open")</f>
        <v/>
      </c>
      <c r="C10313" t="inlineStr">
        <is>
          <t>9c930d0e-e445-452d-a046-325646b21ab7</t>
        </is>
      </c>
      <c r="D10313" t="n">
        <v>55.86455</v>
      </c>
      <c r="E10313" t="n">
        <v>37.66343</v>
      </c>
      <c r="F10313" t="inlineStr"/>
      <c r="G10313" t="inlineStr"/>
      <c r="H10313" t="inlineStr"/>
    </row>
    <row r="10314">
      <c r="A10314" t="inlineStr">
        <is>
          <t>7947d6c5-7144-4dcc-bd59-ecd07e263e7f.jpg</t>
        </is>
      </c>
      <c r="B10314">
        <f>HYPERLINK("Объекты недвижимости, не соответствующие градостроительным нормам_00-022_Август/7947d6c5-7144-4dcc-bd59-ecd07e263e7f.jpg","open")</f>
        <v/>
      </c>
      <c r="C10314" t="inlineStr">
        <is>
          <t>dd22c7c9-0046-46d8-8631-55150dbf8ae5</t>
        </is>
      </c>
      <c r="D10314" t="n">
        <v>55.71858</v>
      </c>
      <c r="E10314" t="n">
        <v>37.56965</v>
      </c>
      <c r="F10314" t="inlineStr"/>
      <c r="G10314" t="inlineStr"/>
      <c r="H10314" t="inlineStr"/>
    </row>
    <row r="10315">
      <c r="A10315" t="inlineStr">
        <is>
          <t>b9eac2a7-494e-4202-b019-b0ec70e934fc.jpg</t>
        </is>
      </c>
      <c r="B10315">
        <f>HYPERLINK("Объекты недвижимости, не соответствующие градостроительным нормам_00-022_Август/b9eac2a7-494e-4202-b019-b0ec70e934fc.jpg","open")</f>
        <v/>
      </c>
      <c r="C10315" t="inlineStr">
        <is>
          <t>dd22c7c9-0046-46d8-8631-55150dbf8ae5</t>
        </is>
      </c>
      <c r="D10315" t="n">
        <v>55.71858</v>
      </c>
      <c r="E10315" t="n">
        <v>37.56965</v>
      </c>
      <c r="F10315" t="inlineStr"/>
      <c r="G10315" t="inlineStr"/>
      <c r="H10315" t="inlineStr"/>
    </row>
    <row r="10316">
      <c r="A10316" t="inlineStr">
        <is>
          <t>fb4c6375-4bc9-42d9-97d5-7ef0a46aa109.jpg</t>
        </is>
      </c>
      <c r="B10316">
        <f>HYPERLINK("Объекты недвижимости, не соответствующие градостроительным нормам_00-022_Август/fb4c6375-4bc9-42d9-97d5-7ef0a46aa109.jpg","open")</f>
        <v/>
      </c>
      <c r="C10316" t="inlineStr">
        <is>
          <t>8b2675e2-7f40-47a9-a462-7c9feecd299c</t>
        </is>
      </c>
      <c r="D10316" t="n">
        <v>55.70658</v>
      </c>
      <c r="E10316" t="n">
        <v>37.58977</v>
      </c>
      <c r="F10316" t="inlineStr"/>
      <c r="G10316" t="inlineStr"/>
      <c r="H10316" t="inlineStr"/>
    </row>
    <row r="10317">
      <c r="A10317" t="inlineStr">
        <is>
          <t>07d5966e-9d06-4042-92ef-fb5925770d04.jpg</t>
        </is>
      </c>
      <c r="B10317">
        <f>HYPERLINK("Объекты недвижимости, не соответствующие градостроительным нормам_00-022_Август/07d5966e-9d06-4042-92ef-fb5925770d04.jpg","open")</f>
        <v/>
      </c>
      <c r="C10317" t="inlineStr">
        <is>
          <t>b23a39fd-838c-435a-bacd-b4d6bb842c62</t>
        </is>
      </c>
      <c r="D10317" t="n">
        <v>55.81335</v>
      </c>
      <c r="E10317" t="n">
        <v>37.75629</v>
      </c>
      <c r="F10317" t="inlineStr"/>
      <c r="G10317" t="inlineStr"/>
      <c r="H10317" t="inlineStr"/>
    </row>
    <row r="10318">
      <c r="A10318" t="inlineStr">
        <is>
          <t>1cf38f74-5934-414f-81a6-af7278d0e0e4.jpg</t>
        </is>
      </c>
      <c r="B10318">
        <f>HYPERLINK("Объекты недвижимости, не соответствующие градостроительным нормам_00-022_Август/1cf38f74-5934-414f-81a6-af7278d0e0e4.jpg","open")</f>
        <v/>
      </c>
      <c r="C10318" t="inlineStr">
        <is>
          <t>750bf7e4-0f0f-4f1a-96af-607dc8c1f1c9</t>
        </is>
      </c>
      <c r="D10318" t="n">
        <v>55.88778</v>
      </c>
      <c r="E10318" t="n">
        <v>37.6544</v>
      </c>
      <c r="F10318" t="inlineStr"/>
      <c r="G10318" t="inlineStr"/>
      <c r="H10318" t="inlineStr"/>
    </row>
    <row r="10319">
      <c r="A10319" t="inlineStr">
        <is>
          <t>dddf1599-a5a0-4059-b005-8e2dbdb9af8d.jpg</t>
        </is>
      </c>
      <c r="B10319">
        <f>HYPERLINK("Объекты недвижимости, не соответствующие градостроительным нормам_00-022_Август/dddf1599-a5a0-4059-b005-8e2dbdb9af8d.jpg","open")</f>
        <v/>
      </c>
      <c r="C10319" t="inlineStr">
        <is>
          <t>31a713a9-b910-424b-b847-e0eaa2f70c70</t>
        </is>
      </c>
      <c r="D10319" t="n">
        <v>55.88778</v>
      </c>
      <c r="E10319" t="n">
        <v>37.65451</v>
      </c>
      <c r="F10319" t="inlineStr"/>
      <c r="G10319" t="inlineStr"/>
      <c r="H10319" t="inlineStr"/>
    </row>
    <row r="10320">
      <c r="A10320" t="inlineStr">
        <is>
          <t>a7084c1a-bec2-4f3c-b44a-912465bc0e4e.jpg</t>
        </is>
      </c>
      <c r="B10320">
        <f>HYPERLINK("Объекты недвижимости, не соответствующие градостроительным нормам_00-022_Август/a7084c1a-bec2-4f3c-b44a-912465bc0e4e.jpg","open")</f>
        <v/>
      </c>
      <c r="C10320" t="inlineStr">
        <is>
          <t>936502dd-24a4-4256-9fdf-0d8fb72af3ed</t>
        </is>
      </c>
      <c r="D10320" t="n">
        <v>55.64616</v>
      </c>
      <c r="E10320" t="n">
        <v>37.6673</v>
      </c>
      <c r="F10320" t="inlineStr"/>
      <c r="G10320" t="inlineStr"/>
      <c r="H10320" t="inlineStr"/>
    </row>
    <row r="10321">
      <c r="A10321" t="inlineStr">
        <is>
          <t>df713a67-c6c1-4d60-acb0-48de58867771.jpg</t>
        </is>
      </c>
      <c r="B10321">
        <f>HYPERLINK("Объекты недвижимости, не соответствующие градостроительным нормам_00-022_Август/df713a67-c6c1-4d60-acb0-48de58867771.jpg","open")</f>
        <v/>
      </c>
      <c r="C10321" t="inlineStr">
        <is>
          <t>dd22c7c9-0046-46d8-8631-55150dbf8ae5</t>
        </is>
      </c>
      <c r="D10321" t="n">
        <v>55.71858</v>
      </c>
      <c r="E10321" t="n">
        <v>37.56965</v>
      </c>
      <c r="F10321" t="inlineStr"/>
      <c r="G10321" t="inlineStr"/>
      <c r="H10321" t="inlineStr"/>
    </row>
    <row r="10322">
      <c r="A10322" t="inlineStr">
        <is>
          <t>838d0ac3-0c1c-4132-ba15-71d0125bcd45.jpg</t>
        </is>
      </c>
      <c r="B10322">
        <f>HYPERLINK("Объекты недвижимости, не соответствующие градостроительным нормам_00-022_Август/838d0ac3-0c1c-4132-ba15-71d0125bcd45.jpg","open")</f>
        <v/>
      </c>
      <c r="C10322" t="inlineStr">
        <is>
          <t>8b2675e2-7f40-47a9-a462-7c9feecd299c</t>
        </is>
      </c>
      <c r="D10322" t="n">
        <v>55.68825</v>
      </c>
      <c r="E10322" t="n">
        <v>37.4354</v>
      </c>
      <c r="F10322" t="inlineStr"/>
      <c r="G10322" t="inlineStr"/>
      <c r="H10322" t="inlineStr"/>
    </row>
    <row r="10323">
      <c r="A10323" t="inlineStr">
        <is>
          <t>f3e7048f-1b8c-4e28-87b6-7af378cc4f63.jpg</t>
        </is>
      </c>
      <c r="B10323">
        <f>HYPERLINK("Объекты недвижимости, не соответствующие градостроительным нормам_00-022_Август/f3e7048f-1b8c-4e28-87b6-7af378cc4f63.jpg","open")</f>
        <v/>
      </c>
      <c r="C10323" t="inlineStr">
        <is>
          <t>f20fbc2b-b369-4734-bb66-92af02fbb0d1</t>
        </is>
      </c>
      <c r="D10323" t="n">
        <v>55.71057</v>
      </c>
      <c r="E10323" t="n">
        <v>37.735</v>
      </c>
      <c r="F10323" t="inlineStr"/>
      <c r="G10323" t="inlineStr"/>
      <c r="H10323" t="inlineStr"/>
    </row>
    <row r="10324">
      <c r="A10324" t="inlineStr">
        <is>
          <t>ceab6d37-d8e2-4091-a6a2-c76c8d4aecbf.jpg</t>
        </is>
      </c>
      <c r="B10324">
        <f>HYPERLINK("Объекты недвижимости, не соответствующие градостроительным нормам_00-022_Август/ceab6d37-d8e2-4091-a6a2-c76c8d4aecbf.jpg","open")</f>
        <v/>
      </c>
      <c r="C10324" t="inlineStr">
        <is>
          <t>93848fc8-17e7-4748-9ebc-c7e379e11d2f</t>
        </is>
      </c>
      <c r="D10324" t="n">
        <v>55.551</v>
      </c>
      <c r="E10324" t="n">
        <v>37.54741</v>
      </c>
      <c r="F10324" t="inlineStr"/>
      <c r="G10324" t="inlineStr"/>
      <c r="H10324" t="inlineStr"/>
    </row>
    <row r="10325">
      <c r="A10325" t="inlineStr">
        <is>
          <t>ee0b5d4c-0189-4ba0-9197-7a0c296246d5.jpg</t>
        </is>
      </c>
      <c r="B10325">
        <f>HYPERLINK("Объекты недвижимости, не соответствующие градостроительным нормам_00-022_Август/ee0b5d4c-0189-4ba0-9197-7a0c296246d5.jpg","open")</f>
        <v/>
      </c>
      <c r="C10325" t="inlineStr">
        <is>
          <t>61936922-4d4b-458e-80ea-6d4c450aa1d5</t>
        </is>
      </c>
      <c r="D10325" t="n">
        <v>55.82936</v>
      </c>
      <c r="E10325" t="n">
        <v>37.19555</v>
      </c>
      <c r="F10325" t="inlineStr"/>
      <c r="G10325" t="inlineStr"/>
      <c r="H10325" t="inlineStr"/>
    </row>
    <row r="10326">
      <c r="A10326" t="inlineStr">
        <is>
          <t>ea00c3bb-d8b5-4847-8d12-9c58cebc9280.jpg</t>
        </is>
      </c>
      <c r="B10326">
        <f>HYPERLINK("Объекты недвижимости, не соответствующие градостроительным нормам_00-022_Август/ea00c3bb-d8b5-4847-8d12-9c58cebc9280.jpg","open")</f>
        <v/>
      </c>
      <c r="C10326" t="inlineStr">
        <is>
          <t>8cde1fd0-eca1-4510-86ab-3c743b65fdfc</t>
        </is>
      </c>
      <c r="D10326" t="n">
        <v>55.9153</v>
      </c>
      <c r="E10326" t="n">
        <v>37.39824</v>
      </c>
      <c r="F10326" t="inlineStr"/>
      <c r="G10326" t="inlineStr"/>
      <c r="H10326" t="inlineStr"/>
    </row>
    <row r="10327">
      <c r="A10327" t="inlineStr">
        <is>
          <t>01570090-13b7-400e-86e2-7c1657dea6c1.jpg</t>
        </is>
      </c>
      <c r="B10327">
        <f>HYPERLINK("Объекты недвижимости, не соответствующие градостроительным нормам_00-022_Август/01570090-13b7-400e-86e2-7c1657dea6c1.jpg","open")</f>
        <v/>
      </c>
      <c r="C10327" t="inlineStr">
        <is>
          <t>31a713a9-b910-424b-b847-e0eaa2f70c70</t>
        </is>
      </c>
      <c r="D10327" t="n">
        <v>55.88261</v>
      </c>
      <c r="E10327" t="n">
        <v>37.62978</v>
      </c>
      <c r="F10327" t="inlineStr"/>
      <c r="G10327" t="inlineStr"/>
      <c r="H10327" t="inlineStr"/>
    </row>
    <row r="10328">
      <c r="A10328" t="inlineStr">
        <is>
          <t>8630ffff-5ef4-44b0-9e4b-583cf09c164a.jpg</t>
        </is>
      </c>
      <c r="B10328">
        <f>HYPERLINK("Объекты недвижимости, не соответствующие градостроительным нормам_00-022_Август/8630ffff-5ef4-44b0-9e4b-583cf09c164a.jpg","open")</f>
        <v/>
      </c>
      <c r="C10328" t="inlineStr">
        <is>
          <t>fb9a37cc-57a6-447c-98bb-0b299f09c809</t>
        </is>
      </c>
      <c r="D10328" t="n">
        <v>55.81319</v>
      </c>
      <c r="E10328" t="n">
        <v>37.78145</v>
      </c>
      <c r="F10328" t="inlineStr"/>
      <c r="G10328" t="inlineStr"/>
      <c r="H10328" t="inlineStr"/>
    </row>
    <row r="10329">
      <c r="A10329" t="inlineStr">
        <is>
          <t>0a1028c1-bf47-40ad-b8fc-1d5bbc68f0bc.jpg</t>
        </is>
      </c>
      <c r="B10329">
        <f>HYPERLINK("Объекты недвижимости, не соответствующие градостроительным нормам_00-022_Август/0a1028c1-bf47-40ad-b8fc-1d5bbc68f0bc.jpg","open")</f>
        <v/>
      </c>
      <c r="C10329" t="inlineStr">
        <is>
          <t>e85aff3b-73e8-4856-827e-477ccc0aea77</t>
        </is>
      </c>
      <c r="D10329" t="n">
        <v>55.70704</v>
      </c>
      <c r="E10329" t="n">
        <v>37.66505</v>
      </c>
      <c r="F10329" t="inlineStr"/>
      <c r="G10329" t="inlineStr"/>
      <c r="H10329" t="inlineStr"/>
    </row>
    <row r="10330">
      <c r="A10330" t="inlineStr">
        <is>
          <t>a964a1bf-bff6-4e9c-9e74-cb81aa8f0ca4.jpg</t>
        </is>
      </c>
      <c r="B10330">
        <f>HYPERLINK("Объекты недвижимости, не соответствующие градостроительным нормам_00-022_Август/a964a1bf-bff6-4e9c-9e74-cb81aa8f0ca4.jpg","open")</f>
        <v/>
      </c>
      <c r="C10330" t="inlineStr">
        <is>
          <t>ed2bf0f1-3a66-4913-896e-4420a9796c0b</t>
        </is>
      </c>
      <c r="D10330" t="n">
        <v>55.53801</v>
      </c>
      <c r="E10330" t="n">
        <v>37.19586</v>
      </c>
      <c r="F10330" t="inlineStr"/>
      <c r="G10330" t="inlineStr"/>
      <c r="H10330" t="inlineStr"/>
    </row>
    <row r="10331">
      <c r="A10331" t="inlineStr">
        <is>
          <t>cad75aa8-3f9f-44f6-b3dc-e27197b236e0.jpg</t>
        </is>
      </c>
      <c r="B10331">
        <f>HYPERLINK("Объекты недвижимости, не соответствующие градостроительным нормам_00-022_Август/cad75aa8-3f9f-44f6-b3dc-e27197b236e0.jpg","open")</f>
        <v/>
      </c>
      <c r="C10331" t="inlineStr">
        <is>
          <t>acedacc2-0d8b-4fc1-9622-25621a89d071</t>
        </is>
      </c>
      <c r="D10331" t="n">
        <v>55.79803</v>
      </c>
      <c r="E10331" t="n">
        <v>37.79497</v>
      </c>
      <c r="F10331" t="inlineStr"/>
      <c r="G10331" t="inlineStr"/>
      <c r="H10331" t="inlineStr"/>
    </row>
    <row r="10332">
      <c r="A10332" t="inlineStr">
        <is>
          <t>e557ca99-a632-49ef-a377-ae2137deed79.jpg</t>
        </is>
      </c>
      <c r="B10332">
        <f>HYPERLINK("Объекты недвижимости, не соответствующие градостроительным нормам_00-022_Август/e557ca99-a632-49ef-a377-ae2137deed79.jpg","open")</f>
        <v/>
      </c>
      <c r="C10332" t="inlineStr">
        <is>
          <t>ed2bf0f1-3a66-4913-896e-4420a9796c0b</t>
        </is>
      </c>
      <c r="D10332" t="n">
        <v>55.53719</v>
      </c>
      <c r="E10332" t="n">
        <v>37.19891</v>
      </c>
      <c r="F10332" t="inlineStr"/>
      <c r="G10332" t="inlineStr"/>
      <c r="H10332" t="inlineStr"/>
    </row>
    <row r="10333">
      <c r="A10333" t="inlineStr">
        <is>
          <t>b52c0c27-e260-4eda-9cb0-e9290eccebfc.jpg</t>
        </is>
      </c>
      <c r="B10333">
        <f>HYPERLINK("Объекты недвижимости, не соответствующие градостроительным нормам_00-022_Август/b52c0c27-e260-4eda-9cb0-e9290eccebfc.jpg","open")</f>
        <v/>
      </c>
      <c r="C10333" t="inlineStr">
        <is>
          <t>57aae8a4-582b-4309-8045-c8127a9f86ae</t>
        </is>
      </c>
      <c r="D10333" t="n">
        <v>55.79749</v>
      </c>
      <c r="E10333" t="n">
        <v>37.79536</v>
      </c>
      <c r="F10333" t="inlineStr"/>
      <c r="G10333" t="inlineStr"/>
      <c r="H10333" t="inlineStr"/>
    </row>
    <row r="10334">
      <c r="A10334" t="inlineStr">
        <is>
          <t>afc7399d-3d8a-4335-a993-2b1cc8a2e4ff.jpg</t>
        </is>
      </c>
      <c r="B10334">
        <f>HYPERLINK("Объекты недвижимости, не соответствующие градостроительным нормам_00-022_Август/afc7399d-3d8a-4335-a993-2b1cc8a2e4ff.jpg","open")</f>
        <v/>
      </c>
      <c r="C10334" t="inlineStr">
        <is>
          <t>91248771-2c4d-44f3-b3cf-d536bd4ae73c</t>
        </is>
      </c>
      <c r="D10334" t="n">
        <v>55.78827</v>
      </c>
      <c r="E10334" t="n">
        <v>37.73019</v>
      </c>
      <c r="F10334" t="inlineStr"/>
      <c r="G10334" t="inlineStr"/>
      <c r="H10334" t="inlineStr"/>
    </row>
    <row r="10335">
      <c r="A10335" t="inlineStr">
        <is>
          <t>dda32864-8405-48d8-8ad8-baf262c83a91.jpg</t>
        </is>
      </c>
      <c r="B10335">
        <f>HYPERLINK("Объекты недвижимости, не соответствующие градостроительным нормам_00-022_Август/dda32864-8405-48d8-8ad8-baf262c83a91.jpg","open")</f>
        <v/>
      </c>
      <c r="C10335" t="inlineStr">
        <is>
          <t>acedacc2-0d8b-4fc1-9622-25621a89d071</t>
        </is>
      </c>
      <c r="D10335" t="n">
        <v>55.79772</v>
      </c>
      <c r="E10335" t="n">
        <v>37.79457</v>
      </c>
      <c r="F10335" t="inlineStr"/>
      <c r="G10335" t="inlineStr"/>
      <c r="H10335" t="inlineStr"/>
    </row>
    <row r="10336">
      <c r="A10336" t="inlineStr">
        <is>
          <t>2f326ac3-058c-4178-a6e7-77d9b21563b6.jpg</t>
        </is>
      </c>
      <c r="B10336">
        <f>HYPERLINK("Объекты недвижимости, не соответствующие градостроительным нормам_00-022_Август/2f326ac3-058c-4178-a6e7-77d9b21563b6.jpg","open")</f>
        <v/>
      </c>
      <c r="C10336" t="inlineStr">
        <is>
          <t>50e4626c-a80e-42ab-b999-b5092c2c063f</t>
        </is>
      </c>
      <c r="D10336" t="n">
        <v>55.73213</v>
      </c>
      <c r="E10336" t="n">
        <v>37.67142</v>
      </c>
      <c r="F10336" t="inlineStr"/>
      <c r="G10336" t="inlineStr"/>
      <c r="H10336" t="inlineStr"/>
    </row>
    <row r="10337">
      <c r="A10337" t="inlineStr">
        <is>
          <t>9e2c656d-4201-4468-a19f-a4c33885cf40.jpg</t>
        </is>
      </c>
      <c r="B10337">
        <f>HYPERLINK("Объекты недвижимости, не соответствующие градостроительным нормам_00-022_Август/9e2c656d-4201-4468-a19f-a4c33885cf40.jpg","open")</f>
        <v/>
      </c>
      <c r="C10337" t="inlineStr">
        <is>
          <t>797901ad-53b1-41b8-99d1-d59d59c863d5</t>
        </is>
      </c>
      <c r="D10337" t="n">
        <v>55.74355</v>
      </c>
      <c r="E10337" t="n">
        <v>37.81931</v>
      </c>
      <c r="F10337" t="inlineStr"/>
      <c r="G10337" t="inlineStr"/>
      <c r="H10337" t="inlineStr"/>
    </row>
    <row r="10338">
      <c r="A10338" t="inlineStr">
        <is>
          <t>011dc753-6875-4353-903c-832f8eb7b5c1.jpg</t>
        </is>
      </c>
      <c r="B10338">
        <f>HYPERLINK("Объекты недвижимости, не соответствующие градостроительным нормам_00-022_Август/011dc753-6875-4353-903c-832f8eb7b5c1.jpg","open")</f>
        <v/>
      </c>
      <c r="C10338" t="inlineStr">
        <is>
          <t>56702d00-3d38-4721-8f83-3846a59c1e44</t>
        </is>
      </c>
      <c r="D10338" t="n">
        <v>55.73213</v>
      </c>
      <c r="E10338" t="n">
        <v>37.67142</v>
      </c>
      <c r="F10338" t="inlineStr"/>
      <c r="G10338" t="inlineStr"/>
      <c r="H10338" t="inlineStr"/>
    </row>
    <row r="10339">
      <c r="A10339" t="inlineStr">
        <is>
          <t>07882fdd-8139-4380-9eb9-3c3f301c33b6.jpg</t>
        </is>
      </c>
      <c r="B10339">
        <f>HYPERLINK("Объекты недвижимости, не соответствующие градостроительным нормам_00-022_Август/07882fdd-8139-4380-9eb9-3c3f301c33b6.jpg","open")</f>
        <v/>
      </c>
      <c r="C10339" t="inlineStr">
        <is>
          <t>50e4626c-a80e-42ab-b999-b5092c2c063f</t>
        </is>
      </c>
      <c r="D10339" t="n">
        <v>55.73213</v>
      </c>
      <c r="E10339" t="n">
        <v>37.67142</v>
      </c>
      <c r="F10339" t="inlineStr"/>
      <c r="G10339" t="inlineStr"/>
      <c r="H10339" t="inlineStr"/>
    </row>
    <row r="10340">
      <c r="A10340" t="inlineStr">
        <is>
          <t>126091e3-0a55-4b8b-81e4-4f57379d71a2.jpg</t>
        </is>
      </c>
      <c r="B10340">
        <f>HYPERLINK("Объекты недвижимости, не соответствующие градостроительным нормам_00-022_Август/126091e3-0a55-4b8b-81e4-4f57379d71a2.jpg","open")</f>
        <v/>
      </c>
      <c r="C10340" t="inlineStr">
        <is>
          <t>ed2bf0f1-3a66-4913-896e-4420a9796c0b</t>
        </is>
      </c>
      <c r="D10340" t="n">
        <v>55.53339</v>
      </c>
      <c r="E10340" t="n">
        <v>37.21944</v>
      </c>
      <c r="F10340" t="inlineStr"/>
      <c r="G10340" t="inlineStr"/>
      <c r="H10340" t="inlineStr"/>
    </row>
    <row r="10341">
      <c r="A10341" t="inlineStr">
        <is>
          <t>007592b3-3188-4ac7-998a-ae01588f2566.jpg</t>
        </is>
      </c>
      <c r="B10341">
        <f>HYPERLINK("Объекты недвижимости, не соответствующие градостроительным нормам_00-022_Август/007592b3-3188-4ac7-998a-ae01588f2566.jpg","open")</f>
        <v/>
      </c>
      <c r="C10341" t="inlineStr">
        <is>
          <t>2acfb2da-e3f6-464c-bd17-4b713522c142</t>
        </is>
      </c>
      <c r="D10341" t="n">
        <v>55.86791</v>
      </c>
      <c r="E10341" t="n">
        <v>37.63668</v>
      </c>
      <c r="F10341" t="inlineStr"/>
      <c r="G10341" t="inlineStr"/>
      <c r="H10341" t="inlineStr"/>
    </row>
    <row r="10342">
      <c r="A10342" t="inlineStr">
        <is>
          <t>6862e4c8-2027-448e-9ca4-e832987a074b.jpg</t>
        </is>
      </c>
      <c r="B10342">
        <f>HYPERLINK("Объекты недвижимости, не соответствующие градостроительным нормам_00-022_Август/6862e4c8-2027-448e-9ca4-e832987a074b.jpg","open")</f>
        <v/>
      </c>
      <c r="C10342" t="inlineStr">
        <is>
          <t>789f6c51-64ee-4078-b7bd-443af8b8b68a</t>
        </is>
      </c>
      <c r="D10342" t="n">
        <v>55.86792</v>
      </c>
      <c r="E10342" t="n">
        <v>37.63668</v>
      </c>
      <c r="F10342" t="inlineStr"/>
      <c r="G10342" t="inlineStr"/>
      <c r="H10342" t="inlineStr"/>
    </row>
    <row r="10343">
      <c r="A10343" t="inlineStr">
        <is>
          <t>7c571294-c3cd-4416-984d-3a2340a8cd28.jpg</t>
        </is>
      </c>
      <c r="B10343">
        <f>HYPERLINK("Объекты недвижимости, не соответствующие градостроительным нормам_00-022_Август/7c571294-c3cd-4416-984d-3a2340a8cd28.jpg","open")</f>
        <v/>
      </c>
      <c r="C10343" t="inlineStr">
        <is>
          <t>57aae8a4-582b-4309-8045-c8127a9f86ae</t>
        </is>
      </c>
      <c r="D10343" t="n">
        <v>55.79898</v>
      </c>
      <c r="E10343" t="n">
        <v>37.79394</v>
      </c>
      <c r="F10343" t="inlineStr"/>
      <c r="G10343" t="inlineStr"/>
      <c r="H10343" t="inlineStr"/>
    </row>
    <row r="10344">
      <c r="A10344" t="inlineStr">
        <is>
          <t>08babccf-c862-4055-9601-3e65c33ab5cc.jpg</t>
        </is>
      </c>
      <c r="B10344">
        <f>HYPERLINK("Объекты недвижимости, не соответствующие градостроительным нормам_00-022_Август/08babccf-c862-4055-9601-3e65c33ab5cc.jpg","open")</f>
        <v/>
      </c>
      <c r="C10344" t="inlineStr">
        <is>
          <t>acedacc2-0d8b-4fc1-9622-25621a89d071</t>
        </is>
      </c>
      <c r="D10344" t="n">
        <v>55.79898</v>
      </c>
      <c r="E10344" t="n">
        <v>37.79394</v>
      </c>
      <c r="F10344" t="inlineStr"/>
      <c r="G10344" t="inlineStr"/>
      <c r="H10344" t="inlineStr"/>
    </row>
    <row r="10345">
      <c r="A10345" t="inlineStr">
        <is>
          <t>7feb9e93-5c3e-4643-851f-1711a7c65a86.jpg</t>
        </is>
      </c>
      <c r="B10345">
        <f>HYPERLINK("Объекты недвижимости, не соответствующие градостроительным нормам_00-022_Август/7feb9e93-5c3e-4643-851f-1711a7c65a86.jpg","open")</f>
        <v/>
      </c>
      <c r="C10345" t="inlineStr">
        <is>
          <t>8996eb30-6497-4318-8a0e-b95314b8172e</t>
        </is>
      </c>
      <c r="D10345" t="n">
        <v>55.79266</v>
      </c>
      <c r="E10345" t="n">
        <v>37.39504</v>
      </c>
      <c r="F10345" t="inlineStr"/>
      <c r="G10345" t="inlineStr"/>
      <c r="H10345" t="inlineStr"/>
    </row>
    <row r="10346">
      <c r="A10346" t="inlineStr">
        <is>
          <t>87785c8b-2272-4978-b897-ec888799d234.jpg</t>
        </is>
      </c>
      <c r="B10346">
        <f>HYPERLINK("Объекты недвижимости, не соответствующие градостроительным нормам_00-022_Август/87785c8b-2272-4978-b897-ec888799d234.jpg","open")</f>
        <v/>
      </c>
      <c r="C10346" t="inlineStr">
        <is>
          <t>fb9a37cc-57a6-447c-98bb-0b299f09c809</t>
        </is>
      </c>
      <c r="D10346" t="n">
        <v>55.75041</v>
      </c>
      <c r="E10346" t="n">
        <v>37.72508</v>
      </c>
      <c r="F10346" t="inlineStr"/>
      <c r="G10346" t="inlineStr"/>
      <c r="H10346" t="inlineStr"/>
    </row>
    <row r="10347">
      <c r="A10347" t="inlineStr">
        <is>
          <t>51d2b487-3955-4660-841d-be87045cfb34.jpg</t>
        </is>
      </c>
      <c r="B10347">
        <f>HYPERLINK("Объекты недвижимости, не соответствующие градостроительным нормам_00-022_Август/51d2b487-3955-4660-841d-be87045cfb34.jpg","open")</f>
        <v/>
      </c>
      <c r="C10347" t="inlineStr">
        <is>
          <t>fce890a6-27da-4062-a046-08262a160ee6</t>
        </is>
      </c>
      <c r="D10347" t="n">
        <v>55.78965</v>
      </c>
      <c r="E10347" t="n">
        <v>37.57147</v>
      </c>
      <c r="F10347" t="inlineStr"/>
      <c r="G10347" t="inlineStr"/>
      <c r="H10347" t="inlineStr"/>
    </row>
    <row r="10348">
      <c r="A10348" t="inlineStr">
        <is>
          <t>6764e190-ab9c-4977-b0c6-bf6243cb45f2.jpg</t>
        </is>
      </c>
      <c r="B10348">
        <f>HYPERLINK("Объекты недвижимости, не соответствующие градостроительным нормам_00-022_Август/6764e190-ab9c-4977-b0c6-bf6243cb45f2.jpg","open")</f>
        <v/>
      </c>
      <c r="C10348" t="inlineStr">
        <is>
          <t>ed2bf0f1-3a66-4913-896e-4420a9796c0b</t>
        </is>
      </c>
      <c r="D10348" t="n">
        <v>55.52468</v>
      </c>
      <c r="E10348" t="n">
        <v>37.21395</v>
      </c>
      <c r="F10348" t="inlineStr"/>
      <c r="G10348" t="inlineStr"/>
      <c r="H10348" t="inlineStr"/>
    </row>
    <row r="10349">
      <c r="A10349" t="inlineStr">
        <is>
          <t>8bdf3b00-d390-47b5-bac0-ffc71d82e2c2.jpg</t>
        </is>
      </c>
      <c r="B10349">
        <f>HYPERLINK("Объекты недвижимости, не соответствующие градостроительным нормам_00-022_Август/8bdf3b00-d390-47b5-bac0-ffc71d82e2c2.jpg","open")</f>
        <v/>
      </c>
      <c r="C10349" t="inlineStr">
        <is>
          <t>29ad9edb-d533-4272-a986-be24eb004851</t>
        </is>
      </c>
      <c r="D10349" t="n">
        <v>55.7823</v>
      </c>
      <c r="E10349" t="n">
        <v>37.67101</v>
      </c>
      <c r="F10349" t="inlineStr"/>
      <c r="G10349" t="inlineStr"/>
      <c r="H10349" t="inlineStr"/>
    </row>
    <row r="10350">
      <c r="A10350" t="inlineStr">
        <is>
          <t>b75dd449-cc9f-4ede-b549-dabd4706350a.jpg</t>
        </is>
      </c>
      <c r="B10350">
        <f>HYPERLINK("Объекты недвижимости, не соответствующие градостроительным нормам_00-022_Август/b75dd449-cc9f-4ede-b549-dabd4706350a.jpg","open")</f>
        <v/>
      </c>
      <c r="C10350" t="inlineStr">
        <is>
          <t>29ad9edb-d533-4272-a986-be24eb004851</t>
        </is>
      </c>
      <c r="D10350" t="n">
        <v>55.78232</v>
      </c>
      <c r="E10350" t="n">
        <v>37.67102</v>
      </c>
      <c r="F10350" t="inlineStr"/>
      <c r="G10350" t="inlineStr"/>
      <c r="H10350" t="inlineStr"/>
    </row>
    <row r="10351">
      <c r="A10351" t="inlineStr">
        <is>
          <t>215ab137-6c0a-4036-b5a7-ee66e8c25345.jpg</t>
        </is>
      </c>
      <c r="B10351">
        <f>HYPERLINK("Объекты недвижимости, не соответствующие градостроительным нормам_00-022_Август/215ab137-6c0a-4036-b5a7-ee66e8c25345.jpg","open")</f>
        <v/>
      </c>
      <c r="C10351" t="inlineStr">
        <is>
          <t>789f6c51-64ee-4078-b7bd-443af8b8b68a</t>
        </is>
      </c>
      <c r="D10351" t="n">
        <v>55.86754</v>
      </c>
      <c r="E10351" t="n">
        <v>37.63687</v>
      </c>
      <c r="F10351" t="inlineStr"/>
      <c r="G10351" t="inlineStr"/>
      <c r="H10351" t="inlineStr"/>
    </row>
    <row r="10352">
      <c r="A10352" t="inlineStr">
        <is>
          <t>86367d38-8890-4ec8-9eaa-011ab2c45375.jpg</t>
        </is>
      </c>
      <c r="B10352">
        <f>HYPERLINK("Объекты недвижимости, не соответствующие градостроительным нормам_00-022_Август/86367d38-8890-4ec8-9eaa-011ab2c45375.jpg","open")</f>
        <v/>
      </c>
      <c r="C10352" t="inlineStr">
        <is>
          <t>29ad9edb-d533-4272-a986-be24eb004851</t>
        </is>
      </c>
      <c r="D10352" t="n">
        <v>55.78236</v>
      </c>
      <c r="E10352" t="n">
        <v>37.67109</v>
      </c>
      <c r="F10352" t="inlineStr"/>
      <c r="G10352" t="inlineStr"/>
      <c r="H10352" t="inlineStr"/>
    </row>
    <row r="10353">
      <c r="A10353" t="inlineStr">
        <is>
          <t>9ba4d3ec-0bac-4098-97c1-bb906c576e5c.jpg</t>
        </is>
      </c>
      <c r="B10353">
        <f>HYPERLINK("Объекты недвижимости, не соответствующие градостроительным нормам_00-022_Август/9ba4d3ec-0bac-4098-97c1-bb906c576e5c.jpg","open")</f>
        <v/>
      </c>
      <c r="C10353" t="inlineStr">
        <is>
          <t>2acfb2da-e3f6-464c-bd17-4b713522c142</t>
        </is>
      </c>
      <c r="D10353" t="n">
        <v>55.86753</v>
      </c>
      <c r="E10353" t="n">
        <v>37.63687</v>
      </c>
      <c r="F10353" t="inlineStr"/>
      <c r="G10353" t="inlineStr"/>
      <c r="H10353" t="inlineStr"/>
    </row>
    <row r="10354">
      <c r="A10354" t="inlineStr">
        <is>
          <t>47a61060-95cf-422b-aa25-8e9afdd04666.jpg</t>
        </is>
      </c>
      <c r="B10354">
        <f>HYPERLINK("Объекты недвижимости, не соответствующие градостроительным нормам_00-022_Август/47a61060-95cf-422b-aa25-8e9afdd04666.jpg","open")</f>
        <v/>
      </c>
      <c r="C10354" t="inlineStr">
        <is>
          <t>29ad9edb-d533-4272-a986-be24eb004851</t>
        </is>
      </c>
      <c r="D10354" t="n">
        <v>55.78234</v>
      </c>
      <c r="E10354" t="n">
        <v>37.6711</v>
      </c>
      <c r="F10354" t="inlineStr"/>
      <c r="G10354" t="inlineStr"/>
      <c r="H10354" t="inlineStr"/>
    </row>
    <row r="10355">
      <c r="A10355" t="inlineStr">
        <is>
          <t>a52f26cf-1e9e-43ae-a253-cf9b3745f746.jpg</t>
        </is>
      </c>
      <c r="B10355">
        <f>HYPERLINK("Объекты недвижимости, не соответствующие градостроительным нормам_00-022_Август/a52f26cf-1e9e-43ae-a253-cf9b3745f746.jpg","open")</f>
        <v/>
      </c>
      <c r="C10355" t="inlineStr">
        <is>
          <t>29ad9edb-d533-4272-a986-be24eb004851</t>
        </is>
      </c>
      <c r="D10355" t="n">
        <v>55.7821</v>
      </c>
      <c r="E10355" t="n">
        <v>37.6711</v>
      </c>
      <c r="F10355" t="inlineStr"/>
      <c r="G10355" t="inlineStr"/>
      <c r="H10355" t="inlineStr"/>
    </row>
    <row r="10356">
      <c r="A10356" t="inlineStr">
        <is>
          <t>1cd1d45c-23ad-4b53-b2c4-3b65edee3b4e.jpg</t>
        </is>
      </c>
      <c r="B10356">
        <f>HYPERLINK("Объекты недвижимости, не соответствующие градостроительным нормам_00-022_Август/1cd1d45c-23ad-4b53-b2c4-3b65edee3b4e.jpg","open")</f>
        <v/>
      </c>
      <c r="C10356" t="inlineStr">
        <is>
          <t>57aae8a4-582b-4309-8045-c8127a9f86ae</t>
        </is>
      </c>
      <c r="D10356" t="n">
        <v>55.79729</v>
      </c>
      <c r="E10356" t="n">
        <v>37.79593</v>
      </c>
      <c r="F10356" t="inlineStr"/>
      <c r="G10356" t="inlineStr"/>
      <c r="H10356" t="inlineStr"/>
    </row>
    <row r="10357">
      <c r="A10357" t="inlineStr">
        <is>
          <t>85766538-4fa4-488e-8643-3f41f9acafe0.jpg</t>
        </is>
      </c>
      <c r="B10357">
        <f>HYPERLINK("Объекты недвижимости, не соответствующие градостроительным нормам_00-022_Август/85766538-4fa4-488e-8643-3f41f9acafe0.jpg","open")</f>
        <v/>
      </c>
      <c r="C10357" t="inlineStr">
        <is>
          <t>ffd931da-542f-43e9-979f-5552b17fe3dc</t>
        </is>
      </c>
      <c r="D10357" t="n">
        <v>55.82051</v>
      </c>
      <c r="E10357" t="n">
        <v>37.86666</v>
      </c>
      <c r="F10357" t="inlineStr"/>
      <c r="G10357" t="inlineStr"/>
      <c r="H10357" t="inlineStr"/>
    </row>
    <row r="10358">
      <c r="A10358" t="inlineStr">
        <is>
          <t>9addb2ca-a75f-46c2-b32e-010c01d4daed.jpg</t>
        </is>
      </c>
      <c r="B10358">
        <f>HYPERLINK("Объекты недвижимости, не соответствующие градостроительным нормам_00-022_Август/9addb2ca-a75f-46c2-b32e-010c01d4daed.jpg","open")</f>
        <v/>
      </c>
      <c r="C10358" t="inlineStr">
        <is>
          <t>6e2567a0-1fb9-40d5-a0e7-0adb480d2965</t>
        </is>
      </c>
      <c r="D10358" t="n">
        <v>55.68137</v>
      </c>
      <c r="E10358" t="n">
        <v>37.58833</v>
      </c>
      <c r="F10358" t="inlineStr"/>
      <c r="G10358" t="inlineStr"/>
      <c r="H10358" t="inlineStr"/>
    </row>
    <row r="10359">
      <c r="A10359" t="inlineStr">
        <is>
          <t>39f756df-a38a-4f57-8db6-d705288a9065.jpg</t>
        </is>
      </c>
      <c r="B10359">
        <f>HYPERLINK("Объекты недвижимости, не соответствующие градостроительным нормам_00-022_Август/39f756df-a38a-4f57-8db6-d705288a9065.jpg","open")</f>
        <v/>
      </c>
      <c r="C10359" t="inlineStr">
        <is>
          <t>f60286ac-55e7-4099-85bd-cc599a7a0c65</t>
        </is>
      </c>
      <c r="D10359" t="n">
        <v>55.82059</v>
      </c>
      <c r="E10359" t="n">
        <v>37.86649</v>
      </c>
      <c r="F10359" t="inlineStr"/>
      <c r="G10359" t="inlineStr"/>
      <c r="H10359" t="inlineStr"/>
    </row>
    <row r="10360">
      <c r="A10360" t="inlineStr">
        <is>
          <t>9344724c-cab7-4005-9b8d-d83f2dbac1cb.jpg</t>
        </is>
      </c>
      <c r="B10360">
        <f>HYPERLINK("Объекты недвижимости, не соответствующие градостроительным нормам_00-022_Август/9344724c-cab7-4005-9b8d-d83f2dbac1cb.jpg","open")</f>
        <v/>
      </c>
      <c r="C10360" t="inlineStr">
        <is>
          <t>ed2bf0f1-3a66-4913-896e-4420a9796c0b</t>
        </is>
      </c>
      <c r="D10360" t="n">
        <v>55.52275</v>
      </c>
      <c r="E10360" t="n">
        <v>37.21574</v>
      </c>
      <c r="F10360" t="inlineStr"/>
      <c r="G10360" t="inlineStr"/>
      <c r="H10360" t="inlineStr"/>
    </row>
    <row r="10361">
      <c r="A10361" t="inlineStr">
        <is>
          <t>106b41be-803a-482c-9ea1-0f1b7b0f48ef.jpg</t>
        </is>
      </c>
      <c r="B10361">
        <f>HYPERLINK("Объекты недвижимости, не соответствующие градостроительным нормам_00-022_Август/106b41be-803a-482c-9ea1-0f1b7b0f48ef.jpg","open")</f>
        <v/>
      </c>
      <c r="C10361" t="inlineStr">
        <is>
          <t>4cd87d14-7440-44b7-a5b2-a738e10006f7</t>
        </is>
      </c>
      <c r="D10361" t="n">
        <v>55.78202</v>
      </c>
      <c r="E10361" t="n">
        <v>37.66883</v>
      </c>
      <c r="F10361" t="inlineStr"/>
      <c r="G10361" t="inlineStr"/>
      <c r="H10361" t="inlineStr"/>
    </row>
    <row r="10362">
      <c r="A10362" t="inlineStr">
        <is>
          <t>07bdead5-ecca-4041-b5ad-f2ab300ed453.jpg</t>
        </is>
      </c>
      <c r="B10362">
        <f>HYPERLINK("Объекты недвижимости, не соответствующие градостроительным нормам_00-022_Август/07bdead5-ecca-4041-b5ad-f2ab300ed453.jpg","open")</f>
        <v/>
      </c>
      <c r="C10362" t="inlineStr">
        <is>
          <t>1231bbc5-e64c-4dc7-9acc-77710f47607a</t>
        </is>
      </c>
      <c r="D10362" t="n">
        <v>55.67406</v>
      </c>
      <c r="E10362" t="n">
        <v>37.59336</v>
      </c>
      <c r="F10362" t="inlineStr"/>
      <c r="G10362" t="inlineStr"/>
      <c r="H10362" t="inlineStr"/>
    </row>
    <row r="10363">
      <c r="A10363" t="inlineStr">
        <is>
          <t>9982d2b5-6ef4-4047-8f5f-ba4bbffcbaa7.jpg</t>
        </is>
      </c>
      <c r="B10363">
        <f>HYPERLINK("Объекты недвижимости, не соответствующие градостроительным нормам_00-022_Август/9982d2b5-6ef4-4047-8f5f-ba4bbffcbaa7.jpg","open")</f>
        <v/>
      </c>
      <c r="C10363" t="inlineStr">
        <is>
          <t>e85aff3b-73e8-4856-827e-477ccc0aea77</t>
        </is>
      </c>
      <c r="D10363" t="n">
        <v>55.79541</v>
      </c>
      <c r="E10363" t="n">
        <v>37.77457</v>
      </c>
      <c r="F10363" t="inlineStr"/>
      <c r="G10363" t="inlineStr"/>
      <c r="H10363" t="inlineStr"/>
    </row>
    <row r="10364">
      <c r="A10364" t="inlineStr">
        <is>
          <t>0a18b268-47a8-4e00-87c8-d1cd77faf843.jpg</t>
        </is>
      </c>
      <c r="B10364">
        <f>HYPERLINK("Объекты недвижимости, не соответствующие градостроительным нормам_00-022_Август/0a18b268-47a8-4e00-87c8-d1cd77faf843.jpg","open")</f>
        <v/>
      </c>
      <c r="C10364" t="inlineStr">
        <is>
          <t>4cd87d14-7440-44b7-a5b2-a738e10006f7</t>
        </is>
      </c>
      <c r="D10364" t="n">
        <v>55.76054</v>
      </c>
      <c r="E10364" t="n">
        <v>37.68383</v>
      </c>
      <c r="F10364" t="inlineStr"/>
      <c r="G10364" t="inlineStr"/>
      <c r="H10364" t="inlineStr"/>
    </row>
    <row r="10365">
      <c r="A10365" t="inlineStr">
        <is>
          <t>f4e530c9-4670-4bc6-b0f8-75418fe8d146.jpg</t>
        </is>
      </c>
      <c r="B10365">
        <f>HYPERLINK("Объекты недвижимости, не соответствующие градостроительным нормам_00-022_Август/f4e530c9-4670-4bc6-b0f8-75418fe8d146.jpg","open")</f>
        <v/>
      </c>
      <c r="C10365" t="inlineStr">
        <is>
          <t>036c664f-5408-4fd0-b479-342c00468eeb</t>
        </is>
      </c>
      <c r="D10365" t="n">
        <v>55.73415</v>
      </c>
      <c r="E10365" t="n">
        <v>37.47923</v>
      </c>
      <c r="F10365" t="inlineStr"/>
      <c r="G10365" t="inlineStr"/>
      <c r="H10365" t="inlineStr"/>
    </row>
    <row r="10366">
      <c r="A10366" t="inlineStr">
        <is>
          <t>710a7173-a868-4c1b-be3d-4d00b55f4ca7.jpg</t>
        </is>
      </c>
      <c r="B10366">
        <f>HYPERLINK("Объекты недвижимости, не соответствующие градостроительным нормам_00-022_Август/710a7173-a868-4c1b-be3d-4d00b55f4ca7.jpg","open")</f>
        <v/>
      </c>
      <c r="C10366" t="inlineStr">
        <is>
          <t>a28f597e-d1cd-4d3b-b572-c86d033412e9</t>
        </is>
      </c>
      <c r="D10366" t="n">
        <v>55.73413</v>
      </c>
      <c r="E10366" t="n">
        <v>37.47922</v>
      </c>
      <c r="F10366" t="inlineStr"/>
      <c r="G10366" t="inlineStr"/>
      <c r="H10366" t="inlineStr"/>
    </row>
    <row r="10367">
      <c r="A10367" t="inlineStr">
        <is>
          <t>3ecf7528-f682-460e-9098-3b8f809f1d64.jpg</t>
        </is>
      </c>
      <c r="B10367">
        <f>HYPERLINK("Объекты недвижимости, не соответствующие градостроительным нормам_00-022_Август/3ecf7528-f682-460e-9098-3b8f809f1d64.jpg","open")</f>
        <v/>
      </c>
      <c r="C10367" t="inlineStr">
        <is>
          <t>1231bbc5-e64c-4dc7-9acc-77710f47607a</t>
        </is>
      </c>
      <c r="D10367" t="n">
        <v>55.67408</v>
      </c>
      <c r="E10367" t="n">
        <v>37.59346</v>
      </c>
      <c r="F10367" t="inlineStr"/>
      <c r="G10367" t="inlineStr"/>
      <c r="H10367" t="inlineStr"/>
    </row>
    <row r="10368">
      <c r="A10368" t="inlineStr">
        <is>
          <t>b432fbe8-e905-4c75-a198-8f7842eec97e.jpg</t>
        </is>
      </c>
      <c r="B10368">
        <f>HYPERLINK("Объекты недвижимости, не соответствующие градостроительным нормам_00-022_Август/b432fbe8-e905-4c75-a198-8f7842eec97e.jpg","open")</f>
        <v/>
      </c>
      <c r="C10368" t="inlineStr">
        <is>
          <t>936502dd-24a4-4256-9fdf-0d8fb72af3ed</t>
        </is>
      </c>
      <c r="D10368" t="n">
        <v>55.63922</v>
      </c>
      <c r="E10368" t="n">
        <v>37.66946</v>
      </c>
      <c r="F10368" t="inlineStr"/>
      <c r="G10368" t="inlineStr"/>
      <c r="H10368" t="inlineStr"/>
    </row>
    <row r="10369">
      <c r="A10369" t="inlineStr">
        <is>
          <t>b08d8fec-b557-4a8b-92de-086b5dc54375.jpg</t>
        </is>
      </c>
      <c r="B10369">
        <f>HYPERLINK("Объекты недвижимости, не соответствующие градостроительным нормам_00-022_Август/b08d8fec-b557-4a8b-92de-086b5dc54375.jpg","open")</f>
        <v/>
      </c>
      <c r="C10369" t="inlineStr">
        <is>
          <t>fb40ed24-21ef-458a-a239-038ab19932cc</t>
        </is>
      </c>
      <c r="D10369" t="n">
        <v>55.74291</v>
      </c>
      <c r="E10369" t="n">
        <v>37.81656</v>
      </c>
      <c r="F10369" t="inlineStr"/>
      <c r="G10369" t="inlineStr"/>
      <c r="H10369" t="inlineStr"/>
    </row>
    <row r="10370">
      <c r="A10370" t="inlineStr">
        <is>
          <t>1366d1bd-8d04-4f03-a7d1-ffde565df63e.jpg</t>
        </is>
      </c>
      <c r="B10370">
        <f>HYPERLINK("Объекты недвижимости, не соответствующие градостроительным нормам_00-022_Август/1366d1bd-8d04-4f03-a7d1-ffde565df63e.jpg","open")</f>
        <v/>
      </c>
      <c r="C10370" t="inlineStr">
        <is>
          <t>fb9a37cc-57a6-447c-98bb-0b299f09c809</t>
        </is>
      </c>
      <c r="D10370" t="n">
        <v>55.75042</v>
      </c>
      <c r="E10370" t="n">
        <v>37.72508</v>
      </c>
      <c r="F10370" t="inlineStr"/>
      <c r="G10370" t="inlineStr"/>
      <c r="H10370" t="inlineStr"/>
    </row>
    <row r="10371">
      <c r="A10371" t="inlineStr">
        <is>
          <t>24117c82-2449-4f4d-a733-ed586989fc21.jpg</t>
        </is>
      </c>
      <c r="B10371">
        <f>HYPERLINK("Объекты недвижимости, не соответствующие градостроительным нормам_00-022_Август/24117c82-2449-4f4d-a733-ed586989fc21.jpg","open")</f>
        <v/>
      </c>
      <c r="C10371" t="inlineStr">
        <is>
          <t>93848fc8-17e7-4748-9ebc-c7e379e11d2f</t>
        </is>
      </c>
      <c r="D10371" t="n">
        <v>55.54192</v>
      </c>
      <c r="E10371" t="n">
        <v>37.56116</v>
      </c>
      <c r="F10371" t="inlineStr"/>
      <c r="G10371" t="inlineStr"/>
      <c r="H10371" t="inlineStr"/>
    </row>
    <row r="10372">
      <c r="A10372" t="inlineStr">
        <is>
          <t>ed9dbd6d-77ec-4e48-96f6-696dd4486651.jpg</t>
        </is>
      </c>
      <c r="B10372">
        <f>HYPERLINK("Объекты недвижимости, не соответствующие градостроительным нормам_00-022_Август/ed9dbd6d-77ec-4e48-96f6-696dd4486651.jpg","open")</f>
        <v/>
      </c>
      <c r="C10372" t="inlineStr">
        <is>
          <t>797901ad-53b1-41b8-99d1-d59d59c863d5</t>
        </is>
      </c>
      <c r="D10372" t="n">
        <v>55.74365</v>
      </c>
      <c r="E10372" t="n">
        <v>37.81944</v>
      </c>
      <c r="F10372" t="inlineStr"/>
      <c r="G10372" t="inlineStr"/>
      <c r="H10372" t="inlineStr"/>
    </row>
    <row r="10373">
      <c r="A10373" t="inlineStr">
        <is>
          <t>ea68c92f-ede9-4cf5-b3db-17b40f5b355c.jpg</t>
        </is>
      </c>
      <c r="B10373">
        <f>HYPERLINK("Объекты недвижимости, не соответствующие градостроительным нормам_00-022_Август/ea68c92f-ede9-4cf5-b3db-17b40f5b355c.jpg","open")</f>
        <v/>
      </c>
      <c r="C10373" t="inlineStr">
        <is>
          <t>93848fc8-17e7-4748-9ebc-c7e379e11d2f</t>
        </is>
      </c>
      <c r="D10373" t="n">
        <v>55.54321</v>
      </c>
      <c r="E10373" t="n">
        <v>37.5668</v>
      </c>
      <c r="F10373" t="inlineStr"/>
      <c r="G10373" t="inlineStr"/>
      <c r="H10373" t="inlineStr"/>
    </row>
    <row r="10374">
      <c r="A10374" t="inlineStr">
        <is>
          <t>252f25f2-f4f4-4ab3-9f4e-13ebf5455247.jpg</t>
        </is>
      </c>
      <c r="B10374">
        <f>HYPERLINK("Объекты недвижимости, не соответствующие градостроительным нормам_00-022_Август/252f25f2-f4f4-4ab3-9f4e-13ebf5455247.jpg","open")</f>
        <v/>
      </c>
      <c r="C10374" t="inlineStr">
        <is>
          <t>6e2567a0-1fb9-40d5-a0e7-0adb480d2965</t>
        </is>
      </c>
      <c r="D10374" t="n">
        <v>55.78279</v>
      </c>
      <c r="E10374" t="n">
        <v>37.66839</v>
      </c>
      <c r="F10374" t="inlineStr"/>
      <c r="G10374" t="inlineStr"/>
      <c r="H10374" t="inlineStr"/>
    </row>
    <row r="10375">
      <c r="A10375" t="inlineStr">
        <is>
          <t>4d146167-5b1e-4cfb-adba-9153a2c41a1d.jpg</t>
        </is>
      </c>
      <c r="B10375">
        <f>HYPERLINK("Объекты недвижимости, не соответствующие градостроительным нормам_00-022_Август/4d146167-5b1e-4cfb-adba-9153a2c41a1d.jpg","open")</f>
        <v/>
      </c>
      <c r="C10375" t="inlineStr">
        <is>
          <t>797901ad-53b1-41b8-99d1-d59d59c863d5</t>
        </is>
      </c>
      <c r="D10375" t="n">
        <v>55.76189</v>
      </c>
      <c r="E10375" t="n">
        <v>37.84293</v>
      </c>
      <c r="F10375" t="inlineStr"/>
      <c r="G10375" t="inlineStr"/>
      <c r="H10375" t="inlineStr"/>
    </row>
    <row r="10376">
      <c r="A10376" t="inlineStr">
        <is>
          <t>062528cb-ba7f-47a0-9d5a-f790a0bf7142.jpg</t>
        </is>
      </c>
      <c r="B10376">
        <f>HYPERLINK("Объекты недвижимости, не соответствующие градостроительным нормам_00-022_Август/062528cb-ba7f-47a0-9d5a-f790a0bf7142.jpg","open")</f>
        <v/>
      </c>
      <c r="C10376" t="inlineStr">
        <is>
          <t>036c664f-5408-4fd0-b479-342c00468eeb</t>
        </is>
      </c>
      <c r="D10376" t="n">
        <v>55.97438</v>
      </c>
      <c r="E10376" t="n">
        <v>37.39914</v>
      </c>
      <c r="F10376" t="inlineStr"/>
      <c r="G10376" t="inlineStr"/>
      <c r="H10376" t="inlineStr"/>
    </row>
    <row r="10377">
      <c r="A10377" t="inlineStr">
        <is>
          <t>f3431c20-d10c-4756-ae38-c17b0b121ffd.jpg</t>
        </is>
      </c>
      <c r="B10377">
        <f>HYPERLINK("Объекты недвижимости, не соответствующие градостроительным нормам_00-022_Август/f3431c20-d10c-4756-ae38-c17b0b121ffd.jpg","open")</f>
        <v/>
      </c>
      <c r="C10377" t="inlineStr">
        <is>
          <t>e26f5fc2-1353-4f29-85f3-87c56419161c</t>
        </is>
      </c>
      <c r="D10377" t="n">
        <v>55.7506</v>
      </c>
      <c r="E10377" t="n">
        <v>37.65835</v>
      </c>
      <c r="F10377" t="inlineStr"/>
      <c r="G10377" t="inlineStr"/>
      <c r="H10377" t="inlineStr"/>
    </row>
    <row r="10378">
      <c r="A10378" t="inlineStr">
        <is>
          <t>0434afe5-4237-42ce-a6ef-83b9e4a3b359.jpg</t>
        </is>
      </c>
      <c r="B10378">
        <f>HYPERLINK("Объекты недвижимости, не соответствующие градостроительным нормам_00-022_Август/0434afe5-4237-42ce-a6ef-83b9e4a3b359.jpg","open")</f>
        <v/>
      </c>
      <c r="C10378" t="inlineStr">
        <is>
          <t>fb9a37cc-57a6-447c-98bb-0b299f09c809</t>
        </is>
      </c>
      <c r="D10378" t="n">
        <v>55.75034</v>
      </c>
      <c r="E10378" t="n">
        <v>37.72372</v>
      </c>
      <c r="F10378" t="inlineStr"/>
      <c r="G10378" t="inlineStr"/>
      <c r="H10378" t="inlineStr"/>
    </row>
    <row r="10379">
      <c r="A10379" t="inlineStr">
        <is>
          <t>fd247f07-7633-4ed4-8a5f-dfa0fe63dfda.jpg</t>
        </is>
      </c>
      <c r="B10379">
        <f>HYPERLINK("Объекты недвижимости, не соответствующие градостроительным нормам_00-022_Август/fd247f07-7633-4ed4-8a5f-dfa0fe63dfda.jpg","open")</f>
        <v/>
      </c>
      <c r="C10379" t="inlineStr">
        <is>
          <t>b23a39fd-838c-435a-bacd-b4d6bb842c62</t>
        </is>
      </c>
      <c r="D10379" t="n">
        <v>55.75035</v>
      </c>
      <c r="E10379" t="n">
        <v>37.72378</v>
      </c>
      <c r="F10379" t="inlineStr"/>
      <c r="G10379" t="inlineStr"/>
      <c r="H10379" t="inlineStr"/>
    </row>
    <row r="10380">
      <c r="A10380" t="inlineStr">
        <is>
          <t>2ad7d933-53ea-4238-bd09-65a5362cb100.jpg</t>
        </is>
      </c>
      <c r="B10380">
        <f>HYPERLINK("Объекты недвижимости, не соответствующие градостроительным нормам_00-022_Август/2ad7d933-53ea-4238-bd09-65a5362cb100.jpg","open")</f>
        <v/>
      </c>
      <c r="C10380" t="inlineStr">
        <is>
          <t>a28f597e-d1cd-4d3b-b572-c86d033412e9</t>
        </is>
      </c>
      <c r="D10380" t="n">
        <v>55.96918</v>
      </c>
      <c r="E10380" t="n">
        <v>37.42911</v>
      </c>
      <c r="F10380" t="inlineStr"/>
      <c r="G10380" t="inlineStr"/>
      <c r="H10380" t="inlineStr"/>
    </row>
    <row r="10381">
      <c r="A10381" t="inlineStr">
        <is>
          <t>1d41ac0e-29fe-4280-ba35-9b932c2a9353.jpg</t>
        </is>
      </c>
      <c r="B10381">
        <f>HYPERLINK("Объекты недвижимости, не соответствующие градостроительным нормам_00-022_Август/1d41ac0e-29fe-4280-ba35-9b932c2a9353.jpg","open")</f>
        <v/>
      </c>
      <c r="C10381" t="inlineStr">
        <is>
          <t>e26f5fc2-1353-4f29-85f3-87c56419161c</t>
        </is>
      </c>
      <c r="D10381" t="n">
        <v>55.7294</v>
      </c>
      <c r="E10381" t="n">
        <v>37.54592</v>
      </c>
      <c r="F10381" t="inlineStr"/>
      <c r="G10381" t="inlineStr"/>
      <c r="H10381" t="inlineStr"/>
    </row>
    <row r="10382">
      <c r="A10382" t="inlineStr">
        <is>
          <t>b390fb65-9e0d-4538-ad6c-b2b69bc44447.jpg</t>
        </is>
      </c>
      <c r="B10382">
        <f>HYPERLINK("Объекты недвижимости, не соответствующие градостроительным нормам_00-022_Август/b390fb65-9e0d-4538-ad6c-b2b69bc44447.jpg","open")</f>
        <v/>
      </c>
      <c r="C10382" t="inlineStr">
        <is>
          <t>a28f597e-d1cd-4d3b-b572-c86d033412e9</t>
        </is>
      </c>
      <c r="D10382" t="n">
        <v>55.97943</v>
      </c>
      <c r="E10382" t="n">
        <v>37.40326</v>
      </c>
      <c r="F10382" t="inlineStr"/>
      <c r="G10382" t="inlineStr"/>
      <c r="H10382" t="inlineStr"/>
    </row>
    <row r="10383">
      <c r="A10383" t="inlineStr">
        <is>
          <t>84ab6a15-21ab-45d4-a78d-41703ddd722f.jpg</t>
        </is>
      </c>
      <c r="B10383">
        <f>HYPERLINK("Объекты недвижимости, не соответствующие градостроительным нормам_00-022_Август/84ab6a15-21ab-45d4-a78d-41703ddd722f.jpg","open")</f>
        <v/>
      </c>
      <c r="C10383" t="inlineStr">
        <is>
          <t>5adecbcf-6742-48b8-951f-8e3abc9509e4</t>
        </is>
      </c>
      <c r="D10383" t="n">
        <v>55.7103</v>
      </c>
      <c r="E10383" t="n">
        <v>37.66513</v>
      </c>
      <c r="F10383" t="inlineStr"/>
      <c r="G10383" t="inlineStr"/>
      <c r="H10383" t="inlineStr"/>
    </row>
    <row r="10384">
      <c r="A10384" t="inlineStr">
        <is>
          <t>0c0effd0-49d8-4d62-9657-abdeee99dd75.jpg</t>
        </is>
      </c>
      <c r="B10384">
        <f>HYPERLINK("Объекты недвижимости, не соответствующие градостроительным нормам_00-022_Август/0c0effd0-49d8-4d62-9657-abdeee99dd75.jpg","open")</f>
        <v/>
      </c>
      <c r="C10384" t="inlineStr">
        <is>
          <t>5e5b9944-4f9e-4223-bf96-0bc0c8a93dfa</t>
        </is>
      </c>
      <c r="D10384" t="n">
        <v>55.7103</v>
      </c>
      <c r="E10384" t="n">
        <v>37.66513</v>
      </c>
      <c r="F10384" t="inlineStr"/>
      <c r="G10384" t="inlineStr"/>
      <c r="H10384" t="inlineStr"/>
    </row>
    <row r="10385">
      <c r="A10385" t="inlineStr">
        <is>
          <t>b945d4c3-68de-41f9-a3bf-204fe0bf68cb.jpg</t>
        </is>
      </c>
      <c r="B10385">
        <f>HYPERLINK("Объекты недвижимости, не соответствующие градостроительным нормам_00-022_Август/b945d4c3-68de-41f9-a3bf-204fe0bf68cb.jpg","open")</f>
        <v/>
      </c>
      <c r="C10385" t="inlineStr">
        <is>
          <t>31a713a9-b910-424b-b847-e0eaa2f70c70</t>
        </is>
      </c>
      <c r="D10385" t="n">
        <v>55.87373</v>
      </c>
      <c r="E10385" t="n">
        <v>37.63258</v>
      </c>
      <c r="F10385" t="inlineStr"/>
      <c r="G10385" t="inlineStr"/>
      <c r="H10385" t="inlineStr"/>
    </row>
    <row r="10386">
      <c r="A10386" t="inlineStr">
        <is>
          <t>5403c7a7-530c-44d1-a000-83e94c761c17.jpg</t>
        </is>
      </c>
      <c r="B10386">
        <f>HYPERLINK("Объекты недвижимости, не соответствующие градостроительным нормам_00-022_Август/5403c7a7-530c-44d1-a000-83e94c761c17.jpg","open")</f>
        <v/>
      </c>
      <c r="C10386" t="inlineStr">
        <is>
          <t>12e795ad-2aa7-49de-b2da-2c6aa35a4559</t>
        </is>
      </c>
      <c r="D10386" t="n">
        <v>55.66034</v>
      </c>
      <c r="E10386" t="n">
        <v>37.52649</v>
      </c>
      <c r="F10386" t="inlineStr"/>
      <c r="G10386" t="inlineStr"/>
      <c r="H10386" t="inlineStr"/>
    </row>
    <row r="10387">
      <c r="A10387" t="inlineStr">
        <is>
          <t>117968f4-aa56-4c4f-83ba-ab28b7835aaa.jpg</t>
        </is>
      </c>
      <c r="B10387">
        <f>HYPERLINK("Объекты недвижимости, не соответствующие градостроительным нормам_00-022_Август/117968f4-aa56-4c4f-83ba-ab28b7835aaa.jpg","open")</f>
        <v/>
      </c>
      <c r="C10387" t="inlineStr">
        <is>
          <t>797901ad-53b1-41b8-99d1-d59d59c863d5</t>
        </is>
      </c>
      <c r="D10387" t="n">
        <v>55.80325</v>
      </c>
      <c r="E10387" t="n">
        <v>37.82592</v>
      </c>
      <c r="F10387" t="inlineStr"/>
      <c r="G10387" t="inlineStr"/>
      <c r="H10387" t="inlineStr"/>
    </row>
    <row r="10388">
      <c r="A10388" t="inlineStr">
        <is>
          <t>6991698e-9597-4717-b0d6-c14217925b3d.jpg</t>
        </is>
      </c>
      <c r="B10388">
        <f>HYPERLINK("Объекты недвижимости, не соответствующие градостроительным нормам_00-022_Август/6991698e-9597-4717-b0d6-c14217925b3d.jpg","open")</f>
        <v/>
      </c>
      <c r="C10388" t="inlineStr">
        <is>
          <t>e85aff3b-73e8-4856-827e-477ccc0aea77</t>
        </is>
      </c>
      <c r="D10388" t="n">
        <v>55.80099</v>
      </c>
      <c r="E10388" t="n">
        <v>37.79437</v>
      </c>
      <c r="F10388" t="inlineStr"/>
      <c r="G10388" t="inlineStr"/>
      <c r="H10388" t="inlineStr"/>
    </row>
    <row r="10389">
      <c r="A10389" t="inlineStr">
        <is>
          <t>10dda4de-6cad-46ea-b967-7e5056c25ece.jpg</t>
        </is>
      </c>
      <c r="B10389">
        <f>HYPERLINK("Объекты недвижимости, не соответствующие градостроительным нормам_00-022_Август/10dda4de-6cad-46ea-b967-7e5056c25ece.jpg","open")</f>
        <v/>
      </c>
      <c r="C10389" t="inlineStr">
        <is>
          <t>91248771-2c4d-44f3-b3cf-d536bd4ae73c</t>
        </is>
      </c>
      <c r="D10389" t="n">
        <v>55.8005</v>
      </c>
      <c r="E10389" t="n">
        <v>37.81122</v>
      </c>
      <c r="F10389" t="inlineStr"/>
      <c r="G10389" t="inlineStr"/>
      <c r="H10389" t="inlineStr"/>
    </row>
    <row r="10390">
      <c r="A10390" t="inlineStr">
        <is>
          <t>0c0e0fcf-5bec-414a-831a-8bd8e08ea0c3.jpg</t>
        </is>
      </c>
      <c r="B10390">
        <f>HYPERLINK("Объекты недвижимости, не соответствующие градостроительным нормам_00-022_Август/0c0e0fcf-5bec-414a-831a-8bd8e08ea0c3.jpg","open")</f>
        <v/>
      </c>
      <c r="C10390" t="inlineStr">
        <is>
          <t>57aae8a4-582b-4309-8045-c8127a9f86ae</t>
        </is>
      </c>
      <c r="D10390" t="n">
        <v>55.80078</v>
      </c>
      <c r="E10390" t="n">
        <v>37.79956</v>
      </c>
      <c r="F10390" t="inlineStr"/>
      <c r="G10390" t="inlineStr"/>
      <c r="H10390" t="inlineStr"/>
    </row>
    <row r="10391">
      <c r="A10391" t="inlineStr">
        <is>
          <t>139d9f96-63c0-4ca7-a054-a2e5e0340f32.jpg</t>
        </is>
      </c>
      <c r="B10391">
        <f>HYPERLINK("Объекты недвижимости, не соответствующие градостроительным нормам_00-022_Август/139d9f96-63c0-4ca7-a054-a2e5e0340f32.jpg","open")</f>
        <v/>
      </c>
      <c r="C10391" t="inlineStr">
        <is>
          <t>5e5b9944-4f9e-4223-bf96-0bc0c8a93dfa</t>
        </is>
      </c>
      <c r="D10391" t="n">
        <v>55.7103</v>
      </c>
      <c r="E10391" t="n">
        <v>37.66513</v>
      </c>
      <c r="F10391" t="inlineStr"/>
      <c r="G10391" t="inlineStr"/>
      <c r="H10391" t="inlineStr"/>
    </row>
    <row r="10392">
      <c r="A10392" t="inlineStr">
        <is>
          <t>3eab619d-ffe7-4e9c-b15f-30c5e95223b6.jpg</t>
        </is>
      </c>
      <c r="B10392">
        <f>HYPERLINK("Объекты недвижимости, не соответствующие градостроительным нормам_00-022_Август/3eab619d-ffe7-4e9c-b15f-30c5e95223b6.jpg","open")</f>
        <v/>
      </c>
      <c r="C10392" t="inlineStr">
        <is>
          <t>036c664f-5408-4fd0-b479-342c00468eeb</t>
        </is>
      </c>
      <c r="D10392" t="n">
        <v>55.97917</v>
      </c>
      <c r="E10392" t="n">
        <v>37.40264</v>
      </c>
      <c r="F10392" t="inlineStr"/>
      <c r="G10392" t="inlineStr"/>
      <c r="H10392" t="inlineStr"/>
    </row>
    <row r="10393">
      <c r="A10393" t="inlineStr">
        <is>
          <t>589a2343-8a66-4300-a4a7-68a77699f4d5.jpg</t>
        </is>
      </c>
      <c r="B10393">
        <f>HYPERLINK("Объекты недвижимости, не соответствующие градостроительным нормам_00-022_Август/589a2343-8a66-4300-a4a7-68a77699f4d5.jpg","open")</f>
        <v/>
      </c>
      <c r="C10393" t="inlineStr">
        <is>
          <t>e85aff3b-73e8-4856-827e-477ccc0aea77</t>
        </is>
      </c>
      <c r="D10393" t="n">
        <v>55.81061</v>
      </c>
      <c r="E10393" t="n">
        <v>37.74726</v>
      </c>
      <c r="F10393" t="inlineStr"/>
      <c r="G10393" t="inlineStr"/>
      <c r="H10393" t="inlineStr"/>
    </row>
    <row r="10394">
      <c r="A10394" t="inlineStr">
        <is>
          <t>3217f0b1-0a1f-4f1f-92d7-6b7d11f0795d.jpg</t>
        </is>
      </c>
      <c r="B10394">
        <f>HYPERLINK("Объекты недвижимости, не соответствующие градостроительным нормам_00-022_Август/3217f0b1-0a1f-4f1f-92d7-6b7d11f0795d.jpg","open")</f>
        <v/>
      </c>
      <c r="C10394" t="inlineStr">
        <is>
          <t>036c664f-5408-4fd0-b479-342c00468eeb</t>
        </is>
      </c>
      <c r="D10394" t="n">
        <v>55.96375</v>
      </c>
      <c r="E10394" t="n">
        <v>37.41644</v>
      </c>
      <c r="F10394" t="inlineStr"/>
      <c r="G10394" t="inlineStr"/>
      <c r="H10394" t="inlineStr"/>
    </row>
    <row r="10395">
      <c r="A10395" t="inlineStr">
        <is>
          <t>a6f750b7-c013-4e5a-be99-847de072ea95.jpg</t>
        </is>
      </c>
      <c r="B10395">
        <f>HYPERLINK("Объекты недвижимости, не соответствующие градостроительным нормам_00-022_Август/a6f750b7-c013-4e5a-be99-847de072ea95.jpg","open")</f>
        <v/>
      </c>
      <c r="C10395" t="inlineStr">
        <is>
          <t>93848fc8-17e7-4748-9ebc-c7e379e11d2f</t>
        </is>
      </c>
      <c r="D10395" t="n">
        <v>55.55096</v>
      </c>
      <c r="E10395" t="n">
        <v>37.54739</v>
      </c>
      <c r="F10395" t="inlineStr"/>
      <c r="G10395" t="inlineStr"/>
      <c r="H10395" t="inlineStr"/>
    </row>
    <row r="10396">
      <c r="A10396" t="inlineStr">
        <is>
          <t>8238a9b0-e9f5-49a6-9d91-c1c24d07219e.jpg</t>
        </is>
      </c>
      <c r="B10396">
        <f>HYPERLINK("Объекты недвижимости, не соответствующие градостроительным нормам_00-022_Август/8238a9b0-e9f5-49a6-9d91-c1c24d07219e.jpg","open")</f>
        <v/>
      </c>
      <c r="C10396" t="inlineStr">
        <is>
          <t>fb9a37cc-57a6-447c-98bb-0b299f09c809</t>
        </is>
      </c>
      <c r="D10396" t="n">
        <v>55.75777</v>
      </c>
      <c r="E10396" t="n">
        <v>37.73407</v>
      </c>
      <c r="F10396" t="inlineStr"/>
      <c r="G10396" t="inlineStr"/>
      <c r="H10396" t="inlineStr"/>
    </row>
    <row r="10397">
      <c r="A10397" t="inlineStr">
        <is>
          <t>f8c59cda-5c84-4426-97de-688be75765bc.jpg</t>
        </is>
      </c>
      <c r="B10397">
        <f>HYPERLINK("Объекты недвижимости, не соответствующие градостроительным нормам_00-022_Август/f8c59cda-5c84-4426-97de-688be75765bc.jpg","open")</f>
        <v/>
      </c>
      <c r="C10397" t="inlineStr">
        <is>
          <t>fb9a37cc-57a6-447c-98bb-0b299f09c809</t>
        </is>
      </c>
      <c r="D10397" t="n">
        <v>55.75375</v>
      </c>
      <c r="E10397" t="n">
        <v>37.7345</v>
      </c>
      <c r="F10397" t="inlineStr"/>
      <c r="G10397" t="inlineStr"/>
      <c r="H10397" t="inlineStr"/>
    </row>
    <row r="10398">
      <c r="A10398" t="inlineStr">
        <is>
          <t>b046b44a-f8f0-4779-bb09-88f30328a6f1.jpg</t>
        </is>
      </c>
      <c r="B10398">
        <f>HYPERLINK("Объекты недвижимости, не соответствующие градостроительным нормам_00-022_Август/b046b44a-f8f0-4779-bb09-88f30328a6f1.jpg","open")</f>
        <v/>
      </c>
      <c r="C10398" t="inlineStr">
        <is>
          <t>91248771-2c4d-44f3-b3cf-d536bd4ae73c</t>
        </is>
      </c>
      <c r="D10398" t="n">
        <v>55.80986</v>
      </c>
      <c r="E10398" t="n">
        <v>37.828</v>
      </c>
      <c r="F10398" t="inlineStr"/>
      <c r="G10398" t="inlineStr"/>
      <c r="H10398" t="inlineStr"/>
    </row>
    <row r="10399">
      <c r="A10399" t="inlineStr">
        <is>
          <t>3fdea9a8-3627-44a5-87eb-f4738e17961c.jpg</t>
        </is>
      </c>
      <c r="B10399">
        <f>HYPERLINK("Объекты недвижимости, не соответствующие градостроительным нормам_00-022_Август/3fdea9a8-3627-44a5-87eb-f4738e17961c.jpg","open")</f>
        <v/>
      </c>
      <c r="C10399" t="inlineStr">
        <is>
          <t>fb9a37cc-57a6-447c-98bb-0b299f09c809</t>
        </is>
      </c>
      <c r="D10399" t="n">
        <v>55.7537</v>
      </c>
      <c r="E10399" t="n">
        <v>37.73445</v>
      </c>
      <c r="F10399" t="inlineStr"/>
      <c r="G10399" t="inlineStr"/>
      <c r="H10399" t="inlineStr"/>
    </row>
    <row r="10400">
      <c r="A10400" t="inlineStr">
        <is>
          <t>a21c0535-afb6-4290-98aa-5c7dd96cd0c8.jpg</t>
        </is>
      </c>
      <c r="B10400">
        <f>HYPERLINK("Объекты недвижимости, не соответствующие градостроительным нормам_00-022_Август/a21c0535-afb6-4290-98aa-5c7dd96cd0c8.jpg","open")</f>
        <v/>
      </c>
      <c r="C10400" t="inlineStr">
        <is>
          <t>fb9a37cc-57a6-447c-98bb-0b299f09c809</t>
        </is>
      </c>
      <c r="D10400" t="n">
        <v>55.75369</v>
      </c>
      <c r="E10400" t="n">
        <v>37.73446</v>
      </c>
      <c r="F10400" t="inlineStr"/>
      <c r="G10400" t="inlineStr"/>
      <c r="H10400" t="inlineStr"/>
    </row>
    <row r="10401">
      <c r="A10401" t="inlineStr">
        <is>
          <t>c8480245-535c-4135-bd9e-583d9fbf3787.jpg</t>
        </is>
      </c>
      <c r="B10401">
        <f>HYPERLINK("Объекты недвижимости, не соответствующие градостроительным нормам_00-022_Август/c8480245-535c-4135-bd9e-583d9fbf3787.jpg","open")</f>
        <v/>
      </c>
      <c r="C10401" t="inlineStr">
        <is>
          <t>91248771-2c4d-44f3-b3cf-d536bd4ae73c</t>
        </is>
      </c>
      <c r="D10401" t="n">
        <v>55.8097</v>
      </c>
      <c r="E10401" t="n">
        <v>37.82798</v>
      </c>
      <c r="F10401" t="inlineStr"/>
      <c r="G10401" t="inlineStr"/>
      <c r="H10401" t="inlineStr"/>
    </row>
    <row r="10402">
      <c r="A10402" t="inlineStr">
        <is>
          <t>f58685ce-157f-4a82-b5f1-bbebe76f8dc8.jpg</t>
        </is>
      </c>
      <c r="B10402">
        <f>HYPERLINK("Объекты недвижимости, не соответствующие градостроительным нормам_00-022_Август/f58685ce-157f-4a82-b5f1-bbebe76f8dc8.jpg","open")</f>
        <v/>
      </c>
      <c r="C10402" t="inlineStr">
        <is>
          <t>fb9a37cc-57a6-447c-98bb-0b299f09c809</t>
        </is>
      </c>
      <c r="D10402" t="n">
        <v>55.75367</v>
      </c>
      <c r="E10402" t="n">
        <v>37.73449</v>
      </c>
      <c r="F10402" t="inlineStr"/>
      <c r="G10402" t="inlineStr"/>
      <c r="H10402" t="inlineStr"/>
    </row>
    <row r="10403">
      <c r="A10403" t="inlineStr">
        <is>
          <t>74ddf6eb-2f6b-4f13-bf72-5d630fa32d98.jpg</t>
        </is>
      </c>
      <c r="B10403">
        <f>HYPERLINK("Объекты недвижимости, не соответствующие градостроительным нормам_00-022_Август/74ddf6eb-2f6b-4f13-bf72-5d630fa32d98.jpg","open")</f>
        <v/>
      </c>
      <c r="C10403" t="inlineStr">
        <is>
          <t>fb9a37cc-57a6-447c-98bb-0b299f09c809</t>
        </is>
      </c>
      <c r="D10403" t="n">
        <v>55.75367</v>
      </c>
      <c r="E10403" t="n">
        <v>37.7345</v>
      </c>
      <c r="F10403" t="inlineStr"/>
      <c r="G10403" t="inlineStr"/>
      <c r="H10403" t="inlineStr"/>
    </row>
    <row r="10404">
      <c r="A10404" t="inlineStr">
        <is>
          <t>f5f58fd7-89c3-452e-a2d1-849d7b915aab.jpg</t>
        </is>
      </c>
      <c r="B10404">
        <f>HYPERLINK("Объекты недвижимости, не соответствующие градостроительным нормам_00-022_Август/f5f58fd7-89c3-452e-a2d1-849d7b915aab.jpg","open")</f>
        <v/>
      </c>
      <c r="C10404" t="inlineStr">
        <is>
          <t>fb9a37cc-57a6-447c-98bb-0b299f09c809</t>
        </is>
      </c>
      <c r="D10404" t="n">
        <v>55.75367</v>
      </c>
      <c r="E10404" t="n">
        <v>37.73451</v>
      </c>
      <c r="F10404" t="inlineStr"/>
      <c r="G10404" t="inlineStr"/>
      <c r="H10404" t="inlineStr"/>
    </row>
    <row r="10405">
      <c r="A10405" t="inlineStr">
        <is>
          <t>523d0feb-3578-461b-bcb7-456f6e81e347.jpg</t>
        </is>
      </c>
      <c r="B10405">
        <f>HYPERLINK("Объекты недвижимости, не соответствующие градостроительным нормам_00-022_Август/523d0feb-3578-461b-bcb7-456f6e81e347.jpg","open")</f>
        <v/>
      </c>
      <c r="C10405" t="inlineStr">
        <is>
          <t>e85aff3b-73e8-4856-827e-477ccc0aea77</t>
        </is>
      </c>
      <c r="D10405" t="n">
        <v>55.85234</v>
      </c>
      <c r="E10405" t="n">
        <v>37.6571</v>
      </c>
      <c r="F10405" t="inlineStr"/>
      <c r="G10405" t="inlineStr"/>
      <c r="H10405" t="inlineStr"/>
    </row>
    <row r="10406">
      <c r="A10406" t="inlineStr">
        <is>
          <t>24dd2e1a-faf2-4f58-9373-d6a7ab688287.jpg</t>
        </is>
      </c>
      <c r="B10406">
        <f>HYPERLINK("Объекты недвижимости, не соответствующие градостроительным нормам_00-022_Август/24dd2e1a-faf2-4f58-9373-d6a7ab688287.jpg","open")</f>
        <v/>
      </c>
      <c r="C10406" t="inlineStr">
        <is>
          <t>789f6c51-64ee-4078-b7bd-443af8b8b68a</t>
        </is>
      </c>
      <c r="D10406" t="n">
        <v>55.89929</v>
      </c>
      <c r="E10406" t="n">
        <v>37.619</v>
      </c>
      <c r="F10406" t="inlineStr"/>
      <c r="G10406" t="inlineStr"/>
      <c r="H10406" t="inlineStr"/>
    </row>
    <row r="10407">
      <c r="A10407" t="inlineStr">
        <is>
          <t>ece8f908-ce11-49ca-ae70-8a584fc7800d.jpg</t>
        </is>
      </c>
      <c r="B10407">
        <f>HYPERLINK("Объекты недвижимости, не соответствующие градостроительным нормам_00-022_Август/ece8f908-ce11-49ca-ae70-8a584fc7800d.jpg","open")</f>
        <v/>
      </c>
      <c r="C10407" t="inlineStr">
        <is>
          <t>2acfb2da-e3f6-464c-bd17-4b713522c142</t>
        </is>
      </c>
      <c r="D10407" t="n">
        <v>55.89928</v>
      </c>
      <c r="E10407" t="n">
        <v>37.619</v>
      </c>
      <c r="F10407" t="inlineStr"/>
      <c r="G10407" t="inlineStr"/>
      <c r="H10407" t="inlineStr"/>
    </row>
    <row r="10408">
      <c r="A10408" t="inlineStr">
        <is>
          <t>559798ad-2e9b-4df9-8c21-d210c8bad186.jpg</t>
        </is>
      </c>
      <c r="B10408">
        <f>HYPERLINK("Объекты недвижимости, не соответствующие градостроительным нормам_00-022_Август/559798ad-2e9b-4df9-8c21-d210c8bad186.jpg","open")</f>
        <v/>
      </c>
      <c r="C10408" t="inlineStr">
        <is>
          <t>ed2bf0f1-3a66-4913-896e-4420a9796c0b</t>
        </is>
      </c>
      <c r="D10408" t="n">
        <v>55.51672</v>
      </c>
      <c r="E10408" t="n">
        <v>37.2207</v>
      </c>
      <c r="F10408" t="inlineStr"/>
      <c r="G10408" t="inlineStr"/>
      <c r="H10408" t="inlineStr"/>
    </row>
    <row r="10409">
      <c r="A10409" t="inlineStr">
        <is>
          <t>1b03376a-ca5e-4002-a502-0091f7f812b5.jpg</t>
        </is>
      </c>
      <c r="B10409">
        <f>HYPERLINK("Объекты недвижимости, не соответствующие градостроительным нормам_00-022_Август/1b03376a-ca5e-4002-a502-0091f7f812b5.jpg","open")</f>
        <v/>
      </c>
      <c r="C10409" t="inlineStr">
        <is>
          <t>b0b7ea82-53be-40d0-b992-e2fd18611d5c</t>
        </is>
      </c>
      <c r="D10409" t="n">
        <v>55.70235</v>
      </c>
      <c r="E10409" t="n">
        <v>37.74572</v>
      </c>
      <c r="F10409" t="inlineStr"/>
      <c r="G10409" t="inlineStr"/>
      <c r="H10409" t="inlineStr"/>
    </row>
    <row r="10410">
      <c r="A10410" t="inlineStr">
        <is>
          <t>8f820fc1-9a17-4a07-8495-3906492c3dba.jpg</t>
        </is>
      </c>
      <c r="B10410">
        <f>HYPERLINK("Объекты недвижимости, не соответствующие градостроительным нормам_00-022_Август/8f820fc1-9a17-4a07-8495-3906492c3dba.jpg","open")</f>
        <v/>
      </c>
      <c r="C10410" t="inlineStr">
        <is>
          <t>b0b7ea82-53be-40d0-b992-e2fd18611d5c</t>
        </is>
      </c>
      <c r="D10410" t="n">
        <v>55.70204</v>
      </c>
      <c r="E10410" t="n">
        <v>37.74694</v>
      </c>
      <c r="F10410" t="inlineStr"/>
      <c r="G10410" t="inlineStr"/>
      <c r="H10410" t="inlineStr"/>
    </row>
    <row r="10411">
      <c r="A10411" t="inlineStr">
        <is>
          <t>c5b5e4a4-bb37-4f5b-be62-da7c6404ff2e.jpg</t>
        </is>
      </c>
      <c r="B10411">
        <f>HYPERLINK("Объекты недвижимости, не соответствующие градостроительным нормам_00-022_Август/c5b5e4a4-bb37-4f5b-be62-da7c6404ff2e.jpg","open")</f>
        <v/>
      </c>
      <c r="C10411" t="inlineStr">
        <is>
          <t>ffd931da-542f-43e9-979f-5552b17fe3dc</t>
        </is>
      </c>
      <c r="D10411" t="n">
        <v>55.81542</v>
      </c>
      <c r="E10411" t="n">
        <v>37.83335</v>
      </c>
      <c r="F10411" t="inlineStr"/>
      <c r="G10411" t="inlineStr"/>
      <c r="H10411" t="inlineStr"/>
    </row>
    <row r="10412">
      <c r="A10412" t="inlineStr">
        <is>
          <t>a2d7d5e2-0b6a-425e-8844-329f4d295175.jpg</t>
        </is>
      </c>
      <c r="B10412">
        <f>HYPERLINK("Объекты недвижимости, не соответствующие градостроительным нормам_00-022_Август/a2d7d5e2-0b6a-425e-8844-329f4d295175.jpg","open")</f>
        <v/>
      </c>
      <c r="C10412" t="inlineStr">
        <is>
          <t>93848fc8-17e7-4748-9ebc-c7e379e11d2f</t>
        </is>
      </c>
      <c r="D10412" t="n">
        <v>55.53386</v>
      </c>
      <c r="E10412" t="n">
        <v>37.52593</v>
      </c>
      <c r="F10412" t="inlineStr"/>
      <c r="G10412" t="inlineStr"/>
      <c r="H10412" t="inlineStr"/>
    </row>
    <row r="10413">
      <c r="A10413" t="inlineStr">
        <is>
          <t>1bb854b1-4674-4b7d-a194-997b5fa34f9e.jpg</t>
        </is>
      </c>
      <c r="B10413">
        <f>HYPERLINK("Объекты недвижимости, не соответствующие градостроительным нормам_00-022_Август/1bb854b1-4674-4b7d-a194-997b5fa34f9e.jpg","open")</f>
        <v/>
      </c>
      <c r="C10413" t="inlineStr">
        <is>
          <t>9fb3d110-951f-48da-9d90-cfd7e1b5800d</t>
        </is>
      </c>
      <c r="D10413" t="n">
        <v>55.66571</v>
      </c>
      <c r="E10413" t="n">
        <v>37.5077</v>
      </c>
      <c r="F10413" t="inlineStr"/>
      <c r="G10413" t="inlineStr"/>
      <c r="H10413" t="inlineStr"/>
    </row>
    <row r="10414">
      <c r="A10414" t="inlineStr">
        <is>
          <t>d8a10a9c-b881-46c7-863c-eabf5e675e49.jpg</t>
        </is>
      </c>
      <c r="B10414">
        <f>HYPERLINK("Объекты недвижимости, не соответствующие градостроительным нормам_00-022_Август/d8a10a9c-b881-46c7-863c-eabf5e675e49.jpg","open")</f>
        <v/>
      </c>
      <c r="C10414" t="inlineStr">
        <is>
          <t>f20fbc2b-b369-4734-bb66-92af02fbb0d1</t>
        </is>
      </c>
      <c r="D10414" t="n">
        <v>55.7043</v>
      </c>
      <c r="E10414" t="n">
        <v>37.73726</v>
      </c>
      <c r="F10414" t="inlineStr"/>
      <c r="G10414" t="inlineStr"/>
      <c r="H10414" t="inlineStr"/>
    </row>
    <row r="10415">
      <c r="A10415" t="inlineStr">
        <is>
          <t>af4b25e1-965e-47e5-8195-6a1f01c81ff3.jpg</t>
        </is>
      </c>
      <c r="B10415">
        <f>HYPERLINK("Объекты недвижимости, не соответствующие градостроительным нормам_00-022_Август/af4b25e1-965e-47e5-8195-6a1f01c81ff3.jpg","open")</f>
        <v/>
      </c>
      <c r="C10415" t="inlineStr">
        <is>
          <t>61936922-4d4b-458e-80ea-6d4c450aa1d5</t>
        </is>
      </c>
      <c r="D10415" t="n">
        <v>55.66558</v>
      </c>
      <c r="E10415" t="n">
        <v>37.50774</v>
      </c>
      <c r="F10415" t="inlineStr"/>
      <c r="G10415" t="inlineStr"/>
      <c r="H10415" t="inlineStr"/>
    </row>
    <row r="10416">
      <c r="A10416" t="inlineStr">
        <is>
          <t>d00fe391-6508-4018-90b6-967ec1606eba.jpg</t>
        </is>
      </c>
      <c r="B10416">
        <f>HYPERLINK("Объекты недвижимости, не соответствующие градостроительным нормам_00-022_Август/d00fe391-6508-4018-90b6-967ec1606eba.jpg","open")</f>
        <v/>
      </c>
      <c r="C10416" t="inlineStr">
        <is>
          <t>57aae8a4-582b-4309-8045-c8127a9f86ae</t>
        </is>
      </c>
      <c r="D10416" t="n">
        <v>55.80102</v>
      </c>
      <c r="E10416" t="n">
        <v>37.79489</v>
      </c>
      <c r="F10416" t="inlineStr"/>
      <c r="G10416" t="inlineStr"/>
      <c r="H10416" t="inlineStr"/>
    </row>
    <row r="10417">
      <c r="A10417" t="inlineStr">
        <is>
          <t>3a7dad87-63ca-43ad-9a1a-2c7d3e92076c.jpg</t>
        </is>
      </c>
      <c r="B10417">
        <f>HYPERLINK("Объекты недвижимости, не соответствующие градостроительным нормам_00-022_Август/3a7dad87-63ca-43ad-9a1a-2c7d3e92076c.jpg","open")</f>
        <v/>
      </c>
      <c r="C10417" t="inlineStr">
        <is>
          <t>036c664f-5408-4fd0-b479-342c00468eeb</t>
        </is>
      </c>
      <c r="D10417" t="n">
        <v>55.97025</v>
      </c>
      <c r="E10417" t="n">
        <v>37.39997</v>
      </c>
      <c r="F10417" t="inlineStr"/>
      <c r="G10417" t="inlineStr"/>
      <c r="H10417" t="inlineStr"/>
    </row>
    <row r="10418">
      <c r="A10418" t="inlineStr">
        <is>
          <t>9680fab6-733a-44be-a564-2c8a47581f8a.jpg</t>
        </is>
      </c>
      <c r="B10418">
        <f>HYPERLINK("Объекты недвижимости, не соответствующие градостроительным нормам_00-022_Август/9680fab6-733a-44be-a564-2c8a47581f8a.jpg","open")</f>
        <v/>
      </c>
      <c r="C10418" t="inlineStr">
        <is>
          <t>036c664f-5408-4fd0-b479-342c00468eeb</t>
        </is>
      </c>
      <c r="D10418" t="n">
        <v>55.98045</v>
      </c>
      <c r="E10418" t="n">
        <v>37.42617</v>
      </c>
      <c r="F10418" t="inlineStr"/>
      <c r="G10418" t="inlineStr"/>
      <c r="H10418" t="inlineStr"/>
    </row>
    <row r="10419">
      <c r="A10419" t="inlineStr">
        <is>
          <t>ad3d625d-d414-45cf-84de-4ca07fe04c7c.jpg</t>
        </is>
      </c>
      <c r="B10419">
        <f>HYPERLINK("Объекты недвижимости, не соответствующие градостроительным нормам_00-022_Август/ad3d625d-d414-45cf-84de-4ca07fe04c7c.jpg","open")</f>
        <v/>
      </c>
      <c r="C10419" t="inlineStr">
        <is>
          <t>f20fbc2b-b369-4734-bb66-92af02fbb0d1</t>
        </is>
      </c>
      <c r="D10419" t="n">
        <v>55.70293</v>
      </c>
      <c r="E10419" t="n">
        <v>37.73793</v>
      </c>
      <c r="F10419" t="inlineStr"/>
      <c r="G10419" t="inlineStr"/>
      <c r="H10419" t="inlineStr"/>
    </row>
    <row r="10420">
      <c r="A10420" t="inlineStr">
        <is>
          <t>39f09c3e-cf11-4a6b-a5e3-f40f1b2547a5.jpg</t>
        </is>
      </c>
      <c r="B10420">
        <f>HYPERLINK("Объекты недвижимости, не соответствующие градостроительным нормам_00-022_Август/39f09c3e-cf11-4a6b-a5e3-f40f1b2547a5.jpg","open")</f>
        <v/>
      </c>
      <c r="C10420" t="inlineStr">
        <is>
          <t>61936922-4d4b-458e-80ea-6d4c450aa1d5</t>
        </is>
      </c>
      <c r="D10420" t="n">
        <v>55.66926</v>
      </c>
      <c r="E10420" t="n">
        <v>37.51511</v>
      </c>
      <c r="F10420" t="inlineStr"/>
      <c r="G10420" t="inlineStr"/>
      <c r="H10420" t="inlineStr"/>
    </row>
    <row r="10421">
      <c r="A10421" t="inlineStr">
        <is>
          <t>3edf4dbb-159a-485b-b348-98500c1c930d.jpg</t>
        </is>
      </c>
      <c r="B10421">
        <f>HYPERLINK("Объекты недвижимости, не соответствующие градостроительным нормам_00-022_Август/3edf4dbb-159a-485b-b348-98500c1c930d.jpg","open")</f>
        <v/>
      </c>
      <c r="C10421" t="inlineStr">
        <is>
          <t>f20fbc2b-b369-4734-bb66-92af02fbb0d1</t>
        </is>
      </c>
      <c r="D10421" t="n">
        <v>55.70194</v>
      </c>
      <c r="E10421" t="n">
        <v>37.73808</v>
      </c>
      <c r="F10421" t="inlineStr"/>
      <c r="G10421" t="inlineStr"/>
      <c r="H10421" t="inlineStr"/>
    </row>
    <row r="10422">
      <c r="A10422" t="inlineStr">
        <is>
          <t>a4c2eaf2-0fc8-4db0-97d9-08dd20cee4e4.jpg</t>
        </is>
      </c>
      <c r="B10422">
        <f>HYPERLINK("Объекты недвижимости, не соответствующие градостроительным нормам_00-022_Август/a4c2eaf2-0fc8-4db0-97d9-08dd20cee4e4.jpg","open")</f>
        <v/>
      </c>
      <c r="C10422" t="inlineStr">
        <is>
          <t>8cde1fd0-eca1-4510-86ab-3c743b65fdfc</t>
        </is>
      </c>
      <c r="D10422" t="n">
        <v>55.88645</v>
      </c>
      <c r="E10422" t="n">
        <v>37.44879</v>
      </c>
      <c r="F10422" t="inlineStr"/>
      <c r="G10422" t="inlineStr"/>
      <c r="H10422" t="inlineStr"/>
    </row>
    <row r="10423">
      <c r="A10423" t="inlineStr">
        <is>
          <t>95416183-c5c2-4542-8b89-30216b61de2c.jpg</t>
        </is>
      </c>
      <c r="B10423">
        <f>HYPERLINK("Объекты недвижимости, не соответствующие градостроительным нормам_00-022_Август/95416183-c5c2-4542-8b89-30216b61de2c.jpg","open")</f>
        <v/>
      </c>
      <c r="C10423" t="inlineStr">
        <is>
          <t>b0b7ea82-53be-40d0-b992-e2fd18611d5c</t>
        </is>
      </c>
      <c r="D10423" t="n">
        <v>55.7019</v>
      </c>
      <c r="E10423" t="n">
        <v>37.73884</v>
      </c>
      <c r="F10423" t="inlineStr"/>
      <c r="G10423" t="inlineStr"/>
      <c r="H10423" t="inlineStr"/>
    </row>
    <row r="10424">
      <c r="A10424" t="inlineStr">
        <is>
          <t>341ce414-f4da-43bf-a916-5154450b1476.jpg</t>
        </is>
      </c>
      <c r="B10424">
        <f>HYPERLINK("Объекты недвижимости, не соответствующие градостроительным нормам_00-022_Август/341ce414-f4da-43bf-a916-5154450b1476.jpg","open")</f>
        <v/>
      </c>
      <c r="C10424" t="inlineStr">
        <is>
          <t>e85aff3b-73e8-4856-827e-477ccc0aea77</t>
        </is>
      </c>
      <c r="D10424" t="n">
        <v>55.8526</v>
      </c>
      <c r="E10424" t="n">
        <v>37.64708</v>
      </c>
      <c r="F10424" t="inlineStr"/>
      <c r="G10424" t="inlineStr"/>
      <c r="H10424" t="inlineStr"/>
    </row>
    <row r="10425">
      <c r="A10425" t="inlineStr">
        <is>
          <t>ee1232f8-4bd9-4537-baae-89052ce9f531.jpg</t>
        </is>
      </c>
      <c r="B10425">
        <f>HYPERLINK("Объекты недвижимости, не соответствующие градостроительным нормам_00-022_Август/ee1232f8-4bd9-4537-baae-89052ce9f531.jpg","open")</f>
        <v/>
      </c>
      <c r="C10425" t="inlineStr">
        <is>
          <t>31a713a9-b910-424b-b847-e0eaa2f70c70</t>
        </is>
      </c>
      <c r="D10425" t="n">
        <v>55.77986</v>
      </c>
      <c r="E10425" t="n">
        <v>37.67045</v>
      </c>
      <c r="F10425" t="inlineStr"/>
      <c r="G10425" t="inlineStr"/>
      <c r="H10425" t="inlineStr"/>
    </row>
    <row r="10426">
      <c r="A10426" t="inlineStr">
        <is>
          <t>8b41e062-c766-44b9-a298-abf8e18da707.jpg</t>
        </is>
      </c>
      <c r="B10426">
        <f>HYPERLINK("Объекты недвижимости, не соответствующие градостроительным нормам_00-022_Август/8b41e062-c766-44b9-a298-abf8e18da707.jpg","open")</f>
        <v/>
      </c>
      <c r="C10426" t="inlineStr">
        <is>
          <t>31a713a9-b910-424b-b847-e0eaa2f70c70</t>
        </is>
      </c>
      <c r="D10426" t="n">
        <v>55.77852</v>
      </c>
      <c r="E10426" t="n">
        <v>37.66796</v>
      </c>
      <c r="F10426" t="inlineStr"/>
      <c r="G10426" t="inlineStr"/>
      <c r="H10426" t="inlineStr"/>
    </row>
    <row r="10427">
      <c r="A10427" t="inlineStr">
        <is>
          <t>1ffac287-d396-46ad-96e5-1d1bbae1191b.jpg</t>
        </is>
      </c>
      <c r="B10427">
        <f>HYPERLINK("Объекты недвижимости, не соответствующие градостроительным нормам_00-022_Август/1ffac287-d396-46ad-96e5-1d1bbae1191b.jpg","open")</f>
        <v/>
      </c>
      <c r="C10427" t="inlineStr">
        <is>
          <t>b23a39fd-838c-435a-bacd-b4d6bb842c62</t>
        </is>
      </c>
      <c r="D10427" t="n">
        <v>55.75368</v>
      </c>
      <c r="E10427" t="n">
        <v>37.7345</v>
      </c>
      <c r="F10427" t="inlineStr"/>
      <c r="G10427" t="inlineStr"/>
      <c r="H10427" t="inlineStr"/>
    </row>
    <row r="10428">
      <c r="A10428" t="inlineStr">
        <is>
          <t>26bef1f3-37f5-4930-92fb-0334428dd6d7.jpg</t>
        </is>
      </c>
      <c r="B10428">
        <f>HYPERLINK("Объекты недвижимости, не соответствующие градостроительным нормам_00-022_Август/26bef1f3-37f5-4930-92fb-0334428dd6d7.jpg","open")</f>
        <v/>
      </c>
      <c r="C10428" t="inlineStr">
        <is>
          <t>036c664f-5408-4fd0-b479-342c00468eeb</t>
        </is>
      </c>
      <c r="D10428" t="n">
        <v>55.9659</v>
      </c>
      <c r="E10428" t="n">
        <v>37.40601</v>
      </c>
      <c r="F10428" t="inlineStr"/>
      <c r="G10428" t="inlineStr"/>
      <c r="H10428" t="inlineStr"/>
    </row>
    <row r="10429">
      <c r="A10429" t="inlineStr">
        <is>
          <t>2208fcea-17e6-4d35-806c-9fdcf4a13b38.jpg</t>
        </is>
      </c>
      <c r="B10429">
        <f>HYPERLINK("Объекты недвижимости, не соответствующие градостроительным нормам_00-022_Август/2208fcea-17e6-4d35-806c-9fdcf4a13b38.jpg","open")</f>
        <v/>
      </c>
      <c r="C10429" t="inlineStr">
        <is>
          <t>036c664f-5408-4fd0-b479-342c00468eeb</t>
        </is>
      </c>
      <c r="D10429" t="n">
        <v>55.96738</v>
      </c>
      <c r="E10429" t="n">
        <v>37.4029</v>
      </c>
      <c r="F10429" t="inlineStr"/>
      <c r="G10429" t="inlineStr"/>
      <c r="H10429" t="inlineStr"/>
    </row>
    <row r="10430">
      <c r="A10430" t="inlineStr">
        <is>
          <t>416e02d3-b62f-46ad-aa49-aa6ef07a8114.jpg</t>
        </is>
      </c>
      <c r="B10430">
        <f>HYPERLINK("Объекты недвижимости, не соответствующие градостроительным нормам_00-022_Август/416e02d3-b62f-46ad-aa49-aa6ef07a8114.jpg","open")</f>
        <v/>
      </c>
      <c r="C10430" t="inlineStr">
        <is>
          <t>b0429a31-0c70-4b9f-8ea5-73929d82f89e</t>
        </is>
      </c>
      <c r="D10430" t="n">
        <v>55.67447</v>
      </c>
      <c r="E10430" t="n">
        <v>37.72669</v>
      </c>
      <c r="F10430" t="inlineStr"/>
      <c r="G10430" t="inlineStr"/>
      <c r="H10430" t="inlineStr"/>
    </row>
    <row r="10431">
      <c r="A10431" t="inlineStr">
        <is>
          <t>893d0102-e02a-4c54-9417-290c2fedba71.jpg</t>
        </is>
      </c>
      <c r="B10431">
        <f>HYPERLINK("Объекты недвижимости, не соответствующие градостроительным нормам_00-022_Август/893d0102-e02a-4c54-9417-290c2fedba71.jpg","open")</f>
        <v/>
      </c>
      <c r="C10431" t="inlineStr">
        <is>
          <t>e85aff3b-73e8-4856-827e-477ccc0aea77</t>
        </is>
      </c>
      <c r="D10431" t="n">
        <v>55.84798</v>
      </c>
      <c r="E10431" t="n">
        <v>37.64096</v>
      </c>
      <c r="F10431" t="inlineStr"/>
      <c r="G10431" t="inlineStr"/>
      <c r="H10431" t="inlineStr"/>
    </row>
    <row r="10432">
      <c r="A10432" t="inlineStr">
        <is>
          <t>20312ee8-a9a0-482c-814e-fbfacc14f7c6.jpg</t>
        </is>
      </c>
      <c r="B10432">
        <f>HYPERLINK("Объекты недвижимости, не соответствующие градостроительным нормам_00-022_Август/20312ee8-a9a0-482c-814e-fbfacc14f7c6.jpg","open")</f>
        <v/>
      </c>
      <c r="C10432" t="inlineStr">
        <is>
          <t>0ae6fd20-177f-4af7-9257-efb3c784b357</t>
        </is>
      </c>
      <c r="D10432" t="n">
        <v>55.84798</v>
      </c>
      <c r="E10432" t="n">
        <v>37.64096</v>
      </c>
      <c r="F10432" t="inlineStr"/>
      <c r="G10432" t="inlineStr"/>
      <c r="H10432" t="inlineStr"/>
    </row>
    <row r="10433">
      <c r="A10433" t="inlineStr">
        <is>
          <t>7377cb73-a7aa-4e54-9bfd-33ea4e25ffa1.jpg</t>
        </is>
      </c>
      <c r="B10433">
        <f>HYPERLINK("Объекты недвижимости, не соответствующие градостроительным нормам_00-022_Август/7377cb73-a7aa-4e54-9bfd-33ea4e25ffa1.jpg","open")</f>
        <v/>
      </c>
      <c r="C10433" t="inlineStr">
        <is>
          <t>e85aff3b-73e8-4856-827e-477ccc0aea77</t>
        </is>
      </c>
      <c r="D10433" t="n">
        <v>55.84798</v>
      </c>
      <c r="E10433" t="n">
        <v>37.64096</v>
      </c>
      <c r="F10433" t="inlineStr"/>
      <c r="G10433" t="inlineStr"/>
      <c r="H10433" t="inlineStr"/>
    </row>
    <row r="10434">
      <c r="A10434" t="inlineStr">
        <is>
          <t>e2c226e9-a6a0-48f1-a86e-408bbdf4af72.jpg</t>
        </is>
      </c>
      <c r="B10434">
        <f>HYPERLINK("Объекты недвижимости, не соответствующие градостроительным нормам_00-022_Август/e2c226e9-a6a0-48f1-a86e-408bbdf4af72.jpg","open")</f>
        <v/>
      </c>
      <c r="C10434" t="inlineStr">
        <is>
          <t>e85aff3b-73e8-4856-827e-477ccc0aea77</t>
        </is>
      </c>
      <c r="D10434" t="n">
        <v>55.84798</v>
      </c>
      <c r="E10434" t="n">
        <v>37.64096</v>
      </c>
      <c r="F10434" t="inlineStr"/>
      <c r="G10434" t="inlineStr"/>
      <c r="H10434" t="inlineStr"/>
    </row>
    <row r="10435">
      <c r="A10435" t="inlineStr">
        <is>
          <t>834f1b0e-4750-4ecc-bc12-5a84f4e8f54d.jpg</t>
        </is>
      </c>
      <c r="B10435">
        <f>HYPERLINK("Объекты недвижимости, не соответствующие градостроительным нормам_00-022_Август/834f1b0e-4750-4ecc-bc12-5a84f4e8f54d.jpg","open")</f>
        <v/>
      </c>
      <c r="C10435" t="inlineStr">
        <is>
          <t>acedacc2-0d8b-4fc1-9622-25621a89d071</t>
        </is>
      </c>
      <c r="D10435" t="n">
        <v>55.79969</v>
      </c>
      <c r="E10435" t="n">
        <v>37.79187</v>
      </c>
      <c r="F10435" t="inlineStr"/>
      <c r="G10435" t="inlineStr"/>
      <c r="H10435" t="inlineStr"/>
    </row>
    <row r="10436">
      <c r="A10436" t="inlineStr">
        <is>
          <t>42f1d77f-6d2c-4da6-bf47-18495de36749.jpg</t>
        </is>
      </c>
      <c r="B10436">
        <f>HYPERLINK("Объекты недвижимости, не соответствующие градостроительным нормам_00-022_Август/42f1d77f-6d2c-4da6-bf47-18495de36749.jpg","open")</f>
        <v/>
      </c>
      <c r="C10436" t="inlineStr">
        <is>
          <t>57aae8a4-582b-4309-8045-c8127a9f86ae</t>
        </is>
      </c>
      <c r="D10436" t="n">
        <v>55.79969</v>
      </c>
      <c r="E10436" t="n">
        <v>37.79193</v>
      </c>
      <c r="F10436" t="inlineStr"/>
      <c r="G10436" t="inlineStr"/>
      <c r="H10436" t="inlineStr"/>
    </row>
    <row r="10437">
      <c r="A10437" t="inlineStr">
        <is>
          <t>fe33c29d-3dc7-4468-9ea1-3a7dacd8ff18.jpg</t>
        </is>
      </c>
      <c r="B10437">
        <f>HYPERLINK("Объекты недвижимости, не соответствующие градостроительным нормам_00-022_Август/fe33c29d-3dc7-4468-9ea1-3a7dacd8ff18.jpg","open")</f>
        <v/>
      </c>
      <c r="C10437" t="inlineStr">
        <is>
          <t>57aae8a4-582b-4309-8045-c8127a9f86ae</t>
        </is>
      </c>
      <c r="D10437" t="n">
        <v>55.79969</v>
      </c>
      <c r="E10437" t="n">
        <v>37.7919</v>
      </c>
      <c r="F10437" t="inlineStr"/>
      <c r="G10437" t="inlineStr"/>
      <c r="H10437" t="inlineStr"/>
    </row>
    <row r="10438">
      <c r="A10438" t="inlineStr">
        <is>
          <t>d0198853-bc11-4400-ac53-8b344d9a7fbe.jpg</t>
        </is>
      </c>
      <c r="B10438">
        <f>HYPERLINK("Объекты недвижимости, не соответствующие градостроительным нормам_00-022_Август/d0198853-bc11-4400-ac53-8b344d9a7fbe.jpg","open")</f>
        <v/>
      </c>
      <c r="C10438" t="inlineStr">
        <is>
          <t>acedacc2-0d8b-4fc1-9622-25621a89d071</t>
        </is>
      </c>
      <c r="D10438" t="n">
        <v>55.79969</v>
      </c>
      <c r="E10438" t="n">
        <v>37.79194</v>
      </c>
      <c r="F10438" t="inlineStr"/>
      <c r="G10438" t="inlineStr"/>
      <c r="H10438" t="inlineStr"/>
    </row>
    <row r="10439">
      <c r="A10439" t="inlineStr">
        <is>
          <t>ecf896f2-8694-481b-a42e-38498f9a4975.jpg</t>
        </is>
      </c>
      <c r="B10439">
        <f>HYPERLINK("Объекты недвижимости, не соответствующие градостроительным нормам_00-022_Август/ecf896f2-8694-481b-a42e-38498f9a4975.jpg","open")</f>
        <v/>
      </c>
      <c r="C10439" t="inlineStr">
        <is>
          <t>57aae8a4-582b-4309-8045-c8127a9f86ae</t>
        </is>
      </c>
      <c r="D10439" t="n">
        <v>55.7997</v>
      </c>
      <c r="E10439" t="n">
        <v>37.79192</v>
      </c>
      <c r="F10439" t="inlineStr"/>
      <c r="G10439" t="inlineStr"/>
      <c r="H10439" t="inlineStr"/>
    </row>
    <row r="10440">
      <c r="A10440" t="inlineStr">
        <is>
          <t>4eb1fa6a-e589-47cb-b378-1e44b6aae1a5.jpg</t>
        </is>
      </c>
      <c r="B10440">
        <f>HYPERLINK("Объекты недвижимости, не соответствующие градостроительным нормам_00-022_Август/4eb1fa6a-e589-47cb-b378-1e44b6aae1a5.jpg","open")</f>
        <v/>
      </c>
      <c r="C10440" t="inlineStr">
        <is>
          <t>936502dd-24a4-4256-9fdf-0d8fb72af3ed</t>
        </is>
      </c>
      <c r="D10440" t="n">
        <v>55.64358</v>
      </c>
      <c r="E10440" t="n">
        <v>37.64949</v>
      </c>
      <c r="F10440" t="inlineStr"/>
      <c r="G10440" t="inlineStr"/>
      <c r="H10440" t="inlineStr"/>
    </row>
    <row r="10441">
      <c r="A10441" t="inlineStr">
        <is>
          <t>dc435e16-6caa-43a4-a0bd-af33a36997e0.jpg</t>
        </is>
      </c>
      <c r="B10441">
        <f>HYPERLINK("Объекты недвижимости, не соответствующие градостроительным нормам_00-022_Август/dc435e16-6caa-43a4-a0bd-af33a36997e0.jpg","open")</f>
        <v/>
      </c>
      <c r="C10441" t="inlineStr">
        <is>
          <t>acedacc2-0d8b-4fc1-9622-25621a89d071</t>
        </is>
      </c>
      <c r="D10441" t="n">
        <v>55.79986</v>
      </c>
      <c r="E10441" t="n">
        <v>37.79185</v>
      </c>
      <c r="F10441" t="inlineStr"/>
      <c r="G10441" t="inlineStr"/>
      <c r="H10441" t="inlineStr"/>
    </row>
    <row r="10442">
      <c r="A10442" t="inlineStr">
        <is>
          <t>ceef3b05-29bf-4d7d-b503-6e1fe35015aa.jpg</t>
        </is>
      </c>
      <c r="B10442">
        <f>HYPERLINK("Объекты недвижимости, не соответствующие градостроительным нормам_00-022_Август/ceef3b05-29bf-4d7d-b503-6e1fe35015aa.jpg","open")</f>
        <v/>
      </c>
      <c r="C10442" t="inlineStr">
        <is>
          <t>f60286ac-55e7-4099-85bd-cc599a7a0c65</t>
        </is>
      </c>
      <c r="D10442" t="n">
        <v>55.81969</v>
      </c>
      <c r="E10442" t="n">
        <v>37.83087</v>
      </c>
      <c r="F10442" t="inlineStr"/>
      <c r="G10442" t="inlineStr"/>
      <c r="H10442" t="inlineStr"/>
    </row>
    <row r="10443">
      <c r="A10443" t="inlineStr">
        <is>
          <t>bafedd6e-1895-4889-87b4-5d38b66e8e86.jpg</t>
        </is>
      </c>
      <c r="B10443">
        <f>HYPERLINK("Объекты недвижимости, не соответствующие градостроительным нормам_00-022_Август/bafedd6e-1895-4889-87b4-5d38b66e8e86.jpg","open")</f>
        <v/>
      </c>
      <c r="C10443" t="inlineStr">
        <is>
          <t>1c951e11-4940-43c6-a447-394097e5609a</t>
        </is>
      </c>
      <c r="D10443" t="n">
        <v>55.86601</v>
      </c>
      <c r="E10443" t="n">
        <v>37.46071</v>
      </c>
      <c r="F10443" t="inlineStr"/>
      <c r="G10443" t="inlineStr"/>
      <c r="H10443" t="inlineStr"/>
    </row>
    <row r="10444">
      <c r="A10444" t="inlineStr">
        <is>
          <t>952ea88c-64df-406c-b972-4904a53d38af.jpg</t>
        </is>
      </c>
      <c r="B10444">
        <f>HYPERLINK("Объекты недвижимости, не соответствующие градостроительным нормам_00-022_Август/952ea88c-64df-406c-b972-4904a53d38af.jpg","open")</f>
        <v/>
      </c>
      <c r="C10444" t="inlineStr">
        <is>
          <t>2acfb2da-e3f6-464c-bd17-4b713522c142</t>
        </is>
      </c>
      <c r="D10444" t="n">
        <v>55.90037</v>
      </c>
      <c r="E10444" t="n">
        <v>37.60881</v>
      </c>
      <c r="F10444" t="inlineStr"/>
      <c r="G10444" t="inlineStr"/>
      <c r="H10444" t="inlineStr"/>
    </row>
    <row r="10445">
      <c r="A10445" t="inlineStr">
        <is>
          <t>2fa44ccf-58aa-4633-a7b9-1332a1f89ea9.jpg</t>
        </is>
      </c>
      <c r="B10445">
        <f>HYPERLINK("Объекты недвижимости, не соответствующие градостроительным нормам_00-022_Август/2fa44ccf-58aa-4633-a7b9-1332a1f89ea9.jpg","open")</f>
        <v/>
      </c>
      <c r="C10445" t="inlineStr">
        <is>
          <t>789f6c51-64ee-4078-b7bd-443af8b8b68a</t>
        </is>
      </c>
      <c r="D10445" t="n">
        <v>55.89629</v>
      </c>
      <c r="E10445" t="n">
        <v>37.61195</v>
      </c>
      <c r="F10445" t="inlineStr"/>
      <c r="G10445" t="inlineStr"/>
      <c r="H10445" t="inlineStr"/>
    </row>
    <row r="10446">
      <c r="A10446" t="inlineStr">
        <is>
          <t>e1f18eaf-656b-435d-9034-e469f0f85c6a.jpg</t>
        </is>
      </c>
      <c r="B10446">
        <f>HYPERLINK("Объекты недвижимости, не соответствующие градостроительным нормам_00-022_Август/e1f18eaf-656b-435d-9034-e469f0f85c6a.jpg","open")</f>
        <v/>
      </c>
      <c r="C10446" t="inlineStr">
        <is>
          <t>57aae8a4-582b-4309-8045-c8127a9f86ae</t>
        </is>
      </c>
      <c r="D10446" t="n">
        <v>55.80183</v>
      </c>
      <c r="E10446" t="n">
        <v>37.78867</v>
      </c>
      <c r="F10446" t="inlineStr"/>
      <c r="G10446" t="inlineStr"/>
      <c r="H10446" t="inlineStr"/>
    </row>
    <row r="10447">
      <c r="A10447" t="inlineStr">
        <is>
          <t>57f0248f-5fa0-4ea1-af8a-a3eb23eb3ee7.jpg</t>
        </is>
      </c>
      <c r="B10447">
        <f>HYPERLINK("Объекты недвижимости, не соответствующие градостроительным нормам_00-022_Август/57f0248f-5fa0-4ea1-af8a-a3eb23eb3ee7.jpg","open")</f>
        <v/>
      </c>
      <c r="C10447" t="inlineStr">
        <is>
          <t>685d9054-b74f-49ab-857b-109fd2cec80d</t>
        </is>
      </c>
      <c r="D10447" t="n">
        <v>55.74222</v>
      </c>
      <c r="E10447" t="n">
        <v>37.69765</v>
      </c>
      <c r="F10447" t="inlineStr"/>
      <c r="G10447" t="inlineStr"/>
      <c r="H10447" t="inlineStr"/>
    </row>
    <row r="10448">
      <c r="A10448" t="inlineStr">
        <is>
          <t>9b51e598-68f2-4cc1-a513-feb4c8967671.jpg</t>
        </is>
      </c>
      <c r="B10448">
        <f>HYPERLINK("Объекты недвижимости, не соответствующие градостроительным нормам_00-022_Август/9b51e598-68f2-4cc1-a513-feb4c8967671.jpg","open")</f>
        <v/>
      </c>
      <c r="C10448" t="inlineStr">
        <is>
          <t>61936922-4d4b-458e-80ea-6d4c450aa1d5</t>
        </is>
      </c>
      <c r="D10448" t="n">
        <v>55.88667</v>
      </c>
      <c r="E10448" t="n">
        <v>39.35175</v>
      </c>
      <c r="F10448" t="inlineStr"/>
      <c r="G10448" t="inlineStr"/>
      <c r="H10448" t="inlineStr"/>
    </row>
    <row r="10449">
      <c r="A10449" t="inlineStr">
        <is>
          <t>aca055aa-3d94-4f3c-b227-9d67c010a46a.jpg</t>
        </is>
      </c>
      <c r="B10449">
        <f>HYPERLINK("Объекты недвижимости, не соответствующие градостроительным нормам_00-022_Август/aca055aa-3d94-4f3c-b227-9d67c010a46a.jpg","open")</f>
        <v/>
      </c>
      <c r="C10449" t="inlineStr">
        <is>
          <t>61936922-4d4b-458e-80ea-6d4c450aa1d5</t>
        </is>
      </c>
      <c r="D10449" t="n">
        <v>55.88667</v>
      </c>
      <c r="E10449" t="n">
        <v>39.35175</v>
      </c>
      <c r="F10449" t="inlineStr"/>
      <c r="G10449" t="inlineStr"/>
      <c r="H10449" t="inlineStr"/>
    </row>
    <row r="10450">
      <c r="A10450" t="inlineStr">
        <is>
          <t>1ed6788f-07af-4070-b839-716c3fdc8ff9.jpg</t>
        </is>
      </c>
      <c r="B10450">
        <f>HYPERLINK("Объекты недвижимости, не соответствующие градостроительным нормам_00-022_Август/1ed6788f-07af-4070-b839-716c3fdc8ff9.jpg","open")</f>
        <v/>
      </c>
      <c r="C10450" t="inlineStr">
        <is>
          <t>9c930d0e-e445-452d-a046-325646b21ab7</t>
        </is>
      </c>
      <c r="D10450" t="n">
        <v>55.88135</v>
      </c>
      <c r="E10450" t="n">
        <v>37.67239</v>
      </c>
      <c r="F10450" t="inlineStr"/>
      <c r="G10450" t="inlineStr"/>
      <c r="H10450" t="inlineStr"/>
    </row>
    <row r="10451">
      <c r="A10451" t="inlineStr">
        <is>
          <t>dbc0869d-6bc5-439d-a0b3-fa35fea26220.jpg</t>
        </is>
      </c>
      <c r="B10451">
        <f>HYPERLINK("Объекты недвижимости, не соответствующие градостроительным нормам_00-022_Август/dbc0869d-6bc5-439d-a0b3-fa35fea26220.jpg","open")</f>
        <v/>
      </c>
      <c r="C10451" t="inlineStr">
        <is>
          <t>8996eb30-6497-4318-8a0e-b95314b8172e</t>
        </is>
      </c>
      <c r="D10451" t="n">
        <v>55.75751</v>
      </c>
      <c r="E10451" t="n">
        <v>37.67876</v>
      </c>
      <c r="F10451" t="inlineStr"/>
      <c r="G10451" t="inlineStr"/>
      <c r="H10451" t="inlineStr"/>
    </row>
    <row r="10452">
      <c r="A10452" t="inlineStr">
        <is>
          <t>e48b68b2-cf1e-4872-98e2-4abd49783e7d.jpg</t>
        </is>
      </c>
      <c r="B10452">
        <f>HYPERLINK("Объекты недвижимости, не соответствующие градостроительным нормам_00-022_Август/e48b68b2-cf1e-4872-98e2-4abd49783e7d.jpg","open")</f>
        <v/>
      </c>
      <c r="C10452" t="inlineStr">
        <is>
          <t>8996eb30-6497-4318-8a0e-b95314b8172e</t>
        </is>
      </c>
      <c r="D10452" t="n">
        <v>55.75743</v>
      </c>
      <c r="E10452" t="n">
        <v>37.67904</v>
      </c>
      <c r="F10452" t="inlineStr"/>
      <c r="G10452" t="inlineStr"/>
      <c r="H10452" t="inlineStr"/>
    </row>
    <row r="10453">
      <c r="A10453" t="inlineStr">
        <is>
          <t>86550459-abe6-4262-aa01-9f9d5e537e9a.jpg</t>
        </is>
      </c>
      <c r="B10453">
        <f>HYPERLINK("Объекты недвижимости, не соответствующие градостроительным нормам_00-022_Август/86550459-abe6-4262-aa01-9f9d5e537e9a.jpg","open")</f>
        <v/>
      </c>
      <c r="C10453" t="inlineStr">
        <is>
          <t>789f6c51-64ee-4078-b7bd-443af8b8b68a</t>
        </is>
      </c>
      <c r="D10453" t="n">
        <v>55.7513</v>
      </c>
      <c r="E10453" t="n">
        <v>37.68606</v>
      </c>
      <c r="F10453" t="inlineStr"/>
      <c r="G10453" t="inlineStr"/>
      <c r="H10453" t="inlineStr"/>
    </row>
    <row r="10454">
      <c r="A10454" t="inlineStr">
        <is>
          <t>0a0b1444-71f7-4494-8863-36227ec9e57f.jpg</t>
        </is>
      </c>
      <c r="B10454">
        <f>HYPERLINK("Объекты недвижимости, не соответствующие градостроительным нормам_00-022_Август/0a0b1444-71f7-4494-8863-36227ec9e57f.jpg","open")</f>
        <v/>
      </c>
      <c r="C10454" t="inlineStr">
        <is>
          <t>8996eb30-6497-4318-8a0e-b95314b8172e</t>
        </is>
      </c>
      <c r="D10454" t="n">
        <v>55.76505</v>
      </c>
      <c r="E10454" t="n">
        <v>37.69808</v>
      </c>
      <c r="F10454" t="inlineStr"/>
      <c r="G10454" t="inlineStr"/>
      <c r="H10454" t="inlineStr"/>
    </row>
    <row r="10455">
      <c r="A10455" t="inlineStr">
        <is>
          <t>60ec07e2-05ee-4a33-9d9a-76a1380adf40.jpg</t>
        </is>
      </c>
      <c r="B10455">
        <f>HYPERLINK("Объекты недвижимости, не соответствующие градостроительным нормам_00-022_Август/60ec07e2-05ee-4a33-9d9a-76a1380adf40.jpg","open")</f>
        <v/>
      </c>
      <c r="C10455" t="inlineStr">
        <is>
          <t>93848fc8-17e7-4748-9ebc-c7e379e11d2f</t>
        </is>
      </c>
      <c r="D10455" t="n">
        <v>55.73884</v>
      </c>
      <c r="E10455" t="n">
        <v>37.66058</v>
      </c>
      <c r="F10455" t="inlineStr"/>
      <c r="G10455" t="inlineStr"/>
      <c r="H10455" t="inlineStr"/>
    </row>
    <row r="10456">
      <c r="A10456" t="inlineStr">
        <is>
          <t>d5dd21e1-0516-42ff-a9c3-e95e362afef7.jpg</t>
        </is>
      </c>
      <c r="B10456">
        <f>HYPERLINK("Объекты недвижимости, не соответствующие градостроительным нормам_00-022_Август/d5dd21e1-0516-42ff-a9c3-e95e362afef7.jpg","open")</f>
        <v/>
      </c>
      <c r="C10456" t="inlineStr">
        <is>
          <t>91248771-2c4d-44f3-b3cf-d536bd4ae73c</t>
        </is>
      </c>
      <c r="D10456" t="n">
        <v>55.82034</v>
      </c>
      <c r="E10456" t="n">
        <v>37.74341</v>
      </c>
      <c r="F10456" t="inlineStr"/>
      <c r="G10456" t="inlineStr"/>
      <c r="H10456" t="inlineStr"/>
    </row>
    <row r="10457">
      <c r="A10457" t="inlineStr">
        <is>
          <t>7cbf15ea-c8c7-47e0-9860-0f119003ed63.jpg</t>
        </is>
      </c>
      <c r="B10457">
        <f>HYPERLINK("Объекты недвижимости, не соответствующие градостроительным нормам_00-022_Август/7cbf15ea-c8c7-47e0-9860-0f119003ed63.jpg","open")</f>
        <v/>
      </c>
      <c r="C10457" t="inlineStr">
        <is>
          <t>91248771-2c4d-44f3-b3cf-d536bd4ae73c</t>
        </is>
      </c>
      <c r="D10457" t="n">
        <v>55.77446</v>
      </c>
      <c r="E10457" t="n">
        <v>37.6979</v>
      </c>
      <c r="F10457" t="inlineStr"/>
      <c r="G10457" t="inlineStr"/>
      <c r="H10457" t="inlineStr"/>
    </row>
    <row r="10458">
      <c r="A10458" t="inlineStr">
        <is>
          <t>dd458eb6-802b-49ed-bc6a-911224fee2de.jpg</t>
        </is>
      </c>
      <c r="B10458">
        <f>HYPERLINK("Объекты недвижимости, не соответствующие градостроительным нормам_00-022_Август/dd458eb6-802b-49ed-bc6a-911224fee2de.jpg","open")</f>
        <v/>
      </c>
      <c r="C10458" t="inlineStr">
        <is>
          <t>2181e48f-fa47-41a0-9111-650d196fe00d</t>
        </is>
      </c>
      <c r="D10458" t="n">
        <v>55.76823</v>
      </c>
      <c r="E10458" t="n">
        <v>37.68739</v>
      </c>
      <c r="F10458" t="inlineStr"/>
      <c r="G10458" t="inlineStr"/>
      <c r="H10458" t="inlineStr"/>
    </row>
    <row r="10459">
      <c r="A10459" t="inlineStr">
        <is>
          <t>c163139e-1951-4769-a921-878dd6595577.jpg</t>
        </is>
      </c>
      <c r="B10459">
        <f>HYPERLINK("Объекты недвижимости, не соответствующие градостроительным нормам_00-022_Август/c163139e-1951-4769-a921-878dd6595577.jpg","open")</f>
        <v/>
      </c>
      <c r="C10459" t="inlineStr">
        <is>
          <t>57812597-37e6-414c-8b11-8c661dbfeb70</t>
        </is>
      </c>
      <c r="D10459" t="n">
        <v>55.74085</v>
      </c>
      <c r="E10459" t="n">
        <v>37.53813</v>
      </c>
      <c r="F10459" t="inlineStr"/>
      <c r="G10459" t="inlineStr"/>
      <c r="H10459" t="inlineStr"/>
    </row>
    <row r="10460">
      <c r="A10460" t="inlineStr">
        <is>
          <t>40c57683-1985-47df-a5aa-e1ffe824ee47.jpg</t>
        </is>
      </c>
      <c r="B10460">
        <f>HYPERLINK("Объекты недвижимости, не соответствующие градостроительным нормам_00-022_Август/40c57683-1985-47df-a5aa-e1ffe824ee47.jpg","open")</f>
        <v/>
      </c>
      <c r="C10460" t="inlineStr">
        <is>
          <t>fb40ed24-21ef-458a-a239-038ab19932cc</t>
        </is>
      </c>
      <c r="D10460" t="n">
        <v>55.79294</v>
      </c>
      <c r="E10460" t="n">
        <v>37.78401</v>
      </c>
      <c r="F10460" t="inlineStr"/>
      <c r="G10460" t="inlineStr"/>
      <c r="H10460" t="inlineStr"/>
    </row>
    <row r="10461">
      <c r="A10461" t="inlineStr">
        <is>
          <t>c67fbf13-d111-4812-95a7-0a4b9c9bb738.jpg</t>
        </is>
      </c>
      <c r="B10461">
        <f>HYPERLINK("Объекты недвижимости, не соответствующие градостроительным нормам_00-022_Август/c67fbf13-d111-4812-95a7-0a4b9c9bb738.jpg","open")</f>
        <v/>
      </c>
      <c r="C10461" t="inlineStr">
        <is>
          <t>db8b536c-32f2-4d9a-ae08-679d227e61f1</t>
        </is>
      </c>
      <c r="D10461" t="n">
        <v>55.70071</v>
      </c>
      <c r="E10461" t="n">
        <v>37.46465</v>
      </c>
      <c r="F10461" t="inlineStr"/>
      <c r="G10461" t="inlineStr"/>
      <c r="H10461" t="inlineStr"/>
    </row>
    <row r="10462">
      <c r="A10462" t="inlineStr">
        <is>
          <t>69d599bd-31c6-424a-9121-94e4521f998a.jpg</t>
        </is>
      </c>
      <c r="B10462">
        <f>HYPERLINK("Объекты недвижимости, не соответствующие градостроительным нормам_00-022_Август/69d599bd-31c6-424a-9121-94e4521f998a.jpg","open")</f>
        <v/>
      </c>
      <c r="C10462" t="inlineStr">
        <is>
          <t>e26f5fc2-1353-4f29-85f3-87c56419161c</t>
        </is>
      </c>
      <c r="D10462" t="n">
        <v>55.76548</v>
      </c>
      <c r="E10462" t="n">
        <v>37.55307</v>
      </c>
      <c r="F10462" t="inlineStr"/>
      <c r="G10462" t="inlineStr"/>
      <c r="H10462" t="inlineStr"/>
    </row>
    <row r="10463">
      <c r="A10463" t="inlineStr">
        <is>
          <t>1d718b97-ece5-46da-898b-57efeb69d9a7.jpg</t>
        </is>
      </c>
      <c r="B10463">
        <f>HYPERLINK("Объекты недвижимости, не соответствующие градостроительным нормам_00-022_Август/1d718b97-ece5-46da-898b-57efeb69d9a7.jpg","open")</f>
        <v/>
      </c>
      <c r="C10463" t="inlineStr">
        <is>
          <t>4cd87d14-7440-44b7-a5b2-a738e10006f7</t>
        </is>
      </c>
      <c r="D10463" t="n">
        <v>55.76533</v>
      </c>
      <c r="E10463" t="n">
        <v>37.55296</v>
      </c>
      <c r="F10463" t="inlineStr"/>
      <c r="G10463" t="inlineStr"/>
      <c r="H10463" t="inlineStr"/>
    </row>
    <row r="10464">
      <c r="A10464" t="inlineStr">
        <is>
          <t>d457c87c-85f7-4380-9dbf-33244ac2dbb3.jpg</t>
        </is>
      </c>
      <c r="B10464">
        <f>HYPERLINK("Объекты недвижимости, не соответствующие градостроительным нормам_00-022_Август/d457c87c-85f7-4380-9dbf-33244ac2dbb3.jpg","open")</f>
        <v/>
      </c>
      <c r="C10464" t="inlineStr">
        <is>
          <t>e26f5fc2-1353-4f29-85f3-87c56419161c</t>
        </is>
      </c>
      <c r="D10464" t="n">
        <v>55.76548</v>
      </c>
      <c r="E10464" t="n">
        <v>37.55307</v>
      </c>
      <c r="F10464" t="inlineStr"/>
      <c r="G10464" t="inlineStr"/>
      <c r="H10464" t="inlineStr"/>
    </row>
    <row r="10465">
      <c r="A10465" t="inlineStr">
        <is>
          <t>8463080c-5ec4-4a28-845c-9f95eb132bcf.jpg</t>
        </is>
      </c>
      <c r="B10465">
        <f>HYPERLINK("Объекты недвижимости, не соответствующие градостроительным нормам_00-022_Август/8463080c-5ec4-4a28-845c-9f95eb132bcf.jpg","open")</f>
        <v/>
      </c>
      <c r="C10465" t="inlineStr">
        <is>
          <t>4cd87d14-7440-44b7-a5b2-a738e10006f7</t>
        </is>
      </c>
      <c r="D10465" t="n">
        <v>55.77334</v>
      </c>
      <c r="E10465" t="n">
        <v>37.54705</v>
      </c>
      <c r="F10465" t="inlineStr"/>
      <c r="G10465" t="inlineStr"/>
      <c r="H10465" t="inlineStr"/>
    </row>
    <row r="10466">
      <c r="A10466" t="inlineStr">
        <is>
          <t>2aafb8dd-d8ee-4739-b243-33aef23b520f.jpg</t>
        </is>
      </c>
      <c r="B10466">
        <f>HYPERLINK("Объекты недвижимости, не соответствующие градостроительным нормам_00-022_Август/2aafb8dd-d8ee-4739-b243-33aef23b520f.jpg","open")</f>
        <v/>
      </c>
      <c r="C10466" t="inlineStr">
        <is>
          <t>dd22c7c9-0046-46d8-8631-55150dbf8ae5</t>
        </is>
      </c>
      <c r="D10466" t="n">
        <v>55.72043</v>
      </c>
      <c r="E10466" t="n">
        <v>37.42985</v>
      </c>
      <c r="F10466" t="inlineStr"/>
      <c r="G10466" t="inlineStr"/>
      <c r="H10466" t="inlineStr"/>
    </row>
    <row r="10467">
      <c r="A10467" t="inlineStr">
        <is>
          <t>d1461aaf-3be5-4f5c-b1a0-da35c0f4fa1a.jpg</t>
        </is>
      </c>
      <c r="B10467">
        <f>HYPERLINK("Объекты недвижимости, не соответствующие градостроительным нормам_00-022_Август/d1461aaf-3be5-4f5c-b1a0-da35c0f4fa1a.jpg","open")</f>
        <v/>
      </c>
      <c r="C10467" t="inlineStr">
        <is>
          <t>18a5c468-d9e6-4814-8477-1caf4a2e1fe9</t>
        </is>
      </c>
      <c r="D10467" t="n">
        <v>55.96747</v>
      </c>
      <c r="E10467" t="n">
        <v>37.40305</v>
      </c>
      <c r="F10467" t="inlineStr"/>
      <c r="G10467" t="inlineStr"/>
      <c r="H10467" t="inlineStr"/>
    </row>
    <row r="10468">
      <c r="A10468" t="inlineStr">
        <is>
          <t>1d1c93e1-fdcd-4368-9a2a-d40cafb650bb.jpg</t>
        </is>
      </c>
      <c r="B10468">
        <f>HYPERLINK("Объекты недвижимости, не соответствующие градостроительным нормам_00-022_Август/1d1c93e1-fdcd-4368-9a2a-d40cafb650bb.jpg","open")</f>
        <v/>
      </c>
      <c r="C10468" t="inlineStr">
        <is>
          <t>18a5c468-d9e6-4814-8477-1caf4a2e1fe9</t>
        </is>
      </c>
      <c r="D10468" t="n">
        <v>55.96747</v>
      </c>
      <c r="E10468" t="n">
        <v>37.40305</v>
      </c>
      <c r="F10468" t="inlineStr"/>
      <c r="G10468" t="inlineStr"/>
      <c r="H10468" t="inlineStr"/>
    </row>
    <row r="10469">
      <c r="A10469" t="inlineStr">
        <is>
          <t>9e789f71-a604-44e6-bc37-9d5bf20d0cdd.jpg</t>
        </is>
      </c>
      <c r="B10469">
        <f>HYPERLINK("Объекты недвижимости, не соответствующие градостроительным нормам_00-022_Август/9e789f71-a604-44e6-bc37-9d5bf20d0cdd.jpg","open")</f>
        <v/>
      </c>
      <c r="C10469" t="inlineStr">
        <is>
          <t>18a5c468-d9e6-4814-8477-1caf4a2e1fe9</t>
        </is>
      </c>
      <c r="D10469" t="n">
        <v>55.96747</v>
      </c>
      <c r="E10469" t="n">
        <v>37.40305</v>
      </c>
      <c r="F10469" t="inlineStr"/>
      <c r="G10469" t="inlineStr"/>
      <c r="H10469" t="inlineStr"/>
    </row>
    <row r="10470">
      <c r="A10470" t="inlineStr">
        <is>
          <t>60f6ad2a-f35f-4395-992b-cd5452507a7c.jpg</t>
        </is>
      </c>
      <c r="B10470">
        <f>HYPERLINK("Объекты недвижимости, не соответствующие градостроительным нормам_00-022_Август/60f6ad2a-f35f-4395-992b-cd5452507a7c.jpg","open")</f>
        <v/>
      </c>
      <c r="C10470" t="inlineStr">
        <is>
          <t>18a5c468-d9e6-4814-8477-1caf4a2e1fe9</t>
        </is>
      </c>
      <c r="D10470" t="n">
        <v>55.96747</v>
      </c>
      <c r="E10470" t="n">
        <v>37.40305</v>
      </c>
      <c r="F10470" t="inlineStr"/>
      <c r="G10470" t="inlineStr"/>
      <c r="H10470" t="inlineStr"/>
    </row>
    <row r="10471">
      <c r="A10471" t="inlineStr">
        <is>
          <t>a7a4d37f-ee7d-4b85-8fb4-17935f7b4beb.jpg</t>
        </is>
      </c>
      <c r="B10471">
        <f>HYPERLINK("Объекты недвижимости, не соответствующие градостроительным нормам_00-022_Август/a7a4d37f-ee7d-4b85-8fb4-17935f7b4beb.jpg","open")</f>
        <v/>
      </c>
      <c r="C10471" t="inlineStr">
        <is>
          <t>af173c70-3716-4040-aa0b-1be99e78abe8</t>
        </is>
      </c>
      <c r="D10471" t="n">
        <v>55.72207</v>
      </c>
      <c r="E10471" t="n">
        <v>37.44428</v>
      </c>
      <c r="F10471" t="inlineStr"/>
      <c r="G10471" t="inlineStr"/>
      <c r="H10471" t="inlineStr"/>
    </row>
    <row r="10472">
      <c r="A10472" t="inlineStr">
        <is>
          <t>bd3a9e1d-407f-4d3f-ae62-140d7e4ed539.jpg</t>
        </is>
      </c>
      <c r="B10472">
        <f>HYPERLINK("Объекты недвижимости, не соответствующие градостроительным нормам_00-022_Август/bd3a9e1d-407f-4d3f-ae62-140d7e4ed539.jpg","open")</f>
        <v/>
      </c>
      <c r="C10472" t="inlineStr">
        <is>
          <t>750bf7e4-0f0f-4f1a-96af-607dc8c1f1c9</t>
        </is>
      </c>
      <c r="D10472" t="n">
        <v>55.77776</v>
      </c>
      <c r="E10472" t="n">
        <v>37.67027</v>
      </c>
      <c r="F10472" t="inlineStr"/>
      <c r="G10472" t="inlineStr"/>
      <c r="H10472" t="inlineStr"/>
    </row>
    <row r="10473">
      <c r="A10473" t="inlineStr">
        <is>
          <t>8ba6ad18-c850-4db4-8af2-339593936029.jpg</t>
        </is>
      </c>
      <c r="B10473">
        <f>HYPERLINK("Объекты недвижимости, не соответствующие градостроительным нормам_00-022_Август/8ba6ad18-c850-4db4-8af2-339593936029.jpg","open")</f>
        <v/>
      </c>
      <c r="C10473" t="inlineStr">
        <is>
          <t>af173c70-3716-4040-aa0b-1be99e78abe8</t>
        </is>
      </c>
      <c r="D10473" t="n">
        <v>55.72207</v>
      </c>
      <c r="E10473" t="n">
        <v>37.44428</v>
      </c>
      <c r="F10473" t="inlineStr"/>
      <c r="G10473" t="inlineStr"/>
      <c r="H10473" t="inlineStr"/>
    </row>
    <row r="10474">
      <c r="A10474" t="inlineStr">
        <is>
          <t>593cdc31-bf1b-4220-a748-8fa148f02590.jpg</t>
        </is>
      </c>
      <c r="B10474">
        <f>HYPERLINK("Объекты недвижимости, не соответствующие градостроительным нормам_00-022_Август/593cdc31-bf1b-4220-a748-8fa148f02590.jpg","open")</f>
        <v/>
      </c>
      <c r="C10474" t="inlineStr">
        <is>
          <t>31a713a9-b910-424b-b847-e0eaa2f70c70</t>
        </is>
      </c>
      <c r="D10474" t="n">
        <v>55.77776</v>
      </c>
      <c r="E10474" t="n">
        <v>37.67027</v>
      </c>
      <c r="F10474" t="inlineStr"/>
      <c r="G10474" t="inlineStr"/>
      <c r="H10474" t="inlineStr"/>
    </row>
    <row r="10475">
      <c r="A10475" t="inlineStr">
        <is>
          <t>68c7aa42-686f-46a6-941f-8dd9e9fd5d27.jpg</t>
        </is>
      </c>
      <c r="B10475">
        <f>HYPERLINK("Объекты недвижимости, не соответствующие градостроительным нормам_00-022_Август/68c7aa42-686f-46a6-941f-8dd9e9fd5d27.jpg","open")</f>
        <v/>
      </c>
      <c r="C10475" t="inlineStr">
        <is>
          <t>fce890a6-27da-4062-a046-08262a160ee6</t>
        </is>
      </c>
      <c r="D10475" t="n">
        <v>55.97675</v>
      </c>
      <c r="E10475" t="n">
        <v>37.40031</v>
      </c>
      <c r="F10475" t="inlineStr"/>
      <c r="G10475" t="inlineStr"/>
      <c r="H10475" t="inlineStr"/>
    </row>
    <row r="10476">
      <c r="A10476" t="inlineStr">
        <is>
          <t>22d1c5fc-d30e-4ad2-aee9-3fc9319892d3.jpg</t>
        </is>
      </c>
      <c r="B10476">
        <f>HYPERLINK("Объекты недвижимости, не соответствующие градостроительным нормам_00-022_Август/22d1c5fc-d30e-4ad2-aee9-3fc9319892d3.jpg","open")</f>
        <v/>
      </c>
      <c r="C10476" t="inlineStr">
        <is>
          <t>29ad9edb-d533-4272-a986-be24eb004851</t>
        </is>
      </c>
      <c r="D10476" t="n">
        <v>55.68818</v>
      </c>
      <c r="E10476" t="n">
        <v>37.4346</v>
      </c>
      <c r="F10476" t="inlineStr"/>
      <c r="G10476" t="inlineStr"/>
      <c r="H10476" t="inlineStr"/>
    </row>
    <row r="10477">
      <c r="A10477" t="inlineStr">
        <is>
          <t>82d465fa-18cb-4a84-99a1-9dd04896b5b7.jpg</t>
        </is>
      </c>
      <c r="B10477">
        <f>HYPERLINK("Объекты недвижимости, не соответствующие градостроительным нормам_00-022_Август/82d465fa-18cb-4a84-99a1-9dd04896b5b7.jpg","open")</f>
        <v/>
      </c>
      <c r="C10477" t="inlineStr">
        <is>
          <t>55da50d9-6d31-4c29-a85b-6a228578c6de</t>
        </is>
      </c>
      <c r="D10477" t="n">
        <v>55.96986</v>
      </c>
      <c r="E10477" t="n">
        <v>37.40007</v>
      </c>
      <c r="F10477" t="inlineStr"/>
      <c r="G10477" t="inlineStr"/>
      <c r="H10477" t="inlineStr"/>
    </row>
    <row r="10478">
      <c r="A10478" t="inlineStr">
        <is>
          <t>325d7193-02a8-418d-80a7-77ad97ec387d.jpg</t>
        </is>
      </c>
      <c r="B10478">
        <f>HYPERLINK("Объекты недвижимости, не соответствующие градостроительным нормам_00-022_Август/325d7193-02a8-418d-80a7-77ad97ec387d.jpg","open")</f>
        <v/>
      </c>
      <c r="C10478" t="inlineStr">
        <is>
          <t>50e4626c-a80e-42ab-b999-b5092c2c063f</t>
        </is>
      </c>
      <c r="D10478" t="n">
        <v>55.98106</v>
      </c>
      <c r="E10478" t="n">
        <v>37.40543</v>
      </c>
      <c r="F10478" t="inlineStr"/>
      <c r="G10478" t="inlineStr"/>
      <c r="H10478" t="inlineStr"/>
    </row>
    <row r="10479">
      <c r="A10479" t="inlineStr">
        <is>
          <t>3b730720-9f21-4ce9-9d59-1e2052148914.jpg</t>
        </is>
      </c>
      <c r="B10479">
        <f>HYPERLINK("Объекты недвижимости, не соответствующие градостроительным нормам_00-022_Август/3b730720-9f21-4ce9-9d59-1e2052148914.jpg","open")</f>
        <v/>
      </c>
      <c r="C10479" t="inlineStr">
        <is>
          <t>dd22c7c9-0046-46d8-8631-55150dbf8ae5</t>
        </is>
      </c>
      <c r="D10479" t="n">
        <v>55.72207</v>
      </c>
      <c r="E10479" t="n">
        <v>37.44428</v>
      </c>
      <c r="F10479" t="inlineStr"/>
      <c r="G10479" t="inlineStr"/>
      <c r="H10479" t="inlineStr"/>
    </row>
    <row r="10480">
      <c r="A10480" t="inlineStr">
        <is>
          <t>52ea4845-b9fc-4afc-bc34-b6bef9f7d451.jpg</t>
        </is>
      </c>
      <c r="B10480">
        <f>HYPERLINK("Объекты недвижимости, не соответствующие градостроительным нормам_00-022_Август/52ea4845-b9fc-4afc-bc34-b6bef9f7d451.jpg","open")</f>
        <v/>
      </c>
      <c r="C10480" t="inlineStr">
        <is>
          <t>29ad9edb-d533-4272-a986-be24eb004851</t>
        </is>
      </c>
      <c r="D10480" t="n">
        <v>55.73685</v>
      </c>
      <c r="E10480" t="n">
        <v>37.53909</v>
      </c>
      <c r="F10480" t="inlineStr"/>
      <c r="G10480" t="inlineStr"/>
      <c r="H10480" t="inlineStr"/>
    </row>
    <row r="10481">
      <c r="A10481" t="inlineStr">
        <is>
          <t>35254e89-9e47-4a23-9a11-26254e6f23af.jpg</t>
        </is>
      </c>
      <c r="B10481">
        <f>HYPERLINK("Объекты недвижимости, не соответствующие градостроительным нормам_00-022_Август/35254e89-9e47-4a23-9a11-26254e6f23af.jpg","open")</f>
        <v/>
      </c>
      <c r="C10481" t="inlineStr">
        <is>
          <t>1a55986c-2c3f-40c0-b3d1-014dce77832e</t>
        </is>
      </c>
      <c r="D10481" t="n">
        <v>56.03553</v>
      </c>
      <c r="E10481" t="n">
        <v>38.21832</v>
      </c>
      <c r="F10481" t="inlineStr"/>
      <c r="G10481" t="inlineStr"/>
      <c r="H10481" t="inlineStr"/>
    </row>
    <row r="10482">
      <c r="A10482" t="inlineStr">
        <is>
          <t>2ef8badd-65e7-4b06-848c-c3fa7616a93e.jpg</t>
        </is>
      </c>
      <c r="B10482">
        <f>HYPERLINK("Объекты недвижимости, не соответствующие градостроительным нормам_00-022_Август/2ef8badd-65e7-4b06-848c-c3fa7616a93e.jpg","open")</f>
        <v/>
      </c>
      <c r="C10482" t="inlineStr">
        <is>
          <t>ed2bf0f1-3a66-4913-896e-4420a9796c0b</t>
        </is>
      </c>
      <c r="D10482" t="n">
        <v>56.03553</v>
      </c>
      <c r="E10482" t="n">
        <v>38.21832</v>
      </c>
      <c r="F10482" t="inlineStr"/>
      <c r="G10482" t="inlineStr"/>
      <c r="H10482" t="inlineStr"/>
    </row>
    <row r="10483">
      <c r="A10483" t="inlineStr">
        <is>
          <t>2cc10272-cab8-4cae-98d3-74b503cf165f.jpg</t>
        </is>
      </c>
      <c r="B10483">
        <f>HYPERLINK("Объекты недвижимости, не соответствующие градостроительным нормам_00-022_Август/2cc10272-cab8-4cae-98d3-74b503cf165f.jpg","open")</f>
        <v/>
      </c>
      <c r="C10483" t="inlineStr">
        <is>
          <t>8996eb30-6497-4318-8a0e-b95314b8172e</t>
        </is>
      </c>
      <c r="D10483" t="n">
        <v>55.73415</v>
      </c>
      <c r="E10483" t="n">
        <v>37.70903</v>
      </c>
      <c r="F10483" t="inlineStr"/>
      <c r="G10483" t="inlineStr"/>
      <c r="H10483" t="inlineStr"/>
    </row>
    <row r="10484">
      <c r="A10484" t="inlineStr">
        <is>
          <t>4b1bad96-bd1f-4bbf-91ff-0e60dc14a7f5.jpg</t>
        </is>
      </c>
      <c r="B10484">
        <f>HYPERLINK("Объекты недвижимости, не соответствующие градостроительным нормам_00-022_Август/4b1bad96-bd1f-4bbf-91ff-0e60dc14a7f5.jpg","open")</f>
        <v/>
      </c>
      <c r="C10484" t="inlineStr">
        <is>
          <t>8996eb30-6497-4318-8a0e-b95314b8172e</t>
        </is>
      </c>
      <c r="D10484" t="n">
        <v>55.73098</v>
      </c>
      <c r="E10484" t="n">
        <v>37.69493</v>
      </c>
      <c r="F10484" t="inlineStr"/>
      <c r="G10484" t="inlineStr"/>
      <c r="H10484" t="inlineStr"/>
    </row>
    <row r="10485">
      <c r="A10485" t="inlineStr">
        <is>
          <t>53b84b32-5fa8-41fe-9d93-38bbce4a61dd.jpg</t>
        </is>
      </c>
      <c r="B10485">
        <f>HYPERLINK("Объекты недвижимости, не соответствующие градостроительным нормам_00-022_Август/53b84b32-5fa8-41fe-9d93-38bbce4a61dd.jpg","open")</f>
        <v/>
      </c>
      <c r="C10485" t="inlineStr">
        <is>
          <t>8996eb30-6497-4318-8a0e-b95314b8172e</t>
        </is>
      </c>
      <c r="D10485" t="n">
        <v>55.72938</v>
      </c>
      <c r="E10485" t="n">
        <v>37.68602</v>
      </c>
      <c r="F10485" t="inlineStr"/>
      <c r="G10485" t="inlineStr"/>
      <c r="H10485" t="inlineStr"/>
    </row>
    <row r="10486">
      <c r="A10486" t="inlineStr">
        <is>
          <t>b924c42a-04e6-4a17-a383-e77838445498.jpg</t>
        </is>
      </c>
      <c r="B10486">
        <f>HYPERLINK("Объекты недвижимости, не соответствующие градостроительным нормам_00-022_Август/b924c42a-04e6-4a17-a383-e77838445498.jpg","open")</f>
        <v/>
      </c>
      <c r="C10486" t="inlineStr">
        <is>
          <t>0ae6fd20-177f-4af7-9257-efb3c784b357</t>
        </is>
      </c>
      <c r="D10486" t="n">
        <v>55.87609</v>
      </c>
      <c r="E10486" t="n">
        <v>37.66772</v>
      </c>
      <c r="F10486" t="inlineStr"/>
      <c r="G10486" t="inlineStr"/>
      <c r="H10486" t="inlineStr"/>
    </row>
    <row r="10487">
      <c r="A10487" t="inlineStr">
        <is>
          <t>327f01f8-3e18-4208-9e54-995e1d1e6ef2.jpg</t>
        </is>
      </c>
      <c r="B10487">
        <f>HYPERLINK("Объекты недвижимости, не соответствующие градостроительным нормам_00-022_Август/327f01f8-3e18-4208-9e54-995e1d1e6ef2.jpg","open")</f>
        <v/>
      </c>
      <c r="C10487" t="inlineStr">
        <is>
          <t>2ba4f567-3981-4fd7-ac4a-45e8b3d68429</t>
        </is>
      </c>
      <c r="D10487" t="n">
        <v>55.68814</v>
      </c>
      <c r="E10487" t="n">
        <v>37.43554</v>
      </c>
      <c r="F10487" t="inlineStr"/>
      <c r="G10487" t="inlineStr"/>
      <c r="H10487" t="inlineStr"/>
    </row>
    <row r="10488">
      <c r="A10488" t="inlineStr">
        <is>
          <t>7a2fcbe5-62a5-4539-8ba2-aa212949f59f.jpg</t>
        </is>
      </c>
      <c r="B10488">
        <f>HYPERLINK("Объекты недвижимости, не соответствующие градостроительным нормам_00-022_Август/7a2fcbe5-62a5-4539-8ba2-aa212949f59f.jpg","open")</f>
        <v/>
      </c>
      <c r="C10488" t="inlineStr">
        <is>
          <t>9ca2abb7-5978-4e19-b2b4-4d185fa6739e</t>
        </is>
      </c>
      <c r="D10488" t="n">
        <v>55.96597</v>
      </c>
      <c r="E10488" t="n">
        <v>37.40615</v>
      </c>
      <c r="F10488" t="inlineStr"/>
      <c r="G10488" t="inlineStr"/>
      <c r="H10488" t="inlineStr"/>
    </row>
    <row r="10489">
      <c r="A10489" t="inlineStr">
        <is>
          <t>413444ad-8de8-4009-8637-81c09ab6c938.jpg</t>
        </is>
      </c>
      <c r="B10489">
        <f>HYPERLINK("Объекты недвижимости, не соответствующие градостроительным нормам_00-022_Август/413444ad-8de8-4009-8637-81c09ab6c938.jpg","open")</f>
        <v/>
      </c>
      <c r="C10489" t="inlineStr">
        <is>
          <t>8996eb30-6497-4318-8a0e-b95314b8172e</t>
        </is>
      </c>
      <c r="D10489" t="n">
        <v>55.72805</v>
      </c>
      <c r="E10489" t="n">
        <v>37.69266</v>
      </c>
      <c r="F10489" t="inlineStr"/>
      <c r="G10489" t="inlineStr"/>
      <c r="H10489" t="inlineStr"/>
    </row>
    <row r="10490">
      <c r="A10490" t="inlineStr">
        <is>
          <t>eecd963d-bcd0-473f-9351-df157a552ea1.jpg</t>
        </is>
      </c>
      <c r="B10490">
        <f>HYPERLINK("Объекты недвижимости, не соответствующие градостроительным нормам_00-022_Август/eecd963d-bcd0-473f-9351-df157a552ea1.jpg","open")</f>
        <v/>
      </c>
      <c r="C10490" t="inlineStr">
        <is>
          <t>48b533d5-d106-4175-ac9b-d5ce8d90cccf</t>
        </is>
      </c>
      <c r="D10490" t="n">
        <v>55.72799</v>
      </c>
      <c r="E10490" t="n">
        <v>37.69284</v>
      </c>
      <c r="F10490" t="inlineStr"/>
      <c r="G10490" t="inlineStr"/>
      <c r="H10490" t="inlineStr"/>
    </row>
    <row r="10491">
      <c r="A10491" t="inlineStr">
        <is>
          <t>4f9f90e1-dcd9-442e-a1fa-8e928f6b07b0.jpg</t>
        </is>
      </c>
      <c r="B10491">
        <f>HYPERLINK("Объекты недвижимости, не соответствующие градостроительным нормам_00-022_Август/4f9f90e1-dcd9-442e-a1fa-8e928f6b07b0.jpg","open")</f>
        <v/>
      </c>
      <c r="C10491" t="inlineStr">
        <is>
          <t>ed2bf0f1-3a66-4913-896e-4420a9796c0b</t>
        </is>
      </c>
      <c r="D10491" t="n">
        <v>55.66311</v>
      </c>
      <c r="E10491" t="n">
        <v>37.61823</v>
      </c>
      <c r="F10491" t="inlineStr"/>
      <c r="G10491" t="inlineStr"/>
      <c r="H10491" t="inlineStr"/>
    </row>
    <row r="10492">
      <c r="A10492" t="inlineStr">
        <is>
          <t>f7d6f5e3-14ee-480a-9839-5b7ed35d4b9b.jpg</t>
        </is>
      </c>
      <c r="B10492">
        <f>HYPERLINK("Объекты недвижимости, не соответствующие градостроительным нормам_00-022_Август/f7d6f5e3-14ee-480a-9839-5b7ed35d4b9b.jpg","open")</f>
        <v/>
      </c>
      <c r="C10492" t="inlineStr">
        <is>
          <t>5e5b9944-4f9e-4223-bf96-0bc0c8a93dfa</t>
        </is>
      </c>
      <c r="D10492" t="n">
        <v>55.71003</v>
      </c>
      <c r="E10492" t="n">
        <v>37.66503</v>
      </c>
      <c r="F10492" t="inlineStr"/>
      <c r="G10492" t="inlineStr"/>
      <c r="H10492" t="inlineStr"/>
    </row>
    <row r="10493">
      <c r="A10493" t="inlineStr">
        <is>
          <t>0cc5f37f-e3d3-4f6e-889d-7faf5f080633.jpg</t>
        </is>
      </c>
      <c r="B10493">
        <f>HYPERLINK("Объекты недвижимости, не соответствующие градостроительным нормам_00-022_Август/0cc5f37f-e3d3-4f6e-889d-7faf5f080633.jpg","open")</f>
        <v/>
      </c>
      <c r="C10493" t="inlineStr">
        <is>
          <t>8996eb30-6497-4318-8a0e-b95314b8172e</t>
        </is>
      </c>
      <c r="D10493" t="n">
        <v>55.73166</v>
      </c>
      <c r="E10493" t="n">
        <v>37.70008</v>
      </c>
      <c r="F10493" t="inlineStr"/>
      <c r="G10493" t="inlineStr"/>
      <c r="H10493" t="inlineStr"/>
    </row>
    <row r="10494">
      <c r="A10494" t="inlineStr">
        <is>
          <t>3da62f23-3bfc-4e2d-8e07-b30a6bddffc0.jpg</t>
        </is>
      </c>
      <c r="B10494">
        <f>HYPERLINK("Объекты недвижимости, не соответствующие градостроительным нормам_00-022_Август/3da62f23-3bfc-4e2d-8e07-b30a6bddffc0.jpg","open")</f>
        <v/>
      </c>
      <c r="C10494" t="inlineStr">
        <is>
          <t>036c664f-5408-4fd0-b479-342c00468eeb</t>
        </is>
      </c>
      <c r="D10494" t="n">
        <v>55.74427</v>
      </c>
      <c r="E10494" t="n">
        <v>37.69793</v>
      </c>
      <c r="F10494" t="inlineStr"/>
      <c r="G10494" t="inlineStr"/>
      <c r="H10494" t="inlineStr"/>
    </row>
    <row r="10495">
      <c r="A10495" t="inlineStr">
        <is>
          <t>6aa13350-9c88-4cef-9cea-94d64728ee52.jpg</t>
        </is>
      </c>
      <c r="B10495">
        <f>HYPERLINK("Объекты недвижимости, не соответствующие градостроительным нормам_00-022_Август/6aa13350-9c88-4cef-9cea-94d64728ee52.jpg","open")</f>
        <v/>
      </c>
      <c r="C10495" t="inlineStr">
        <is>
          <t>8cde1fd0-eca1-4510-86ab-3c743b65fdfc</t>
        </is>
      </c>
      <c r="D10495" t="n">
        <v>55.69755</v>
      </c>
      <c r="E10495" t="n">
        <v>37.51377</v>
      </c>
      <c r="F10495" t="inlineStr"/>
      <c r="G10495" t="inlineStr"/>
      <c r="H10495" t="inlineStr"/>
    </row>
    <row r="10496">
      <c r="A10496" t="inlineStr">
        <is>
          <t>eadd547f-bdd5-4884-950e-1896f09381c0.jpg</t>
        </is>
      </c>
      <c r="B10496">
        <f>HYPERLINK("Объекты недвижимости, не соответствующие градостроительным нормам_00-022_Август/eadd547f-bdd5-4884-950e-1896f09381c0.jpg","open")</f>
        <v/>
      </c>
      <c r="C10496" t="inlineStr">
        <is>
          <t>036c664f-5408-4fd0-b479-342c00468eeb</t>
        </is>
      </c>
      <c r="D10496" t="n">
        <v>55.74427</v>
      </c>
      <c r="E10496" t="n">
        <v>37.69793</v>
      </c>
      <c r="F10496" t="inlineStr"/>
      <c r="G10496" t="inlineStr"/>
      <c r="H10496" t="inlineStr"/>
    </row>
    <row r="10497">
      <c r="A10497" t="inlineStr">
        <is>
          <t>8ccbbdd9-dc04-4ca6-9fd2-cec524a5cfc9.jpg</t>
        </is>
      </c>
      <c r="B10497">
        <f>HYPERLINK("Объекты недвижимости, не соответствующие градостроительным нормам_00-022_Август/8ccbbdd9-dc04-4ca6-9fd2-cec524a5cfc9.jpg","open")</f>
        <v/>
      </c>
      <c r="C10497" t="inlineStr">
        <is>
          <t>5e5b9944-4f9e-4223-bf96-0bc0c8a93dfa</t>
        </is>
      </c>
      <c r="D10497" t="n">
        <v>55.71003</v>
      </c>
      <c r="E10497" t="n">
        <v>37.66503</v>
      </c>
      <c r="F10497" t="inlineStr"/>
      <c r="G10497" t="inlineStr"/>
      <c r="H10497" t="inlineStr"/>
    </row>
    <row r="10498">
      <c r="A10498" t="inlineStr">
        <is>
          <t>2a58b883-ca84-4b78-aa34-bd2293a25709.jpg</t>
        </is>
      </c>
      <c r="B10498">
        <f>HYPERLINK("Объекты недвижимости, не соответствующие градостроительным нормам_00-022_Август/2a58b883-ca84-4b78-aa34-bd2293a25709.jpg","open")</f>
        <v/>
      </c>
      <c r="C10498" t="inlineStr">
        <is>
          <t>ed2bf0f1-3a66-4913-896e-4420a9796c0b</t>
        </is>
      </c>
      <c r="D10498" t="n">
        <v>55.61003</v>
      </c>
      <c r="E10498" t="n">
        <v>37.60886</v>
      </c>
      <c r="F10498" t="inlineStr"/>
      <c r="G10498" t="inlineStr"/>
      <c r="H10498" t="inlineStr"/>
    </row>
    <row r="10499">
      <c r="A10499" t="inlineStr">
        <is>
          <t>6c70112a-a9d2-426a-aa68-daeb03e84224.jpg</t>
        </is>
      </c>
      <c r="B10499">
        <f>HYPERLINK("Объекты недвижимости, не соответствующие градостроительным нормам_00-022_Август/6c70112a-a9d2-426a-aa68-daeb03e84224.jpg","open")</f>
        <v/>
      </c>
      <c r="C10499" t="inlineStr">
        <is>
          <t>b6b3590f-f506-4399-8205-e7ac710132e7</t>
        </is>
      </c>
      <c r="D10499" t="n">
        <v>55.98247</v>
      </c>
      <c r="E10499" t="n">
        <v>37.42033</v>
      </c>
      <c r="F10499" t="inlineStr"/>
      <c r="G10499" t="inlineStr"/>
      <c r="H10499" t="inlineStr"/>
    </row>
    <row r="10500">
      <c r="A10500" t="inlineStr">
        <is>
          <t>e623d103-05d2-4b8a-a611-45e3688f22b2.jpg</t>
        </is>
      </c>
      <c r="B10500">
        <f>HYPERLINK("Объекты недвижимости, не соответствующие градостроительным нормам_00-022_Август/e623d103-05d2-4b8a-a611-45e3688f22b2.jpg","open")</f>
        <v/>
      </c>
      <c r="C10500" t="inlineStr">
        <is>
          <t>12e795ad-2aa7-49de-b2da-2c6aa35a4559</t>
        </is>
      </c>
      <c r="D10500" t="n">
        <v>55.75034</v>
      </c>
      <c r="E10500" t="n">
        <v>37.70841</v>
      </c>
      <c r="F10500" t="inlineStr"/>
      <c r="G10500" t="inlineStr"/>
      <c r="H10500" t="inlineStr"/>
    </row>
    <row r="10501">
      <c r="A10501" t="inlineStr">
        <is>
          <t>42ac7850-4e5f-43b8-a89c-62f597bb5937.jpg</t>
        </is>
      </c>
      <c r="B10501">
        <f>HYPERLINK("Объекты недвижимости, не соответствующие градостроительным нормам_00-022_Август/42ac7850-4e5f-43b8-a89c-62f597bb5937.jpg","open")</f>
        <v/>
      </c>
      <c r="C10501" t="inlineStr">
        <is>
          <t>61936922-4d4b-458e-80ea-6d4c450aa1d5</t>
        </is>
      </c>
      <c r="D10501" t="n">
        <v>55.75612</v>
      </c>
      <c r="E10501" t="n">
        <v>37.69125</v>
      </c>
      <c r="F10501" t="inlineStr"/>
      <c r="G10501" t="inlineStr"/>
      <c r="H10501" t="inlineStr"/>
    </row>
    <row r="10502">
      <c r="A10502" t="inlineStr">
        <is>
          <t>80131285-3b7d-49dc-b7c9-e84381f6229f.jpg</t>
        </is>
      </c>
      <c r="B10502">
        <f>HYPERLINK("Объекты недвижимости, не соответствующие градостроительным нормам_00-022_Август/80131285-3b7d-49dc-b7c9-e84381f6229f.jpg","open")</f>
        <v/>
      </c>
      <c r="C10502" t="inlineStr">
        <is>
          <t>9fb3d110-951f-48da-9d90-cfd7e1b5800d</t>
        </is>
      </c>
      <c r="D10502" t="n">
        <v>55.75612</v>
      </c>
      <c r="E10502" t="n">
        <v>37.69125</v>
      </c>
      <c r="F10502" t="inlineStr"/>
      <c r="G10502" t="inlineStr"/>
      <c r="H10502" t="inlineStr"/>
    </row>
    <row r="10503">
      <c r="A10503" t="inlineStr">
        <is>
          <t>e2abb772-cc24-4e17-bd5d-8880126eda43.jpg</t>
        </is>
      </c>
      <c r="B10503">
        <f>HYPERLINK("Объекты недвижимости, не соответствующие градостроительным нормам_00-022_Август/e2abb772-cc24-4e17-bd5d-8880126eda43.jpg","open")</f>
        <v/>
      </c>
      <c r="C10503" t="inlineStr">
        <is>
          <t>61936922-4d4b-458e-80ea-6d4c450aa1d5</t>
        </is>
      </c>
      <c r="D10503" t="n">
        <v>55.75612</v>
      </c>
      <c r="E10503" t="n">
        <v>37.69125</v>
      </c>
      <c r="F10503" t="inlineStr"/>
      <c r="G10503" t="inlineStr"/>
      <c r="H10503" t="inlineStr"/>
    </row>
    <row r="10504">
      <c r="A10504" t="inlineStr">
        <is>
          <t>1fb67d93-9079-4d67-9422-b09b9ed0c335.jpg</t>
        </is>
      </c>
      <c r="B10504">
        <f>HYPERLINK("Объекты недвижимости, не соответствующие градостроительным нормам_00-022_Август/1fb67d93-9079-4d67-9422-b09b9ed0c335.jpg","open")</f>
        <v/>
      </c>
      <c r="C10504" t="inlineStr">
        <is>
          <t>48b533d5-d106-4175-ac9b-d5ce8d90cccf</t>
        </is>
      </c>
      <c r="D10504" t="n">
        <v>55.7239</v>
      </c>
      <c r="E10504" t="n">
        <v>37.71471</v>
      </c>
      <c r="F10504" t="inlineStr"/>
      <c r="G10504" t="inlineStr"/>
      <c r="H10504" t="inlineStr"/>
    </row>
    <row r="10505">
      <c r="A10505" t="inlineStr">
        <is>
          <t>7de54141-4e60-4927-8be6-7ae1749c7444.jpg</t>
        </is>
      </c>
      <c r="B10505">
        <f>HYPERLINK("Объекты недвижимости, не соответствующие градостроительным нормам_00-022_Август/7de54141-4e60-4927-8be6-7ae1749c7444.jpg","open")</f>
        <v/>
      </c>
      <c r="C10505" t="inlineStr">
        <is>
          <t>8996eb30-6497-4318-8a0e-b95314b8172e</t>
        </is>
      </c>
      <c r="D10505" t="n">
        <v>55.72363</v>
      </c>
      <c r="E10505" t="n">
        <v>37.71516</v>
      </c>
      <c r="F10505" t="inlineStr"/>
      <c r="G10505" t="inlineStr"/>
      <c r="H10505" t="inlineStr"/>
    </row>
    <row r="10506">
      <c r="A10506" t="inlineStr">
        <is>
          <t>adfe49e5-a57c-479f-87bc-7af907e4123e.jpg</t>
        </is>
      </c>
      <c r="B10506">
        <f>HYPERLINK("Объекты недвижимости, не соответствующие градостроительным нормам_00-022_Август/adfe49e5-a57c-479f-87bc-7af907e4123e.jpg","open")</f>
        <v/>
      </c>
      <c r="C10506" t="inlineStr">
        <is>
          <t>b0b7ea82-53be-40d0-b992-e2fd18611d5c</t>
        </is>
      </c>
      <c r="D10506" t="n">
        <v>55.74964</v>
      </c>
      <c r="E10506" t="n">
        <v>37.69576</v>
      </c>
      <c r="F10506" t="inlineStr"/>
      <c r="G10506" t="inlineStr"/>
      <c r="H10506" t="inlineStr"/>
    </row>
    <row r="10507">
      <c r="A10507" t="inlineStr">
        <is>
          <t>1f6e1e29-1584-4007-b028-74ab94e532c1.jpg</t>
        </is>
      </c>
      <c r="B10507">
        <f>HYPERLINK("Объекты недвижимости, не соответствующие градостроительным нормам_00-022_Август/1f6e1e29-1584-4007-b028-74ab94e532c1.jpg","open")</f>
        <v/>
      </c>
      <c r="C10507" t="inlineStr">
        <is>
          <t>b0b7ea82-53be-40d0-b992-e2fd18611d5c</t>
        </is>
      </c>
      <c r="D10507" t="n">
        <v>55.74964</v>
      </c>
      <c r="E10507" t="n">
        <v>37.69576</v>
      </c>
      <c r="F10507" t="inlineStr"/>
      <c r="G10507" t="inlineStr"/>
      <c r="H10507" t="inlineStr"/>
    </row>
    <row r="10508">
      <c r="A10508" t="inlineStr">
        <is>
          <t>bfc3ff0e-0b1b-4bb9-a0ee-1303e6a7ce26.jpg</t>
        </is>
      </c>
      <c r="B10508">
        <f>HYPERLINK("Объекты недвижимости, не соответствующие градостроительным нормам_00-022_Август/bfc3ff0e-0b1b-4bb9-a0ee-1303e6a7ce26.jpg","open")</f>
        <v/>
      </c>
      <c r="C10508" t="inlineStr">
        <is>
          <t>29ad9edb-d533-4272-a986-be24eb004851</t>
        </is>
      </c>
      <c r="D10508" t="n">
        <v>55.78297</v>
      </c>
      <c r="E10508" t="n">
        <v>37.67249</v>
      </c>
      <c r="F10508" t="inlineStr"/>
      <c r="G10508" t="inlineStr"/>
      <c r="H10508" t="inlineStr"/>
    </row>
    <row r="10509">
      <c r="A10509" t="inlineStr">
        <is>
          <t>0fdc46d0-4a81-4f19-9ddc-29d047e95f11.jpg</t>
        </is>
      </c>
      <c r="B10509">
        <f>HYPERLINK("Объекты недвижимости, не соответствующие градостроительным нормам_00-022_Август/0fdc46d0-4a81-4f19-9ddc-29d047e95f11.jpg","open")</f>
        <v/>
      </c>
      <c r="C10509" t="inlineStr">
        <is>
          <t>b6b3590f-f506-4399-8205-e7ac710132e7</t>
        </is>
      </c>
      <c r="D10509" t="n">
        <v>55.855</v>
      </c>
      <c r="E10509" t="n">
        <v>37.56711</v>
      </c>
      <c r="F10509" t="inlineStr"/>
      <c r="G10509" t="inlineStr"/>
      <c r="H10509" t="inlineStr"/>
    </row>
    <row r="10510">
      <c r="A10510" t="inlineStr">
        <is>
          <t>312cd993-23e4-4399-b24b-fd34f4ca644d.jpg</t>
        </is>
      </c>
      <c r="B10510">
        <f>HYPERLINK("Объекты недвижимости, не соответствующие градостроительным нормам_00-022_Август/312cd993-23e4-4399-b24b-fd34f4ca644d.jpg","open")</f>
        <v/>
      </c>
      <c r="C10510" t="inlineStr">
        <is>
          <t>936502dd-24a4-4256-9fdf-0d8fb72af3ed</t>
        </is>
      </c>
      <c r="D10510" t="n">
        <v>55.7429</v>
      </c>
      <c r="E10510" t="n">
        <v>37.69946</v>
      </c>
      <c r="F10510" t="inlineStr"/>
      <c r="G10510" t="inlineStr"/>
      <c r="H10510" t="inlineStr"/>
    </row>
    <row r="10511">
      <c r="A10511" t="inlineStr">
        <is>
          <t>79547fb6-9ee7-49e2-9339-a1cb2de4262d.jpg</t>
        </is>
      </c>
      <c r="B10511">
        <f>HYPERLINK("Объекты недвижимости, не соответствующие градостроительным нормам_00-022_Август/79547fb6-9ee7-49e2-9339-a1cb2de4262d.jpg","open")</f>
        <v/>
      </c>
      <c r="C10511" t="inlineStr">
        <is>
          <t>e26f5fc2-1353-4f29-85f3-87c56419161c</t>
        </is>
      </c>
      <c r="D10511" t="n">
        <v>55.78248</v>
      </c>
      <c r="E10511" t="n">
        <v>37.66802</v>
      </c>
      <c r="F10511" t="inlineStr"/>
      <c r="G10511" t="inlineStr"/>
      <c r="H10511" t="inlineStr"/>
    </row>
    <row r="10512">
      <c r="A10512" t="inlineStr">
        <is>
          <t>05a01999-f3d8-4538-9ab9-7dced1701127.jpg</t>
        </is>
      </c>
      <c r="B10512">
        <f>HYPERLINK("Объекты недвижимости, не соответствующие градостроительным нормам_00-022_Август/05a01999-f3d8-4538-9ab9-7dced1701127.jpg","open")</f>
        <v/>
      </c>
      <c r="C10512" t="inlineStr">
        <is>
          <t>8996eb30-6497-4318-8a0e-b95314b8172e</t>
        </is>
      </c>
      <c r="D10512" t="n">
        <v>55.72403</v>
      </c>
      <c r="E10512" t="n">
        <v>37.71431</v>
      </c>
      <c r="F10512" t="inlineStr"/>
      <c r="G10512" t="inlineStr"/>
      <c r="H10512" t="inlineStr"/>
    </row>
    <row r="10513">
      <c r="A10513" t="inlineStr">
        <is>
          <t>d61a31aa-4541-4237-a074-9d572ee78817.jpg</t>
        </is>
      </c>
      <c r="B10513">
        <f>HYPERLINK("Объекты недвижимости, не соответствующие градостроительным нормам_00-022_Август/d61a31aa-4541-4237-a074-9d572ee78817.jpg","open")</f>
        <v/>
      </c>
      <c r="C10513" t="inlineStr">
        <is>
          <t>48b533d5-d106-4175-ac9b-d5ce8d90cccf</t>
        </is>
      </c>
      <c r="D10513" t="n">
        <v>55.7237</v>
      </c>
      <c r="E10513" t="n">
        <v>37.71471</v>
      </c>
      <c r="F10513" t="inlineStr"/>
      <c r="G10513" t="inlineStr"/>
      <c r="H10513" t="inlineStr"/>
    </row>
    <row r="10514">
      <c r="A10514" t="inlineStr">
        <is>
          <t>47d859b6-e6fb-4beb-ae9c-d680de5b9e15.jpg</t>
        </is>
      </c>
      <c r="B10514">
        <f>HYPERLINK("Объекты недвижимости, не соответствующие градостроительным нормам_00-022_Август/47d859b6-e6fb-4beb-ae9c-d680de5b9e15.jpg","open")</f>
        <v/>
      </c>
      <c r="C10514" t="inlineStr">
        <is>
          <t>12e795ad-2aa7-49de-b2da-2c6aa35a4559</t>
        </is>
      </c>
      <c r="D10514" t="n">
        <v>55.68267</v>
      </c>
      <c r="E10514" t="n">
        <v>37.53667</v>
      </c>
      <c r="F10514" t="inlineStr"/>
      <c r="G10514" t="inlineStr"/>
      <c r="H10514" t="inlineStr"/>
    </row>
    <row r="10515">
      <c r="A10515" t="inlineStr">
        <is>
          <t>70e46485-1564-46c2-8425-416696fa71f3.jpg</t>
        </is>
      </c>
      <c r="B10515">
        <f>HYPERLINK("Объекты недвижимости, не соответствующие градостроительным нормам_00-022_Август/70e46485-1564-46c2-8425-416696fa71f3.jpg","open")</f>
        <v/>
      </c>
      <c r="C10515" t="inlineStr">
        <is>
          <t>036c664f-5408-4fd0-b479-342c00468eeb</t>
        </is>
      </c>
      <c r="D10515" t="n">
        <v>55.7134</v>
      </c>
      <c r="E10515" t="n">
        <v>37.45398</v>
      </c>
      <c r="F10515" t="inlineStr"/>
      <c r="G10515" t="inlineStr"/>
      <c r="H10515" t="inlineStr"/>
    </row>
    <row r="10516">
      <c r="A10516" t="inlineStr">
        <is>
          <t>f826e153-a5bf-4ff6-8f87-3175b3f274ea.jpg</t>
        </is>
      </c>
      <c r="B10516">
        <f>HYPERLINK("Объекты недвижимости, не соответствующие градостроительным нормам_00-022_Август/f826e153-a5bf-4ff6-8f87-3175b3f274ea.jpg","open")</f>
        <v/>
      </c>
      <c r="C10516" t="inlineStr">
        <is>
          <t>31a713a9-b910-424b-b847-e0eaa2f70c70</t>
        </is>
      </c>
      <c r="D10516" t="n">
        <v>55.49572</v>
      </c>
      <c r="E10516" t="n">
        <v>37.32084</v>
      </c>
      <c r="F10516" t="inlineStr"/>
      <c r="G10516" t="inlineStr"/>
      <c r="H10516" t="inlineStr"/>
    </row>
    <row r="10517">
      <c r="A10517" t="inlineStr">
        <is>
          <t>fb57846c-b97d-490c-8ec5-67e146fa486f.jpg</t>
        </is>
      </c>
      <c r="B10517">
        <f>HYPERLINK("Объекты недвижимости, не соответствующие градостроительным нормам_00-022_Август/fb57846c-b97d-490c-8ec5-67e146fa486f.jpg","open")</f>
        <v/>
      </c>
      <c r="C10517" t="inlineStr">
        <is>
          <t>b6b3590f-f506-4399-8205-e7ac710132e7</t>
        </is>
      </c>
      <c r="D10517" t="n">
        <v>55.8718</v>
      </c>
      <c r="E10517" t="n">
        <v>37.56985</v>
      </c>
      <c r="F10517" t="inlineStr"/>
      <c r="G10517" t="inlineStr"/>
      <c r="H10517" t="inlineStr"/>
    </row>
    <row r="10518">
      <c r="A10518" t="inlineStr">
        <is>
          <t>d33b4692-2f53-4569-81a5-d3bed308c68c.jpg</t>
        </is>
      </c>
      <c r="B10518">
        <f>HYPERLINK("Объекты недвижимости, не соответствующие градостроительным нормам_00-022_Август/d33b4692-2f53-4569-81a5-d3bed308c68c.jpg","open")</f>
        <v/>
      </c>
      <c r="C10518" t="inlineStr">
        <is>
          <t>a28f597e-d1cd-4d3b-b572-c86d033412e9</t>
        </is>
      </c>
      <c r="D10518" t="n">
        <v>55.71343</v>
      </c>
      <c r="E10518" t="n">
        <v>37.45395</v>
      </c>
      <c r="F10518" t="inlineStr"/>
      <c r="G10518" t="inlineStr"/>
      <c r="H10518" t="inlineStr"/>
    </row>
    <row r="10519">
      <c r="A10519" t="inlineStr">
        <is>
          <t>259dd793-f369-47c4-b2f9-0849423358aa.jpg</t>
        </is>
      </c>
      <c r="B10519">
        <f>HYPERLINK("Объекты недвижимости, не соответствующие градостроительным нормам_00-022_Август/259dd793-f369-47c4-b2f9-0849423358aa.jpg","open")</f>
        <v/>
      </c>
      <c r="C10519" t="inlineStr">
        <is>
          <t>93848fc8-17e7-4748-9ebc-c7e379e11d2f</t>
        </is>
      </c>
      <c r="D10519" t="n">
        <v>55.84549</v>
      </c>
      <c r="E10519" t="n">
        <v>37.67057</v>
      </c>
      <c r="F10519" t="inlineStr"/>
      <c r="G10519" t="inlineStr"/>
      <c r="H10519" t="inlineStr"/>
    </row>
    <row r="10520">
      <c r="A10520" t="inlineStr">
        <is>
          <t>da9749c9-fa94-453a-979b-85bae421a675.jpg</t>
        </is>
      </c>
      <c r="B10520">
        <f>HYPERLINK("Объекты недвижимости, не соответствующие градостроительным нормам_00-022_Август/da9749c9-fa94-453a-979b-85bae421a675.jpg","open")</f>
        <v/>
      </c>
      <c r="C10520" t="inlineStr">
        <is>
          <t>8cde1fd0-eca1-4510-86ab-3c743b65fdfc</t>
        </is>
      </c>
      <c r="D10520" t="n">
        <v>55.63886</v>
      </c>
      <c r="E10520" t="n">
        <v>37.74751</v>
      </c>
      <c r="F10520" t="inlineStr"/>
      <c r="G10520" t="inlineStr"/>
      <c r="H10520" t="inlineStr"/>
    </row>
    <row r="10521">
      <c r="A10521" t="inlineStr">
        <is>
          <t>0f647623-3893-4427-9eb2-58cb5b52c678.jpg</t>
        </is>
      </c>
      <c r="B10521">
        <f>HYPERLINK("Объекты недвижимости, не соответствующие градостроительным нормам_00-022_Август/0f647623-3893-4427-9eb2-58cb5b52c678.jpg","open")</f>
        <v/>
      </c>
      <c r="C10521" t="inlineStr">
        <is>
          <t>1c951e11-4940-43c6-a447-394097e5609a</t>
        </is>
      </c>
      <c r="D10521" t="n">
        <v>55.63886</v>
      </c>
      <c r="E10521" t="n">
        <v>37.74751</v>
      </c>
      <c r="F10521" t="inlineStr"/>
      <c r="G10521" t="inlineStr"/>
      <c r="H10521" t="inlineStr"/>
    </row>
    <row r="10522">
      <c r="A10522" t="inlineStr">
        <is>
          <t>ee8a790a-e2df-4bf2-ba41-6335c5b86d58.jpg</t>
        </is>
      </c>
      <c r="B10522">
        <f>HYPERLINK("Объекты недвижимости, не соответствующие градостроительным нормам_00-022_Август/ee8a790a-e2df-4bf2-ba41-6335c5b86d58.jpg","open")</f>
        <v/>
      </c>
      <c r="C10522" t="inlineStr">
        <is>
          <t>912d4e49-7c68-4b5e-ad2f-962fa54bfbba</t>
        </is>
      </c>
      <c r="D10522" t="n">
        <v>55.74574</v>
      </c>
      <c r="E10522" t="n">
        <v>37.58277</v>
      </c>
      <c r="F10522" t="inlineStr"/>
      <c r="G10522" t="inlineStr"/>
      <c r="H10522" t="inlineStr"/>
    </row>
    <row r="10523">
      <c r="A10523" t="inlineStr">
        <is>
          <t>3ac274f1-28cb-48d6-bc48-afb5fba94566.jpg</t>
        </is>
      </c>
      <c r="B10523">
        <f>HYPERLINK("Объекты недвижимости, не соответствующие градостроительным нормам_00-022_Август/3ac274f1-28cb-48d6-bc48-afb5fba94566.jpg","open")</f>
        <v/>
      </c>
      <c r="C10523" t="inlineStr">
        <is>
          <t>61936922-4d4b-458e-80ea-6d4c450aa1d5</t>
        </is>
      </c>
      <c r="D10523" t="n">
        <v>55.71193</v>
      </c>
      <c r="E10523" t="n">
        <v>37.47472</v>
      </c>
      <c r="F10523" t="inlineStr"/>
      <c r="G10523" t="inlineStr"/>
      <c r="H10523" t="inlineStr"/>
    </row>
    <row r="10524">
      <c r="A10524" t="inlineStr">
        <is>
          <t>9b6b5649-91f3-49cf-9b26-fb3b2a86e10a.jpg</t>
        </is>
      </c>
      <c r="B10524">
        <f>HYPERLINK("Объекты недвижимости, не соответствующие градостроительным нормам_00-022_Август/9b6b5649-91f3-49cf-9b26-fb3b2a86e10a.jpg","open")</f>
        <v/>
      </c>
      <c r="C10524" t="inlineStr">
        <is>
          <t>8996eb30-6497-4318-8a0e-b95314b8172e</t>
        </is>
      </c>
      <c r="D10524" t="n">
        <v>55.72813</v>
      </c>
      <c r="E10524" t="n">
        <v>37.73533</v>
      </c>
      <c r="F10524" t="inlineStr"/>
      <c r="G10524" t="inlineStr"/>
      <c r="H10524" t="inlineStr"/>
    </row>
    <row r="10525">
      <c r="A10525" t="inlineStr">
        <is>
          <t>965f5b1c-458b-4c68-b5f6-ffac00296b97.jpg</t>
        </is>
      </c>
      <c r="B10525">
        <f>HYPERLINK("Объекты недвижимости, не соответствующие градостроительным нормам_00-022_Август/965f5b1c-458b-4c68-b5f6-ffac00296b97.jpg","open")</f>
        <v/>
      </c>
      <c r="C10525" t="inlineStr">
        <is>
          <t>030e8755-17c1-44eb-9530-707d0d3121cb</t>
        </is>
      </c>
      <c r="D10525" t="n">
        <v>55.64741</v>
      </c>
      <c r="E10525" t="n">
        <v>37.63245</v>
      </c>
      <c r="F10525" t="inlineStr"/>
      <c r="G10525" t="inlineStr"/>
      <c r="H10525" t="inlineStr"/>
    </row>
    <row r="10526">
      <c r="A10526" t="inlineStr">
        <is>
          <t>0386d1c7-ee67-4ce7-bb5b-8d8a31abb215.jpg</t>
        </is>
      </c>
      <c r="B10526">
        <f>HYPERLINK("Объекты недвижимости, не соответствующие градостроительным нормам_00-022_Август/0386d1c7-ee67-4ce7-bb5b-8d8a31abb215.jpg","open")</f>
        <v/>
      </c>
      <c r="C10526" t="inlineStr">
        <is>
          <t>31a713a9-b910-424b-b847-e0eaa2f70c70</t>
        </is>
      </c>
      <c r="D10526" t="n">
        <v>55.49865</v>
      </c>
      <c r="E10526" t="n">
        <v>37.31336</v>
      </c>
      <c r="F10526" t="inlineStr"/>
      <c r="G10526" t="inlineStr"/>
      <c r="H10526" t="inlineStr"/>
    </row>
    <row r="10527">
      <c r="A10527" t="inlineStr">
        <is>
          <t>bee163af-e0f8-4edd-864b-1385cee40d6e.jpg</t>
        </is>
      </c>
      <c r="B10527">
        <f>HYPERLINK("Объекты недвижимости, не соответствующие градостроительным нормам_00-022_Август/bee163af-e0f8-4edd-864b-1385cee40d6e.jpg","open")</f>
        <v/>
      </c>
      <c r="C10527" t="inlineStr">
        <is>
          <t>db8b536c-32f2-4d9a-ae08-679d227e61f1</t>
        </is>
      </c>
      <c r="D10527" t="n">
        <v>55.68215</v>
      </c>
      <c r="E10527" t="n">
        <v>37.56858</v>
      </c>
      <c r="F10527" t="inlineStr"/>
      <c r="G10527" t="inlineStr"/>
      <c r="H10527" t="inlineStr"/>
    </row>
    <row r="10528">
      <c r="A10528" t="inlineStr">
        <is>
          <t>d98185f6-4311-4960-9874-f640719c24c5.jpg</t>
        </is>
      </c>
      <c r="B10528">
        <f>HYPERLINK("Объекты недвижимости, не соответствующие градостроительным нормам_00-022_Август/d98185f6-4311-4960-9874-f640719c24c5.jpg","open")</f>
        <v/>
      </c>
      <c r="C10528" t="inlineStr">
        <is>
          <t>e90a3ac0-5b70-4ede-abeb-382371713306</t>
        </is>
      </c>
      <c r="D10528" t="n">
        <v>55.68215</v>
      </c>
      <c r="E10528" t="n">
        <v>37.56858</v>
      </c>
      <c r="F10528" t="inlineStr"/>
      <c r="G10528" t="inlineStr"/>
      <c r="H10528" t="inlineStr"/>
    </row>
    <row r="10529">
      <c r="A10529" t="inlineStr">
        <is>
          <t>f83fc8ee-2bbf-4bba-a1ef-01c96e30da50.jpg</t>
        </is>
      </c>
      <c r="B10529">
        <f>HYPERLINK("Объекты недвижимости, не соответствующие градостроительным нормам_00-022_Август/f83fc8ee-2bbf-4bba-a1ef-01c96e30da50.jpg","open")</f>
        <v/>
      </c>
      <c r="C10529" t="inlineStr">
        <is>
          <t>99f3abba-c55b-49f0-9de5-9f88e9597cc0</t>
        </is>
      </c>
      <c r="D10529" t="n">
        <v>55.66061</v>
      </c>
      <c r="E10529" t="n">
        <v>37.63118</v>
      </c>
      <c r="F10529" t="inlineStr"/>
      <c r="G10529" t="inlineStr"/>
      <c r="H10529" t="inlineStr"/>
    </row>
    <row r="10530">
      <c r="A10530" t="inlineStr">
        <is>
          <t>603e6420-4859-408f-b3d6-483df2ba84ce.jpg</t>
        </is>
      </c>
      <c r="B10530">
        <f>HYPERLINK("Объекты недвижимости, не соответствующие градостроительным нормам_00-022_Август/603e6420-4859-408f-b3d6-483df2ba84ce.jpg","open")</f>
        <v/>
      </c>
      <c r="C10530" t="inlineStr">
        <is>
          <t>57812597-37e6-414c-8b11-8c661dbfeb70</t>
        </is>
      </c>
      <c r="D10530" t="n">
        <v>55.76619</v>
      </c>
      <c r="E10530" t="n">
        <v>37.93175</v>
      </c>
      <c r="F10530" t="inlineStr"/>
      <c r="G10530" t="inlineStr"/>
      <c r="H10530" t="inlineStr"/>
    </row>
    <row r="10531">
      <c r="A10531" t="inlineStr">
        <is>
          <t>73dc73fd-2d49-42de-94a8-0ae037082e1e.jpg</t>
        </is>
      </c>
      <c r="B10531">
        <f>HYPERLINK("Объекты недвижимости, не соответствующие градостроительным нормам_00-022_Август/73dc73fd-2d49-42de-94a8-0ae037082e1e.jpg","open")</f>
        <v/>
      </c>
      <c r="C10531" t="inlineStr">
        <is>
          <t>af173c70-3716-4040-aa0b-1be99e78abe8</t>
        </is>
      </c>
      <c r="D10531" t="n">
        <v>55.72207</v>
      </c>
      <c r="E10531" t="n">
        <v>37.44428</v>
      </c>
      <c r="F10531" t="inlineStr"/>
      <c r="G10531" t="inlineStr"/>
      <c r="H10531" t="inlineStr"/>
    </row>
    <row r="10532">
      <c r="A10532" t="inlineStr">
        <is>
          <t>d488a8e1-9949-42ac-b105-ca9650f46bee.jpg</t>
        </is>
      </c>
      <c r="B10532">
        <f>HYPERLINK("Объекты недвижимости, не соответствующие градостроительным нормам_00-022_Август/d488a8e1-9949-42ac-b105-ca9650f46bee.jpg","open")</f>
        <v/>
      </c>
      <c r="C10532" t="inlineStr">
        <is>
          <t>57aae8a4-582b-4309-8045-c8127a9f86ae</t>
        </is>
      </c>
      <c r="D10532" t="n">
        <v>55.71619</v>
      </c>
      <c r="E10532" t="n">
        <v>37.88488</v>
      </c>
      <c r="F10532" t="inlineStr"/>
      <c r="G10532" t="inlineStr"/>
      <c r="H10532" t="inlineStr"/>
    </row>
    <row r="10533">
      <c r="A10533" t="inlineStr">
        <is>
          <t>a66f6d2c-3713-4690-a983-be5aa996fbac.jpg</t>
        </is>
      </c>
      <c r="B10533">
        <f>HYPERLINK("Объекты недвижимости, не соответствующие градостроительным нормам_00-022_Август/a66f6d2c-3713-4690-a983-be5aa996fbac.jpg","open")</f>
        <v/>
      </c>
      <c r="C10533" t="inlineStr">
        <is>
          <t>f20fbc2b-b369-4734-bb66-92af02fbb0d1</t>
        </is>
      </c>
      <c r="D10533" t="n">
        <v>55.70385</v>
      </c>
      <c r="E10533" t="n">
        <v>37.73406</v>
      </c>
      <c r="F10533" t="inlineStr"/>
      <c r="G10533" t="inlineStr"/>
      <c r="H10533" t="inlineStr"/>
    </row>
    <row r="10534">
      <c r="A10534" t="inlineStr">
        <is>
          <t>53b9b883-bf8b-4d8b-ad61-8a4ea95cc4c0.jpg</t>
        </is>
      </c>
      <c r="B10534">
        <f>HYPERLINK("Объекты недвижимости, не соответствующие градостроительным нормам_00-022_Август/53b9b883-bf8b-4d8b-ad61-8a4ea95cc4c0.jpg","open")</f>
        <v/>
      </c>
      <c r="C10534" t="inlineStr">
        <is>
          <t>685d9054-b74f-49ab-857b-109fd2cec80d</t>
        </is>
      </c>
      <c r="D10534" t="n">
        <v>55.67701</v>
      </c>
      <c r="E10534" t="n">
        <v>37.55142</v>
      </c>
      <c r="F10534" t="inlineStr"/>
      <c r="G10534" t="inlineStr"/>
      <c r="H10534" t="inlineStr"/>
    </row>
    <row r="10535">
      <c r="A10535" t="inlineStr">
        <is>
          <t>2f6e7835-c29b-43cf-9153-364e00087af0.jpg</t>
        </is>
      </c>
      <c r="B10535">
        <f>HYPERLINK("Объекты недвижимости, не соответствующие градостроительным нормам_00-022_Август/2f6e7835-c29b-43cf-9153-364e00087af0.jpg","open")</f>
        <v/>
      </c>
      <c r="C10535" t="inlineStr">
        <is>
          <t>4cd87d14-7440-44b7-a5b2-a738e10006f7</t>
        </is>
      </c>
      <c r="D10535" t="n">
        <v>55.75979</v>
      </c>
      <c r="E10535" t="n">
        <v>37.57204</v>
      </c>
      <c r="F10535" t="inlineStr"/>
      <c r="G10535" t="inlineStr"/>
      <c r="H10535" t="inlineStr"/>
    </row>
    <row r="10536">
      <c r="A10536" t="inlineStr">
        <is>
          <t>aee4a961-2c77-4821-9347-0257412c26fb.jpg</t>
        </is>
      </c>
      <c r="B10536">
        <f>HYPERLINK("Объекты недвижимости, не соответствующие градостроительным нормам_00-022_Август/aee4a961-2c77-4821-9347-0257412c26fb.jpg","open")</f>
        <v/>
      </c>
      <c r="C10536" t="inlineStr">
        <is>
          <t>8996eb30-6497-4318-8a0e-b95314b8172e</t>
        </is>
      </c>
      <c r="D10536" t="n">
        <v>55.73082</v>
      </c>
      <c r="E10536" t="n">
        <v>37.73484</v>
      </c>
      <c r="F10536" t="inlineStr"/>
      <c r="G10536" t="inlineStr"/>
      <c r="H10536" t="inlineStr"/>
    </row>
    <row r="10537">
      <c r="A10537" t="inlineStr">
        <is>
          <t>cf8ef7d4-77b9-42bc-9715-f4c9f90a6cfc.jpg</t>
        </is>
      </c>
      <c r="B10537">
        <f>HYPERLINK("Объекты недвижимости, не соответствующие градостроительным нормам_00-022_Август/cf8ef7d4-77b9-42bc-9715-f4c9f90a6cfc.jpg","open")</f>
        <v/>
      </c>
      <c r="C10537" t="inlineStr">
        <is>
          <t>8b2675e2-7f40-47a9-a462-7c9feecd299c</t>
        </is>
      </c>
      <c r="D10537" t="n">
        <v>55.71543</v>
      </c>
      <c r="E10537" t="n">
        <v>37.66066</v>
      </c>
      <c r="F10537" t="inlineStr"/>
      <c r="G10537" t="inlineStr"/>
      <c r="H10537" t="inlineStr"/>
    </row>
    <row r="10538">
      <c r="A10538" t="inlineStr">
        <is>
          <t>a7ed93fe-65f1-4738-a693-3095d3ecee4e.jpg</t>
        </is>
      </c>
      <c r="B10538">
        <f>HYPERLINK("Объекты недвижимости, не соответствующие градостроительным нормам_00-022_Август/a7ed93fe-65f1-4738-a693-3095d3ecee4e.jpg","open")</f>
        <v/>
      </c>
      <c r="C10538" t="inlineStr">
        <is>
          <t>a28f597e-d1cd-4d3b-b572-c86d033412e9</t>
        </is>
      </c>
      <c r="D10538" t="n">
        <v>55.72184</v>
      </c>
      <c r="E10538" t="n">
        <v>37.46618</v>
      </c>
      <c r="F10538" t="inlineStr"/>
      <c r="G10538" t="inlineStr"/>
      <c r="H10538" t="inlineStr"/>
    </row>
    <row r="10539">
      <c r="A10539" t="inlineStr">
        <is>
          <t>4a913882-38f0-4990-bcad-6ff874daf4d6.jpg</t>
        </is>
      </c>
      <c r="B10539">
        <f>HYPERLINK("Объекты недвижимости, не соответствующие градостроительным нормам_00-022_Август/4a913882-38f0-4990-bcad-6ff874daf4d6.jpg","open")</f>
        <v/>
      </c>
      <c r="C10539" t="inlineStr">
        <is>
          <t>036c664f-5408-4fd0-b479-342c00468eeb</t>
        </is>
      </c>
      <c r="D10539" t="n">
        <v>55.72187</v>
      </c>
      <c r="E10539" t="n">
        <v>37.46599</v>
      </c>
      <c r="F10539" t="inlineStr"/>
      <c r="G10539" t="inlineStr"/>
      <c r="H10539" t="inlineStr"/>
    </row>
    <row r="10540">
      <c r="A10540" t="inlineStr">
        <is>
          <t>17b3979f-7d9e-4b14-9642-44448d17f42d.jpg</t>
        </is>
      </c>
      <c r="B10540">
        <f>HYPERLINK("Объекты недвижимости, не соответствующие градостроительным нормам_00-022_Август/17b3979f-7d9e-4b14-9642-44448d17f42d.jpg","open")</f>
        <v/>
      </c>
      <c r="C10540" t="inlineStr">
        <is>
          <t>acedacc2-0d8b-4fc1-9622-25621a89d071</t>
        </is>
      </c>
      <c r="D10540" t="n">
        <v>55.71716</v>
      </c>
      <c r="E10540" t="n">
        <v>37.89215</v>
      </c>
      <c r="F10540" t="inlineStr"/>
      <c r="G10540" t="inlineStr"/>
      <c r="H10540" t="inlineStr"/>
    </row>
    <row r="10541">
      <c r="A10541" t="inlineStr">
        <is>
          <t>e81cdfd6-d7a5-44a7-94aa-136245ed157e.jpg</t>
        </is>
      </c>
      <c r="B10541">
        <f>HYPERLINK("Объекты недвижимости, не соответствующие градостроительным нормам_00-022_Август/e81cdfd6-d7a5-44a7-94aa-136245ed157e.jpg","open")</f>
        <v/>
      </c>
      <c r="C10541" t="inlineStr">
        <is>
          <t>55da50d9-6d31-4c29-a85b-6a228578c6de</t>
        </is>
      </c>
      <c r="D10541" t="n">
        <v>55.71543</v>
      </c>
      <c r="E10541" t="n">
        <v>37.66066</v>
      </c>
      <c r="F10541" t="inlineStr"/>
      <c r="G10541" t="inlineStr"/>
      <c r="H10541" t="inlineStr"/>
    </row>
    <row r="10542">
      <c r="A10542" t="inlineStr">
        <is>
          <t>3fdc2c0b-2d50-4f69-b9ca-9aac3b173cd1.jpg</t>
        </is>
      </c>
      <c r="B10542">
        <f>HYPERLINK("Объекты недвижимости, не соответствующие градостроительным нормам_00-022_Август/3fdc2c0b-2d50-4f69-b9ca-9aac3b173cd1.jpg","open")</f>
        <v/>
      </c>
      <c r="C10542" t="inlineStr">
        <is>
          <t>1231bbc5-e64c-4dc7-9acc-77710f47607a</t>
        </is>
      </c>
      <c r="D10542" t="n">
        <v>55.67806</v>
      </c>
      <c r="E10542" t="n">
        <v>37.55231</v>
      </c>
      <c r="F10542" t="inlineStr"/>
      <c r="G10542" t="inlineStr"/>
      <c r="H10542" t="inlineStr"/>
    </row>
    <row r="10543">
      <c r="A10543" t="inlineStr">
        <is>
          <t>959bf63a-5f57-434e-8682-2c80cd886efc.jpg</t>
        </is>
      </c>
      <c r="B10543">
        <f>HYPERLINK("Объекты недвижимости, не соответствующие градостроительным нормам_00-022_Август/959bf63a-5f57-434e-8682-2c80cd886efc.jpg","open")</f>
        <v/>
      </c>
      <c r="C10543" t="inlineStr">
        <is>
          <t>fb40ed24-21ef-458a-a239-038ab19932cc</t>
        </is>
      </c>
      <c r="D10543" t="n">
        <v>55.79324</v>
      </c>
      <c r="E10543" t="n">
        <v>37.79148</v>
      </c>
      <c r="F10543" t="inlineStr"/>
      <c r="G10543" t="inlineStr"/>
      <c r="H10543" t="inlineStr"/>
    </row>
    <row r="10544">
      <c r="A10544" t="inlineStr">
        <is>
          <t>50d682e0-4100-442f-a6f5-ccf9e2d4050f.jpg</t>
        </is>
      </c>
      <c r="B10544">
        <f>HYPERLINK("Объекты недвижимости, не соответствующие градостроительным нормам_00-022_Август/50d682e0-4100-442f-a6f5-ccf9e2d4050f.jpg","open")</f>
        <v/>
      </c>
      <c r="C10544" t="inlineStr">
        <is>
          <t>fb40ed24-21ef-458a-a239-038ab19932cc</t>
        </is>
      </c>
      <c r="D10544" t="n">
        <v>55.79321</v>
      </c>
      <c r="E10544" t="n">
        <v>37.78983</v>
      </c>
      <c r="F10544" t="inlineStr"/>
      <c r="G10544" t="inlineStr"/>
      <c r="H10544" t="inlineStr"/>
    </row>
    <row r="10545">
      <c r="A10545" t="inlineStr">
        <is>
          <t>9e10b02f-784d-4e86-8988-eb8a712cde20.jpg</t>
        </is>
      </c>
      <c r="B10545">
        <f>HYPERLINK("Объекты недвижимости, не соответствующие градостроительным нормам_00-022_Август/9e10b02f-784d-4e86-8988-eb8a712cde20.jpg","open")</f>
        <v/>
      </c>
      <c r="C10545" t="inlineStr">
        <is>
          <t>1231bbc5-e64c-4dc7-9acc-77710f47607a</t>
        </is>
      </c>
      <c r="D10545" t="n">
        <v>55.67842</v>
      </c>
      <c r="E10545" t="n">
        <v>37.55303</v>
      </c>
      <c r="F10545" t="inlineStr"/>
      <c r="G10545" t="inlineStr"/>
      <c r="H10545" t="inlineStr"/>
    </row>
    <row r="10546">
      <c r="A10546" t="inlineStr">
        <is>
          <t>646ffc3a-32d9-432c-b850-e7fd1e9790a1.jpg</t>
        </is>
      </c>
      <c r="B10546">
        <f>HYPERLINK("Объекты недвижимости, не соответствующие градостроительным нормам_00-022_Август/646ffc3a-32d9-432c-b850-e7fd1e9790a1.jpg","open")</f>
        <v/>
      </c>
      <c r="C10546" t="inlineStr">
        <is>
          <t>685d9054-b74f-49ab-857b-109fd2cec80d</t>
        </is>
      </c>
      <c r="D10546" t="n">
        <v>55.67925</v>
      </c>
      <c r="E10546" t="n">
        <v>37.55405</v>
      </c>
      <c r="F10546" t="inlineStr"/>
      <c r="G10546" t="inlineStr"/>
      <c r="H10546" t="inlineStr"/>
    </row>
    <row r="10547">
      <c r="A10547" t="inlineStr">
        <is>
          <t>9df27dc3-d7c8-4a46-95dd-d8e6e6d3f161.jpg</t>
        </is>
      </c>
      <c r="B10547">
        <f>HYPERLINK("Объекты недвижимости, не соответствующие градостроительным нормам_00-022_Август/9df27dc3-d7c8-4a46-95dd-d8e6e6d3f161.jpg","open")</f>
        <v/>
      </c>
      <c r="C10547" t="inlineStr">
        <is>
          <t>4cd87d14-7440-44b7-a5b2-a738e10006f7</t>
        </is>
      </c>
      <c r="D10547" t="n">
        <v>55.77453</v>
      </c>
      <c r="E10547" t="n">
        <v>37.55869</v>
      </c>
      <c r="F10547" t="inlineStr"/>
      <c r="G10547" t="inlineStr"/>
      <c r="H10547" t="inlineStr"/>
    </row>
    <row r="10548">
      <c r="A10548" t="inlineStr">
        <is>
          <t>2d162395-b76e-4420-86e5-4301196c80dc.jpg</t>
        </is>
      </c>
      <c r="B10548">
        <f>HYPERLINK("Объекты недвижимости, не соответствующие градостроительным нормам_00-022_Август/2d162395-b76e-4420-86e5-4301196c80dc.jpg","open")</f>
        <v/>
      </c>
      <c r="C10548" t="inlineStr">
        <is>
          <t>e90a3ac0-5b70-4ede-abeb-382371713306</t>
        </is>
      </c>
      <c r="D10548" t="n">
        <v>55.68215</v>
      </c>
      <c r="E10548" t="n">
        <v>37.56858</v>
      </c>
      <c r="F10548" t="inlineStr"/>
      <c r="G10548" t="inlineStr"/>
      <c r="H10548" t="inlineStr"/>
    </row>
    <row r="10549">
      <c r="A10549" t="inlineStr">
        <is>
          <t>33796a87-cde0-40a4-b502-fd010c9c34e7.jpg</t>
        </is>
      </c>
      <c r="B10549">
        <f>HYPERLINK("Объекты недвижимости, не соответствующие градостроительным нормам_00-022_Август/33796a87-cde0-40a4-b502-fd010c9c34e7.jpg","open")</f>
        <v/>
      </c>
      <c r="C10549" t="inlineStr">
        <is>
          <t>dd22c7c9-0046-46d8-8631-55150dbf8ae5</t>
        </is>
      </c>
      <c r="D10549" t="n">
        <v>55.72207</v>
      </c>
      <c r="E10549" t="n">
        <v>37.44428</v>
      </c>
      <c r="F10549" t="inlineStr"/>
      <c r="G10549" t="inlineStr"/>
      <c r="H10549" t="inlineStr"/>
    </row>
    <row r="10550">
      <c r="A10550" t="inlineStr">
        <is>
          <t>9a4a42e3-d1d5-4cc8-b772-6ff0532f7919.jpg</t>
        </is>
      </c>
      <c r="B10550">
        <f>HYPERLINK("Объекты недвижимости, не соответствующие градостроительным нормам_00-022_Август/9a4a42e3-d1d5-4cc8-b772-6ff0532f7919.jpg","open")</f>
        <v/>
      </c>
      <c r="C10550" t="inlineStr">
        <is>
          <t>9fb3d110-951f-48da-9d90-cfd7e1b5800d</t>
        </is>
      </c>
      <c r="D10550" t="n">
        <v>55.70893</v>
      </c>
      <c r="E10550" t="n">
        <v>37.48423</v>
      </c>
      <c r="F10550" t="inlineStr"/>
      <c r="G10550" t="inlineStr"/>
      <c r="H10550" t="inlineStr"/>
    </row>
    <row r="10551">
      <c r="A10551" t="inlineStr">
        <is>
          <t>17426f9e-f238-45ed-911a-957689b42d67.jpg</t>
        </is>
      </c>
      <c r="B10551">
        <f>HYPERLINK("Объекты недвижимости, не соответствующие градостроительным нормам_00-022_Август/17426f9e-f238-45ed-911a-957689b42d67.jpg","open")</f>
        <v/>
      </c>
      <c r="C10551" t="inlineStr">
        <is>
          <t>61936922-4d4b-458e-80ea-6d4c450aa1d5</t>
        </is>
      </c>
      <c r="D10551" t="n">
        <v>55.7089</v>
      </c>
      <c r="E10551" t="n">
        <v>37.48433</v>
      </c>
      <c r="F10551" t="inlineStr"/>
      <c r="G10551" t="inlineStr"/>
      <c r="H10551" t="inlineStr"/>
    </row>
    <row r="10552">
      <c r="A10552" t="inlineStr">
        <is>
          <t>25d0c2f6-0d9a-4749-a88f-9fab3001239a.jpg</t>
        </is>
      </c>
      <c r="B10552">
        <f>HYPERLINK("Объекты недвижимости, не соответствующие градостроительным нормам_00-022_Август/25d0c2f6-0d9a-4749-a88f-9fab3001239a.jpg","open")</f>
        <v/>
      </c>
      <c r="C10552" t="inlineStr">
        <is>
          <t>8996eb30-6497-4318-8a0e-b95314b8172e</t>
        </is>
      </c>
      <c r="D10552" t="n">
        <v>55.7294</v>
      </c>
      <c r="E10552" t="n">
        <v>37.75706</v>
      </c>
      <c r="F10552" t="inlineStr"/>
      <c r="G10552" t="inlineStr"/>
      <c r="H10552" t="inlineStr"/>
    </row>
    <row r="10553">
      <c r="A10553" t="inlineStr">
        <is>
          <t>1497d929-8d73-44fd-bd8e-2a8b2aaeb6a2.jpg</t>
        </is>
      </c>
      <c r="B10553">
        <f>HYPERLINK("Объекты недвижимости, не соответствующие градостроительным нормам_00-022_Август/1497d929-8d73-44fd-bd8e-2a8b2aaeb6a2.jpg","open")</f>
        <v/>
      </c>
      <c r="C10553" t="inlineStr">
        <is>
          <t>685d9054-b74f-49ab-857b-109fd2cec80d</t>
        </is>
      </c>
      <c r="D10553" t="n">
        <v>55.68068</v>
      </c>
      <c r="E10553" t="n">
        <v>37.55648</v>
      </c>
      <c r="F10553" t="inlineStr"/>
      <c r="G10553" t="inlineStr"/>
      <c r="H10553" t="inlineStr"/>
    </row>
    <row r="10554">
      <c r="A10554" t="inlineStr">
        <is>
          <t>30dceb3f-d9af-49b0-89e2-03f7a6b3745c.jpg</t>
        </is>
      </c>
      <c r="B10554">
        <f>HYPERLINK("Объекты недвижимости, не соответствующие градостроительным нормам_00-022_Август/30dceb3f-d9af-49b0-89e2-03f7a6b3745c.jpg","open")</f>
        <v/>
      </c>
      <c r="C10554" t="inlineStr">
        <is>
          <t>1231bbc5-e64c-4dc7-9acc-77710f47607a</t>
        </is>
      </c>
      <c r="D10554" t="n">
        <v>55.68068</v>
      </c>
      <c r="E10554" t="n">
        <v>37.55637</v>
      </c>
      <c r="F10554" t="inlineStr"/>
      <c r="G10554" t="inlineStr"/>
      <c r="H10554" t="inlineStr"/>
    </row>
    <row r="10555">
      <c r="A10555" t="inlineStr">
        <is>
          <t>56716c2b-1d1c-4cf1-a2e3-f26ae1a6427a.jpg</t>
        </is>
      </c>
      <c r="B10555">
        <f>HYPERLINK("Объекты недвижимости, не соответствующие градостроительным нормам_00-022_Август/56716c2b-1d1c-4cf1-a2e3-f26ae1a6427a.jpg","open")</f>
        <v/>
      </c>
      <c r="C10555" t="inlineStr">
        <is>
          <t>8996eb30-6497-4318-8a0e-b95314b8172e</t>
        </is>
      </c>
      <c r="D10555" t="n">
        <v>55.73095</v>
      </c>
      <c r="E10555" t="n">
        <v>37.72785</v>
      </c>
      <c r="F10555" t="inlineStr"/>
      <c r="G10555" t="inlineStr"/>
      <c r="H10555" t="inlineStr"/>
    </row>
    <row r="10556">
      <c r="A10556" t="inlineStr">
        <is>
          <t>d8d46bcf-10c7-4539-a084-c8eb9c6b8e4b.jpg</t>
        </is>
      </c>
      <c r="B10556">
        <f>HYPERLINK("Объекты недвижимости, не соответствующие градостроительным нормам_00-022_Август/d8d46bcf-10c7-4539-a084-c8eb9c6b8e4b.jpg","open")</f>
        <v/>
      </c>
      <c r="C10556" t="inlineStr">
        <is>
          <t>750bf7e4-0f0f-4f1a-96af-607dc8c1f1c9</t>
        </is>
      </c>
      <c r="D10556" t="n">
        <v>55.49034</v>
      </c>
      <c r="E10556" t="n">
        <v>37.30835</v>
      </c>
      <c r="F10556" t="inlineStr"/>
      <c r="G10556" t="inlineStr"/>
      <c r="H10556" t="inlineStr"/>
    </row>
    <row r="10557">
      <c r="A10557" t="inlineStr">
        <is>
          <t>aec6b367-68c5-4a5f-8577-3537aa181c4d.jpg</t>
        </is>
      </c>
      <c r="B10557">
        <f>HYPERLINK("Объекты недвижимости, не соответствующие градостроительным нормам_00-022_Август/aec6b367-68c5-4a5f-8577-3537aa181c4d.jpg","open")</f>
        <v/>
      </c>
      <c r="C10557" t="inlineStr">
        <is>
          <t>e26f5fc2-1353-4f29-85f3-87c56419161c</t>
        </is>
      </c>
      <c r="D10557" t="n">
        <v>55.77486</v>
      </c>
      <c r="E10557" t="n">
        <v>37.55916</v>
      </c>
      <c r="F10557" t="inlineStr"/>
      <c r="G10557" t="inlineStr"/>
      <c r="H10557" t="inlineStr"/>
    </row>
    <row r="10558">
      <c r="A10558" t="inlineStr">
        <is>
          <t>5063b6e8-e4fe-4a83-af66-3c57c8f6e102.jpg</t>
        </is>
      </c>
      <c r="B10558">
        <f>HYPERLINK("Объекты недвижимости, не соответствующие градостроительным нормам_00-022_Август/5063b6e8-e4fe-4a83-af66-3c57c8f6e102.jpg","open")</f>
        <v/>
      </c>
      <c r="C10558" t="inlineStr">
        <is>
          <t>2acfb2da-e3f6-464c-bd17-4b713522c142</t>
        </is>
      </c>
      <c r="D10558" t="n">
        <v>55.89125</v>
      </c>
      <c r="E10558" t="n">
        <v>37.59071</v>
      </c>
      <c r="F10558" t="inlineStr"/>
      <c r="G10558" t="inlineStr"/>
      <c r="H10558" t="inlineStr"/>
    </row>
    <row r="10559">
      <c r="A10559" t="inlineStr">
        <is>
          <t>bca56143-0b35-4ded-a005-083bb8c5cf9c.jpg</t>
        </is>
      </c>
      <c r="B10559">
        <f>HYPERLINK("Объекты недвижимости, не соответствующие градостроительным нормам_00-022_Август/bca56143-0b35-4ded-a005-083bb8c5cf9c.jpg","open")</f>
        <v/>
      </c>
      <c r="C10559" t="inlineStr">
        <is>
          <t>fce890a6-27da-4062-a046-08262a160ee6</t>
        </is>
      </c>
      <c r="D10559" t="n">
        <v>55.78251</v>
      </c>
      <c r="E10559" t="n">
        <v>37.671</v>
      </c>
      <c r="F10559" t="inlineStr"/>
      <c r="G10559" t="inlineStr"/>
      <c r="H10559" t="inlineStr"/>
    </row>
    <row r="10560">
      <c r="A10560" t="inlineStr">
        <is>
          <t>27bc7e16-9696-47cb-9a0c-588d2c958442.jpg</t>
        </is>
      </c>
      <c r="B10560">
        <f>HYPERLINK("Объекты недвижимости, не соответствующие градостроительным нормам_00-022_Август/27bc7e16-9696-47cb-9a0c-588d2c958442.jpg","open")</f>
        <v/>
      </c>
      <c r="C10560" t="inlineStr">
        <is>
          <t>e90a3ac0-5b70-4ede-abeb-382371713306</t>
        </is>
      </c>
      <c r="D10560" t="n">
        <v>55.68215</v>
      </c>
      <c r="E10560" t="n">
        <v>37.56858</v>
      </c>
      <c r="F10560" t="inlineStr"/>
      <c r="G10560" t="inlineStr"/>
      <c r="H10560" t="inlineStr"/>
    </row>
    <row r="10561">
      <c r="A10561" t="inlineStr">
        <is>
          <t>238952bb-b754-48e9-8c28-85027e7592e6.jpg</t>
        </is>
      </c>
      <c r="B10561">
        <f>HYPERLINK("Объекты недвижимости, не соответствующие градостроительным нормам_00-022_Август/238952bb-b754-48e9-8c28-85027e7592e6.jpg","open")</f>
        <v/>
      </c>
      <c r="C10561" t="inlineStr">
        <is>
          <t>db8b536c-32f2-4d9a-ae08-679d227e61f1</t>
        </is>
      </c>
      <c r="D10561" t="n">
        <v>55.68215</v>
      </c>
      <c r="E10561" t="n">
        <v>37.56858</v>
      </c>
      <c r="F10561" t="inlineStr"/>
      <c r="G10561" t="inlineStr"/>
      <c r="H10561" t="inlineStr"/>
    </row>
    <row r="10562">
      <c r="A10562" t="inlineStr">
        <is>
          <t>8f93b99e-c963-48c1-8d0f-272ef7999331.jpg</t>
        </is>
      </c>
      <c r="B10562">
        <f>HYPERLINK("Объекты недвижимости, не соответствующие градостроительным нормам_00-022_Август/8f93b99e-c963-48c1-8d0f-272ef7999331.jpg","open")</f>
        <v/>
      </c>
      <c r="C10562" t="inlineStr">
        <is>
          <t>50e4626c-a80e-42ab-b999-b5092c2c063f</t>
        </is>
      </c>
      <c r="D10562" t="n">
        <v>55.98106</v>
      </c>
      <c r="E10562" t="n">
        <v>37.40543</v>
      </c>
      <c r="F10562" t="inlineStr"/>
      <c r="G10562" t="inlineStr"/>
      <c r="H10562" t="inlineStr"/>
    </row>
    <row r="10563">
      <c r="A10563" t="inlineStr">
        <is>
          <t>28f41af0-c956-4863-930f-a15fefb59d25.jpg</t>
        </is>
      </c>
      <c r="B10563">
        <f>HYPERLINK("Объекты недвижимости, не соответствующие градостроительным нормам_00-022_Август/28f41af0-c956-4863-930f-a15fefb59d25.jpg","open")</f>
        <v/>
      </c>
      <c r="C10563" t="inlineStr">
        <is>
          <t>052a5a2b-f222-4b50-b2cc-21612f1f234a</t>
        </is>
      </c>
      <c r="D10563" t="n">
        <v>55.96442</v>
      </c>
      <c r="E10563" t="n">
        <v>37.41305</v>
      </c>
      <c r="F10563" t="inlineStr"/>
      <c r="G10563" t="inlineStr"/>
      <c r="H10563" t="inlineStr"/>
    </row>
    <row r="10564">
      <c r="A10564" t="inlineStr">
        <is>
          <t>0dfd13d7-67cd-4bae-bc8c-630caab8a504.jpg</t>
        </is>
      </c>
      <c r="B10564">
        <f>HYPERLINK("Объекты недвижимости, не соответствующие градостроительным нормам_00-022_Август/0dfd13d7-67cd-4bae-bc8c-630caab8a504.jpg","open")</f>
        <v/>
      </c>
      <c r="C10564" t="inlineStr">
        <is>
          <t>f20fbc2b-b369-4734-bb66-92af02fbb0d1</t>
        </is>
      </c>
      <c r="D10564" t="n">
        <v>55.69907</v>
      </c>
      <c r="E10564" t="n">
        <v>37.73611</v>
      </c>
      <c r="F10564" t="inlineStr"/>
      <c r="G10564" t="inlineStr"/>
      <c r="H10564" t="inlineStr"/>
    </row>
    <row r="10565">
      <c r="A10565" t="inlineStr">
        <is>
          <t>eb8a8b25-8219-4606-8d2b-7bc60b9619e1.jpg</t>
        </is>
      </c>
      <c r="B10565">
        <f>HYPERLINK("Объекты недвижимости, не соответствующие градостроительным нормам_00-022_Август/eb8a8b25-8219-4606-8d2b-7bc60b9619e1.jpg","open")</f>
        <v/>
      </c>
      <c r="C10565" t="inlineStr">
        <is>
          <t>dd22c7c9-0046-46d8-8631-55150dbf8ae5</t>
        </is>
      </c>
      <c r="D10565" t="n">
        <v>55.73283</v>
      </c>
      <c r="E10565" t="n">
        <v>37.6722</v>
      </c>
      <c r="F10565" t="inlineStr"/>
      <c r="G10565" t="inlineStr"/>
      <c r="H10565" t="inlineStr"/>
    </row>
    <row r="10566">
      <c r="A10566" t="inlineStr">
        <is>
          <t>b45c8669-535e-4509-8d7b-37191d878845.jpg</t>
        </is>
      </c>
      <c r="B10566">
        <f>HYPERLINK("Объекты недвижимости, не соответствующие градостроительным нормам_00-022_Август/b45c8669-535e-4509-8d7b-37191d878845.jpg","open")</f>
        <v/>
      </c>
      <c r="C10566" t="inlineStr">
        <is>
          <t>b0b7ea82-53be-40d0-b992-e2fd18611d5c</t>
        </is>
      </c>
      <c r="D10566" t="n">
        <v>55.69786</v>
      </c>
      <c r="E10566" t="n">
        <v>37.73703</v>
      </c>
      <c r="F10566" t="inlineStr"/>
      <c r="G10566" t="inlineStr"/>
      <c r="H10566" t="inlineStr"/>
    </row>
    <row r="10567">
      <c r="A10567" t="inlineStr">
        <is>
          <t>a51b195b-e32a-41dd-9482-5fd93ba579c5.jpg</t>
        </is>
      </c>
      <c r="B10567">
        <f>HYPERLINK("Объекты недвижимости, не соответствующие градостроительным нормам_00-022_Август/a51b195b-e32a-41dd-9482-5fd93ba579c5.jpg","open")</f>
        <v/>
      </c>
      <c r="C10567" t="inlineStr">
        <is>
          <t>dd22c7c9-0046-46d8-8631-55150dbf8ae5</t>
        </is>
      </c>
      <c r="D10567" t="n">
        <v>55.73283</v>
      </c>
      <c r="E10567" t="n">
        <v>37.6722</v>
      </c>
      <c r="F10567" t="inlineStr"/>
      <c r="G10567" t="inlineStr"/>
      <c r="H10567" t="inlineStr"/>
    </row>
    <row r="10568">
      <c r="A10568" t="inlineStr">
        <is>
          <t>0929dd8f-9b59-477f-bd7f-017be327f9c6.jpg</t>
        </is>
      </c>
      <c r="B10568">
        <f>HYPERLINK("Объекты недвижимости, не соответствующие градостроительным нормам_00-022_Август/0929dd8f-9b59-477f-bd7f-017be327f9c6.jpg","open")</f>
        <v/>
      </c>
      <c r="C10568" t="inlineStr">
        <is>
          <t>b0b7ea82-53be-40d0-b992-e2fd18611d5c</t>
        </is>
      </c>
      <c r="D10568" t="n">
        <v>55.69785</v>
      </c>
      <c r="E10568" t="n">
        <v>37.73696</v>
      </c>
      <c r="F10568" t="inlineStr"/>
      <c r="G10568" t="inlineStr"/>
      <c r="H10568" t="inlineStr"/>
    </row>
    <row r="10569">
      <c r="A10569" t="inlineStr">
        <is>
          <t>851e37a7-d0c8-4572-a6d2-d4c86009ad5c.jpg</t>
        </is>
      </c>
      <c r="B10569">
        <f>HYPERLINK("Объекты недвижимости, не соответствующие градостроительным нормам_00-022_Август/851e37a7-d0c8-4572-a6d2-d4c86009ad5c.jpg","open")</f>
        <v/>
      </c>
      <c r="C10569" t="inlineStr">
        <is>
          <t>6e2567a0-1fb9-40d5-a0e7-0adb480d2965</t>
        </is>
      </c>
      <c r="D10569" t="n">
        <v>55.82884</v>
      </c>
      <c r="E10569" t="n">
        <v>37.57858</v>
      </c>
      <c r="F10569" t="inlineStr"/>
      <c r="G10569" t="inlineStr"/>
      <c r="H10569" t="inlineStr"/>
    </row>
    <row r="10570">
      <c r="A10570" t="inlineStr">
        <is>
          <t>5885040a-9ec7-4f74-91f6-c88bbb71eb64.jpg</t>
        </is>
      </c>
      <c r="B10570">
        <f>HYPERLINK("Объекты недвижимости, не соответствующие градостроительным нормам_00-022_Август/5885040a-9ec7-4f74-91f6-c88bbb71eb64.jpg","open")</f>
        <v/>
      </c>
      <c r="C10570" t="inlineStr">
        <is>
          <t>036c664f-5408-4fd0-b479-342c00468eeb</t>
        </is>
      </c>
      <c r="D10570" t="n">
        <v>55.72762</v>
      </c>
      <c r="E10570" t="n">
        <v>37.47311</v>
      </c>
      <c r="F10570" t="inlineStr"/>
      <c r="G10570" t="inlineStr"/>
      <c r="H10570" t="inlineStr"/>
    </row>
    <row r="10571">
      <c r="A10571" t="inlineStr">
        <is>
          <t>11b556b4-4311-430e-9f2f-dbee7a1e9c0e.jpg</t>
        </is>
      </c>
      <c r="B10571">
        <f>HYPERLINK("Объекты недвижимости, не соответствующие градостроительным нормам_00-022_Август/11b556b4-4311-430e-9f2f-dbee7a1e9c0e.jpg","open")</f>
        <v/>
      </c>
      <c r="C10571" t="inlineStr">
        <is>
          <t>9f88688f-4c81-42a8-b76a-3c3e7edf869e</t>
        </is>
      </c>
      <c r="D10571" t="n">
        <v>55.78251</v>
      </c>
      <c r="E10571" t="n">
        <v>37.671</v>
      </c>
      <c r="F10571" t="inlineStr"/>
      <c r="G10571" t="inlineStr"/>
      <c r="H10571" t="inlineStr"/>
    </row>
    <row r="10572">
      <c r="A10572" t="inlineStr">
        <is>
          <t>3ac1c54d-3f92-465c-9cc0-3230cf41ea40.jpg</t>
        </is>
      </c>
      <c r="B10572">
        <f>HYPERLINK("Объекты недвижимости, не соответствующие градостроительным нормам_00-022_Август/3ac1c54d-3f92-465c-9cc0-3230cf41ea40.jpg","open")</f>
        <v/>
      </c>
      <c r="C10572" t="inlineStr">
        <is>
          <t>8b2675e2-7f40-47a9-a462-7c9feecd299c</t>
        </is>
      </c>
      <c r="D10572" t="n">
        <v>54.94748</v>
      </c>
      <c r="E10572" t="n">
        <v>38.6742</v>
      </c>
      <c r="F10572" t="inlineStr"/>
      <c r="G10572" t="inlineStr"/>
      <c r="H10572" t="inlineStr"/>
    </row>
    <row r="10573">
      <c r="A10573" t="inlineStr">
        <is>
          <t>a84a6570-cffd-4821-94af-3a04471b1dea.jpg</t>
        </is>
      </c>
      <c r="B10573">
        <f>HYPERLINK("Объекты недвижимости, не соответствующие градостроительным нормам_00-022_Август/a84a6570-cffd-4821-94af-3a04471b1dea.jpg","open")</f>
        <v/>
      </c>
      <c r="C10573" t="inlineStr">
        <is>
          <t>50e4626c-a80e-42ab-b999-b5092c2c063f</t>
        </is>
      </c>
      <c r="D10573" t="n">
        <v>55.98106</v>
      </c>
      <c r="E10573" t="n">
        <v>37.40543</v>
      </c>
      <c r="F10573" t="inlineStr"/>
      <c r="G10573" t="inlineStr"/>
      <c r="H10573" t="inlineStr"/>
    </row>
    <row r="10574">
      <c r="A10574" t="inlineStr">
        <is>
          <t>7ba7b369-348f-4f61-b887-ca96bbe8c269.jpg</t>
        </is>
      </c>
      <c r="B10574">
        <f>HYPERLINK("Объекты недвижимости, не соответствующие градостроительным нормам_00-022_Август/7ba7b369-348f-4f61-b887-ca96bbe8c269.jpg","open")</f>
        <v/>
      </c>
      <c r="C10574" t="inlineStr">
        <is>
          <t>8b2675e2-7f40-47a9-a462-7c9feecd299c</t>
        </is>
      </c>
      <c r="D10574" t="n">
        <v>54.94748</v>
      </c>
      <c r="E10574" t="n">
        <v>38.6742</v>
      </c>
      <c r="F10574" t="inlineStr"/>
      <c r="G10574" t="inlineStr"/>
      <c r="H10574" t="inlineStr"/>
    </row>
    <row r="10575">
      <c r="A10575" t="inlineStr">
        <is>
          <t>8558404b-0fc8-417c-bb55-7c52f275218a.jpg</t>
        </is>
      </c>
      <c r="B10575">
        <f>HYPERLINK("Объекты недвижимости, не соответствующие градостроительным нормам_00-022_Август/8558404b-0fc8-417c-bb55-7c52f275218a.jpg","open")</f>
        <v/>
      </c>
      <c r="C10575" t="inlineStr">
        <is>
          <t>685d9054-b74f-49ab-857b-109fd2cec80d</t>
        </is>
      </c>
      <c r="D10575" t="n">
        <v>55.67801</v>
      </c>
      <c r="E10575" t="n">
        <v>37.55833</v>
      </c>
      <c r="F10575" t="inlineStr"/>
      <c r="G10575" t="inlineStr"/>
      <c r="H10575" t="inlineStr"/>
    </row>
    <row r="10576">
      <c r="A10576" t="inlineStr">
        <is>
          <t>437991c9-35b3-4108-a1b4-c1e6ce19b2b2.jpg</t>
        </is>
      </c>
      <c r="B10576">
        <f>HYPERLINK("Объекты недвижимости, не соответствующие градостроительным нормам_00-022_Август/437991c9-35b3-4108-a1b4-c1e6ce19b2b2.jpg","open")</f>
        <v/>
      </c>
      <c r="C10576" t="inlineStr">
        <is>
          <t>685d9054-b74f-49ab-857b-109fd2cec80d</t>
        </is>
      </c>
      <c r="D10576" t="n">
        <v>55.67818</v>
      </c>
      <c r="E10576" t="n">
        <v>37.55805</v>
      </c>
      <c r="F10576" t="inlineStr"/>
      <c r="G10576" t="inlineStr"/>
      <c r="H10576" t="inlineStr"/>
    </row>
    <row r="10577">
      <c r="A10577" t="inlineStr">
        <is>
          <t>5cccc5f1-9dbc-48ad-b704-39987d1f1ccb.jpg</t>
        </is>
      </c>
      <c r="B10577">
        <f>HYPERLINK("Объекты недвижимости, не соответствующие градостроительным нормам_00-022_Август/5cccc5f1-9dbc-48ad-b704-39987d1f1ccb.jpg","open")</f>
        <v/>
      </c>
      <c r="C10577" t="inlineStr">
        <is>
          <t>ad64e6b9-1ed5-44d7-a101-4945a1f9dec6</t>
        </is>
      </c>
      <c r="D10577" t="n">
        <v>55.65942</v>
      </c>
      <c r="E10577" t="n">
        <v>37.5194</v>
      </c>
      <c r="F10577" t="inlineStr"/>
      <c r="G10577" t="inlineStr"/>
      <c r="H10577" t="inlineStr"/>
    </row>
    <row r="10578">
      <c r="A10578" t="inlineStr">
        <is>
          <t>fde740be-4db3-41ff-ae71-01ac5025d9c2.jpg</t>
        </is>
      </c>
      <c r="B10578">
        <f>HYPERLINK("Объекты недвижимости, не соответствующие градостроительным нормам_00-022_Август/fde740be-4db3-41ff-ae71-01ac5025d9c2.jpg","open")</f>
        <v/>
      </c>
      <c r="C10578" t="inlineStr">
        <is>
          <t>12e795ad-2aa7-49de-b2da-2c6aa35a4559</t>
        </is>
      </c>
      <c r="D10578" t="n">
        <v>55.65936</v>
      </c>
      <c r="E10578" t="n">
        <v>37.51933</v>
      </c>
      <c r="F10578" t="inlineStr"/>
      <c r="G10578" t="inlineStr"/>
      <c r="H10578" t="inlineStr"/>
    </row>
    <row r="10579">
      <c r="A10579" t="inlineStr">
        <is>
          <t>ad51032b-a9d7-41e9-8b36-d8036b2d8950.jpg</t>
        </is>
      </c>
      <c r="B10579">
        <f>HYPERLINK("Объекты недвижимости, не соответствующие градостроительным нормам_00-022_Август/ad51032b-a9d7-41e9-8b36-d8036b2d8950.jpg","open")</f>
        <v/>
      </c>
      <c r="C10579" t="inlineStr">
        <is>
          <t>fce890a6-27da-4062-a046-08262a160ee6</t>
        </is>
      </c>
      <c r="D10579" t="n">
        <v>55.96615</v>
      </c>
      <c r="E10579" t="n">
        <v>37.4245</v>
      </c>
      <c r="F10579" t="inlineStr"/>
      <c r="G10579" t="inlineStr"/>
      <c r="H10579" t="inlineStr"/>
    </row>
    <row r="10580">
      <c r="A10580" t="inlineStr">
        <is>
          <t>2da9e33e-58cd-4889-9f9e-26d7b7373897.jpg</t>
        </is>
      </c>
      <c r="B10580">
        <f>HYPERLINK("Объекты недвижимости, не соответствующие градостроительным нормам_00-022_Август/2da9e33e-58cd-4889-9f9e-26d7b7373897.jpg","open")</f>
        <v/>
      </c>
      <c r="C10580" t="inlineStr">
        <is>
          <t>c008bda0-324b-4c90-9c2f-36cfc930e0b5</t>
        </is>
      </c>
      <c r="D10580" t="n">
        <v>55.78225</v>
      </c>
      <c r="E10580" t="n">
        <v>37.67102</v>
      </c>
      <c r="F10580" t="inlineStr"/>
      <c r="G10580" t="inlineStr"/>
      <c r="H10580" t="inlineStr"/>
    </row>
    <row r="10581">
      <c r="A10581" t="inlineStr">
        <is>
          <t>502c09b6-03a9-49c7-b181-955e9e10f053.jpg</t>
        </is>
      </c>
      <c r="B10581">
        <f>HYPERLINK("Объекты недвижимости, не соответствующие градостроительным нормам_00-022_Август/502c09b6-03a9-49c7-b181-955e9e10f053.jpg","open")</f>
        <v/>
      </c>
      <c r="C10581" t="inlineStr">
        <is>
          <t>29ad9edb-d533-4272-a986-be24eb004851</t>
        </is>
      </c>
      <c r="D10581" t="n">
        <v>55.78225</v>
      </c>
      <c r="E10581" t="n">
        <v>37.67102</v>
      </c>
      <c r="F10581" t="inlineStr"/>
      <c r="G10581" t="inlineStr"/>
      <c r="H10581" t="inlineStr"/>
    </row>
    <row r="10582">
      <c r="A10582" t="inlineStr">
        <is>
          <t>2837947c-0a4d-4321-bf67-002c5a1b1f61.jpg</t>
        </is>
      </c>
      <c r="B10582">
        <f>HYPERLINK("Объекты недвижимости, не соответствующие градостроительным нормам_00-022_Август/2837947c-0a4d-4321-bf67-002c5a1b1f61.jpg","open")</f>
        <v/>
      </c>
      <c r="C10582" t="inlineStr">
        <is>
          <t>fce890a6-27da-4062-a046-08262a160ee6</t>
        </is>
      </c>
      <c r="D10582" t="n">
        <v>55.97153</v>
      </c>
      <c r="E10582" t="n">
        <v>37.43079</v>
      </c>
      <c r="F10582" t="inlineStr"/>
      <c r="G10582" t="inlineStr"/>
      <c r="H10582" t="inlineStr"/>
    </row>
    <row r="10583">
      <c r="A10583" t="inlineStr">
        <is>
          <t>1756931c-a18b-4408-9177-efeb247dae5f.jpg</t>
        </is>
      </c>
      <c r="B10583">
        <f>HYPERLINK("Объекты недвижимости, не соответствующие градостроительным нормам_00-022_Август/1756931c-a18b-4408-9177-efeb247dae5f.jpg","open")</f>
        <v/>
      </c>
      <c r="C10583" t="inlineStr">
        <is>
          <t>ad64e6b9-1ed5-44d7-a101-4945a1f9dec6</t>
        </is>
      </c>
      <c r="D10583" t="n">
        <v>55.6564</v>
      </c>
      <c r="E10583" t="n">
        <v>37.51848</v>
      </c>
      <c r="F10583" t="inlineStr"/>
      <c r="G10583" t="inlineStr"/>
      <c r="H10583" t="inlineStr"/>
    </row>
    <row r="10584">
      <c r="A10584" t="inlineStr">
        <is>
          <t>bdc52996-277f-42ba-8199-20d080d86e84.jpg</t>
        </is>
      </c>
      <c r="B10584">
        <f>HYPERLINK("Объекты недвижимости, не соответствующие градостроительным нормам_00-022_Август/bdc52996-277f-42ba-8199-20d080d86e84.jpg","open")</f>
        <v/>
      </c>
      <c r="C10584" t="inlineStr">
        <is>
          <t>f20fbc2b-b369-4734-bb66-92af02fbb0d1</t>
        </is>
      </c>
      <c r="D10584" t="n">
        <v>55.69828</v>
      </c>
      <c r="E10584" t="n">
        <v>37.74188</v>
      </c>
      <c r="F10584" t="inlineStr"/>
      <c r="G10584" t="inlineStr"/>
      <c r="H10584" t="inlineStr"/>
    </row>
    <row r="10585">
      <c r="A10585" t="inlineStr">
        <is>
          <t>2626ac5e-7c0b-486a-bc56-cf1a43d063a2.jpg</t>
        </is>
      </c>
      <c r="B10585">
        <f>HYPERLINK("Объекты недвижимости, не соответствующие градостроительным нормам_00-022_Август/2626ac5e-7c0b-486a-bc56-cf1a43d063a2.jpg","open")</f>
        <v/>
      </c>
      <c r="C10585" t="inlineStr">
        <is>
          <t>f20fbc2b-b369-4734-bb66-92af02fbb0d1</t>
        </is>
      </c>
      <c r="D10585" t="n">
        <v>55.69832</v>
      </c>
      <c r="E10585" t="n">
        <v>37.74208</v>
      </c>
      <c r="F10585" t="inlineStr"/>
      <c r="G10585" t="inlineStr"/>
      <c r="H10585" t="inlineStr"/>
    </row>
    <row r="10586">
      <c r="A10586" t="inlineStr">
        <is>
          <t>cd0d59dd-60bf-4717-9c44-4433c2e9a002.jpg</t>
        </is>
      </c>
      <c r="B10586">
        <f>HYPERLINK("Объекты недвижимости, не соответствующие градостроительным нормам_00-022_Август/cd0d59dd-60bf-4717-9c44-4433c2e9a002.jpg","open")</f>
        <v/>
      </c>
      <c r="C10586" t="inlineStr">
        <is>
          <t>b0b7ea82-53be-40d0-b992-e2fd18611d5c</t>
        </is>
      </c>
      <c r="D10586" t="n">
        <v>55.69857</v>
      </c>
      <c r="E10586" t="n">
        <v>37.74111</v>
      </c>
      <c r="F10586" t="inlineStr"/>
      <c r="G10586" t="inlineStr"/>
      <c r="H10586" t="inlineStr"/>
    </row>
    <row r="10587">
      <c r="A10587" t="inlineStr">
        <is>
          <t>9e79d2a3-92b3-4abf-b97f-f600bbd8c380.jpg</t>
        </is>
      </c>
      <c r="B10587">
        <f>HYPERLINK("Объекты недвижимости, не соответствующие градостроительным нормам_00-022_Август/9e79d2a3-92b3-4abf-b97f-f600bbd8c380.jpg","open")</f>
        <v/>
      </c>
      <c r="C10587" t="inlineStr">
        <is>
          <t>b0b7ea82-53be-40d0-b992-e2fd18611d5c</t>
        </is>
      </c>
      <c r="D10587" t="n">
        <v>55.69852</v>
      </c>
      <c r="E10587" t="n">
        <v>37.74089</v>
      </c>
      <c r="F10587" t="inlineStr"/>
      <c r="G10587" t="inlineStr"/>
      <c r="H10587" t="inlineStr"/>
    </row>
    <row r="10588">
      <c r="A10588" t="inlineStr">
        <is>
          <t>7f48abae-b094-4c86-8288-21fda6531c77.jpg</t>
        </is>
      </c>
      <c r="B10588">
        <f>HYPERLINK("Объекты недвижимости, не соответствующие градостроительным нормам_00-022_Август/7f48abae-b094-4c86-8288-21fda6531c77.jpg","open")</f>
        <v/>
      </c>
      <c r="C10588" t="inlineStr">
        <is>
          <t>9f88688f-4c81-42a8-b76a-3c3e7edf869e</t>
        </is>
      </c>
      <c r="D10588" t="n">
        <v>55.96441</v>
      </c>
      <c r="E10588" t="n">
        <v>37.41605</v>
      </c>
      <c r="F10588" t="inlineStr"/>
      <c r="G10588" t="inlineStr"/>
      <c r="H10588" t="inlineStr"/>
    </row>
    <row r="10589">
      <c r="A10589" t="inlineStr">
        <is>
          <t>27b5216b-52c0-4fa0-82a9-c75846db086f.jpg</t>
        </is>
      </c>
      <c r="B10589">
        <f>HYPERLINK("Объекты недвижимости, не соответствующие градостроительным нормам_00-022_Август/27b5216b-52c0-4fa0-82a9-c75846db086f.jpg","open")</f>
        <v/>
      </c>
      <c r="C10589" t="inlineStr">
        <is>
          <t>ad64e6b9-1ed5-44d7-a101-4945a1f9dec6</t>
        </is>
      </c>
      <c r="D10589" t="n">
        <v>55.65667</v>
      </c>
      <c r="E10589" t="n">
        <v>37.5146</v>
      </c>
      <c r="F10589" t="inlineStr"/>
      <c r="G10589" t="inlineStr"/>
      <c r="H10589" t="inlineStr"/>
    </row>
    <row r="10590">
      <c r="A10590" t="inlineStr">
        <is>
          <t>8d279b14-aed5-4c39-b2d4-78c740fcffdb.jpg</t>
        </is>
      </c>
      <c r="B10590">
        <f>HYPERLINK("Объекты недвижимости, не соответствующие градостроительным нормам_00-022_Август/8d279b14-aed5-4c39-b2d4-78c740fcffdb.jpg","open")</f>
        <v/>
      </c>
      <c r="C10590" t="inlineStr">
        <is>
          <t>12e795ad-2aa7-49de-b2da-2c6aa35a4559</t>
        </is>
      </c>
      <c r="D10590" t="n">
        <v>55.65665</v>
      </c>
      <c r="E10590" t="n">
        <v>37.51459</v>
      </c>
      <c r="F10590" t="inlineStr"/>
      <c r="G10590" t="inlineStr"/>
      <c r="H10590" t="inlineStr"/>
    </row>
    <row r="10591">
      <c r="A10591" t="inlineStr">
        <is>
          <t>11506369-9e4c-4552-85c6-63b3aee4b408.jpg</t>
        </is>
      </c>
      <c r="B10591">
        <f>HYPERLINK("Объекты недвижимости, не соответствующие градостроительным нормам_00-022_Август/11506369-9e4c-4552-85c6-63b3aee4b408.jpg","open")</f>
        <v/>
      </c>
      <c r="C10591" t="inlineStr">
        <is>
          <t>912d4e49-7c68-4b5e-ad2f-962fa54bfbba</t>
        </is>
      </c>
      <c r="D10591" t="n">
        <v>55.98275</v>
      </c>
      <c r="E10591" t="n">
        <v>37.41548</v>
      </c>
      <c r="F10591" t="inlineStr"/>
      <c r="G10591" t="inlineStr"/>
      <c r="H10591" t="inlineStr"/>
    </row>
    <row r="10592">
      <c r="A10592" t="inlineStr">
        <is>
          <t>c2308d87-07c3-4603-b173-640411815945.jpg</t>
        </is>
      </c>
      <c r="B10592">
        <f>HYPERLINK("Объекты недвижимости, не соответствующие градостроительным нормам_00-022_Август/c2308d87-07c3-4603-b173-640411815945.jpg","open")</f>
        <v/>
      </c>
      <c r="C10592" t="inlineStr">
        <is>
          <t>b6b3590f-f506-4399-8205-e7ac710132e7</t>
        </is>
      </c>
      <c r="D10592" t="n">
        <v>55.79771</v>
      </c>
      <c r="E10592" t="n">
        <v>37.54019</v>
      </c>
      <c r="F10592" t="inlineStr"/>
      <c r="G10592" t="inlineStr"/>
      <c r="H10592" t="inlineStr"/>
    </row>
    <row r="10593">
      <c r="A10593" t="inlineStr">
        <is>
          <t>b2abd33a-ce35-4097-987d-3c57732d742d.jpg</t>
        </is>
      </c>
      <c r="B10593">
        <f>HYPERLINK("Объекты недвижимости, не соответствующие градостроительным нормам_00-022_Август/b2abd33a-ce35-4097-987d-3c57732d742d.jpg","open")</f>
        <v/>
      </c>
      <c r="C10593" t="inlineStr">
        <is>
          <t>99f3abba-c55b-49f0-9de5-9f88e9597cc0</t>
        </is>
      </c>
      <c r="D10593" t="n">
        <v>55.66826</v>
      </c>
      <c r="E10593" t="n">
        <v>37.64951</v>
      </c>
      <c r="F10593" t="inlineStr"/>
      <c r="G10593" t="inlineStr"/>
      <c r="H10593" t="inlineStr"/>
    </row>
    <row r="10594">
      <c r="A10594" t="inlineStr">
        <is>
          <t>3863d1b0-4763-4d5a-af4a-ba2b17a4c36a.jpg</t>
        </is>
      </c>
      <c r="B10594">
        <f>HYPERLINK("Объекты недвижимости, не соответствующие градостроительным нормам_00-022_Август/3863d1b0-4763-4d5a-af4a-ba2b17a4c36a.jpg","open")</f>
        <v/>
      </c>
      <c r="C10594" t="inlineStr">
        <is>
          <t>b0429a31-0c70-4b9f-8ea5-73929d82f89e</t>
        </is>
      </c>
      <c r="D10594" t="n">
        <v>55.66827</v>
      </c>
      <c r="E10594" t="n">
        <v>37.64952</v>
      </c>
      <c r="F10594" t="inlineStr"/>
      <c r="G10594" t="inlineStr"/>
      <c r="H10594" t="inlineStr"/>
    </row>
    <row r="10595">
      <c r="A10595" t="inlineStr">
        <is>
          <t>24f06ece-00c6-4955-b1ce-c654d6d56600.jpg</t>
        </is>
      </c>
      <c r="B10595">
        <f>HYPERLINK("Объекты недвижимости, не соответствующие градостроительным нормам_00-022_Август/24f06ece-00c6-4955-b1ce-c654d6d56600.jpg","open")</f>
        <v/>
      </c>
      <c r="C10595" t="inlineStr">
        <is>
          <t>936502dd-24a4-4256-9fdf-0d8fb72af3ed</t>
        </is>
      </c>
      <c r="D10595" t="n">
        <v>55.67835</v>
      </c>
      <c r="E10595" t="n">
        <v>37.67806</v>
      </c>
      <c r="F10595" t="inlineStr"/>
      <c r="G10595" t="inlineStr"/>
      <c r="H10595" t="inlineStr"/>
    </row>
    <row r="10596">
      <c r="A10596" t="inlineStr">
        <is>
          <t>ead3d590-4487-426d-90b3-ba74726b1ca1.jpg</t>
        </is>
      </c>
      <c r="B10596">
        <f>HYPERLINK("Объекты недвижимости, не соответствующие градостроительным нормам_00-022_Август/ead3d590-4487-426d-90b3-ba74726b1ca1.jpg","open")</f>
        <v/>
      </c>
      <c r="C10596" t="inlineStr">
        <is>
          <t>18a5c468-d9e6-4814-8477-1caf4a2e1fe9</t>
        </is>
      </c>
      <c r="D10596" t="n">
        <v>55.96747</v>
      </c>
      <c r="E10596" t="n">
        <v>37.40305</v>
      </c>
      <c r="F10596" t="inlineStr"/>
      <c r="G10596" t="inlineStr"/>
      <c r="H10596" t="inlineStr"/>
    </row>
    <row r="10597">
      <c r="A10597" t="inlineStr">
        <is>
          <t>ab5e729e-5a80-43be-bf33-383bd688534f.jpg</t>
        </is>
      </c>
      <c r="B10597">
        <f>HYPERLINK("Объекты недвижимости, не соответствующие градостроительным нормам_00-022_Август/ab5e729e-5a80-43be-bf33-383bd688534f.jpg","open")</f>
        <v/>
      </c>
      <c r="C10597" t="inlineStr">
        <is>
          <t>18a5c468-d9e6-4814-8477-1caf4a2e1fe9</t>
        </is>
      </c>
      <c r="D10597" t="n">
        <v>55.96747</v>
      </c>
      <c r="E10597" t="n">
        <v>37.40305</v>
      </c>
      <c r="F10597" t="inlineStr"/>
      <c r="G10597" t="inlineStr"/>
      <c r="H10597" t="inlineStr"/>
    </row>
    <row r="10598">
      <c r="A10598" t="inlineStr">
        <is>
          <t>dba36891-1805-4a30-b04e-86e4d583589a.jpg</t>
        </is>
      </c>
      <c r="B10598">
        <f>HYPERLINK("Объекты недвижимости, не соответствующие градостроительным нормам_00-022_Август/dba36891-1805-4a30-b04e-86e4d583589a.jpg","open")</f>
        <v/>
      </c>
      <c r="C10598" t="inlineStr">
        <is>
          <t>18a5c468-d9e6-4814-8477-1caf4a2e1fe9</t>
        </is>
      </c>
      <c r="D10598" t="n">
        <v>55.96747</v>
      </c>
      <c r="E10598" t="n">
        <v>37.40305</v>
      </c>
      <c r="F10598" t="inlineStr"/>
      <c r="G10598" t="inlineStr"/>
      <c r="H10598" t="inlineStr"/>
    </row>
    <row r="10599">
      <c r="A10599" t="inlineStr">
        <is>
          <t>afec7b50-4825-4468-b7ea-3b1d4dfc4258.jpg</t>
        </is>
      </c>
      <c r="B10599">
        <f>HYPERLINK("Объекты недвижимости, не соответствующие градостроительным нормам_00-022_Август/afec7b50-4825-4468-b7ea-3b1d4dfc4258.jpg","open")</f>
        <v/>
      </c>
      <c r="C10599" t="inlineStr">
        <is>
          <t>caa4772d-6278-4484-a046-ee25514bf521</t>
        </is>
      </c>
      <c r="D10599" t="n">
        <v>55.97764</v>
      </c>
      <c r="E10599" t="n">
        <v>37.40086</v>
      </c>
      <c r="F10599" t="inlineStr"/>
      <c r="G10599" t="inlineStr"/>
      <c r="H10599" t="inlineStr"/>
    </row>
    <row r="10600">
      <c r="A10600" t="inlineStr">
        <is>
          <t>fff2a9cf-f4f4-40ff-a0f8-52c08255f762.jpg</t>
        </is>
      </c>
      <c r="B10600">
        <f>HYPERLINK("Объекты недвижимости, не соответствующие градостроительным нормам_00-022_Август/fff2a9cf-f4f4-40ff-a0f8-52c08255f762.jpg","open")</f>
        <v/>
      </c>
      <c r="C10600" t="inlineStr">
        <is>
          <t>18a5c468-d9e6-4814-8477-1caf4a2e1fe9</t>
        </is>
      </c>
      <c r="D10600" t="n">
        <v>55.96747</v>
      </c>
      <c r="E10600" t="n">
        <v>37.40305</v>
      </c>
      <c r="F10600" t="inlineStr"/>
      <c r="G10600" t="inlineStr"/>
      <c r="H10600" t="inlineStr"/>
    </row>
    <row r="10601">
      <c r="A10601" t="inlineStr">
        <is>
          <t>5c63a813-0e95-4522-9e2d-eb5dffb6ddaa.jpg</t>
        </is>
      </c>
      <c r="B10601">
        <f>HYPERLINK("Объекты недвижимости, не соответствующие градостроительным нормам_00-022_Август/5c63a813-0e95-4522-9e2d-eb5dffb6ddaa.jpg","open")</f>
        <v/>
      </c>
      <c r="C10601" t="inlineStr">
        <is>
          <t>18a5c468-d9e6-4814-8477-1caf4a2e1fe9</t>
        </is>
      </c>
      <c r="D10601" t="n">
        <v>55.96747</v>
      </c>
      <c r="E10601" t="n">
        <v>37.40305</v>
      </c>
      <c r="F10601" t="inlineStr"/>
      <c r="G10601" t="inlineStr"/>
      <c r="H10601" t="inlineStr"/>
    </row>
    <row r="10602">
      <c r="A10602" t="inlineStr">
        <is>
          <t>e24d889d-a3b9-4d4a-917f-4293d6da266e.jpg</t>
        </is>
      </c>
      <c r="B10602">
        <f>HYPERLINK("Объекты недвижимости, не соответствующие градостроительным нормам_00-022_Август/e24d889d-a3b9-4d4a-917f-4293d6da266e.jpg","open")</f>
        <v/>
      </c>
      <c r="C10602" t="inlineStr">
        <is>
          <t>18a5c468-d9e6-4814-8477-1caf4a2e1fe9</t>
        </is>
      </c>
      <c r="D10602" t="n">
        <v>55.96747</v>
      </c>
      <c r="E10602" t="n">
        <v>37.40305</v>
      </c>
      <c r="F10602" t="inlineStr"/>
      <c r="G10602" t="inlineStr"/>
      <c r="H10602" t="inlineStr"/>
    </row>
    <row r="10603">
      <c r="A10603" t="inlineStr">
        <is>
          <t>f98d2599-f5e4-4049-96f8-306970c2622a.jpg</t>
        </is>
      </c>
      <c r="B10603">
        <f>HYPERLINK("Объекты недвижимости, не соответствующие градостроительным нормам_00-022_Август/f98d2599-f5e4-4049-96f8-306970c2622a.jpg","open")</f>
        <v/>
      </c>
      <c r="C10603" t="inlineStr">
        <is>
          <t>8996eb30-6497-4318-8a0e-b95314b8172e</t>
        </is>
      </c>
      <c r="D10603" t="n">
        <v>55.73527</v>
      </c>
      <c r="E10603" t="n">
        <v>37.75301</v>
      </c>
      <c r="F10603" t="inlineStr"/>
      <c r="G10603" t="inlineStr"/>
      <c r="H10603" t="inlineStr"/>
    </row>
    <row r="10604">
      <c r="A10604" t="inlineStr">
        <is>
          <t>814d9728-7e50-4b0f-a268-06e3038cbfd0.jpg</t>
        </is>
      </c>
      <c r="B10604">
        <f>HYPERLINK("Объекты недвижимости, не соответствующие градостроительным нормам_00-022_Август/814d9728-7e50-4b0f-a268-06e3038cbfd0.jpg","open")</f>
        <v/>
      </c>
      <c r="C10604" t="inlineStr">
        <is>
          <t>18a5c468-d9e6-4814-8477-1caf4a2e1fe9</t>
        </is>
      </c>
      <c r="D10604" t="n">
        <v>55.96747</v>
      </c>
      <c r="E10604" t="n">
        <v>37.40305</v>
      </c>
      <c r="F10604" t="inlineStr"/>
      <c r="G10604" t="inlineStr"/>
      <c r="H10604" t="inlineStr"/>
    </row>
    <row r="10605">
      <c r="A10605" t="inlineStr">
        <is>
          <t>41fd02f9-1934-4adf-a9e2-e25669325ec6.jpg</t>
        </is>
      </c>
      <c r="B10605">
        <f>HYPERLINK("Объекты недвижимости, не соответствующие градостроительным нормам_00-022_Август/41fd02f9-1934-4adf-a9e2-e25669325ec6.jpg","open")</f>
        <v/>
      </c>
      <c r="C10605" t="inlineStr">
        <is>
          <t>fb9a37cc-57a6-447c-98bb-0b299f09c809</t>
        </is>
      </c>
      <c r="D10605" t="n">
        <v>55.88678</v>
      </c>
      <c r="E10605" t="n">
        <v>37.51112</v>
      </c>
      <c r="F10605" t="inlineStr"/>
      <c r="G10605" t="inlineStr"/>
      <c r="H10605" t="inlineStr"/>
    </row>
    <row r="10606">
      <c r="A10606" t="inlineStr">
        <is>
          <t>d3463554-4dca-4de1-a203-5740258253c1.jpg</t>
        </is>
      </c>
      <c r="B10606">
        <f>HYPERLINK("Объекты недвижимости, не соответствующие градостроительным нормам_00-022_Август/d3463554-4dca-4de1-a203-5740258253c1.jpg","open")</f>
        <v/>
      </c>
      <c r="C10606" t="inlineStr">
        <is>
          <t>18a5c468-d9e6-4814-8477-1caf4a2e1fe9</t>
        </is>
      </c>
      <c r="D10606" t="n">
        <v>55.96747</v>
      </c>
      <c r="E10606" t="n">
        <v>37.40305</v>
      </c>
      <c r="F10606" t="inlineStr"/>
      <c r="G10606" t="inlineStr"/>
      <c r="H10606" t="inlineStr"/>
    </row>
    <row r="10607">
      <c r="A10607" t="inlineStr">
        <is>
          <t>5e84a2d8-708e-4a35-a986-36979f3e8201.jpg</t>
        </is>
      </c>
      <c r="B10607">
        <f>HYPERLINK("Объекты недвижимости, не соответствующие градостроительным нормам_00-022_Август/5e84a2d8-708e-4a35-a986-36979f3e8201.jpg","open")</f>
        <v/>
      </c>
      <c r="C10607" t="inlineStr">
        <is>
          <t>18a5c468-d9e6-4814-8477-1caf4a2e1fe9</t>
        </is>
      </c>
      <c r="D10607" t="n">
        <v>55.96747</v>
      </c>
      <c r="E10607" t="n">
        <v>37.40305</v>
      </c>
      <c r="F10607" t="inlineStr"/>
      <c r="G10607" t="inlineStr"/>
      <c r="H10607" t="inlineStr"/>
    </row>
    <row r="10608">
      <c r="A10608" t="inlineStr">
        <is>
          <t>37104cec-2874-4be6-9809-3a4ca3384f97.jpg</t>
        </is>
      </c>
      <c r="B10608">
        <f>HYPERLINK("Объекты недвижимости, не соответствующие градостроительным нормам_00-022_Август/37104cec-2874-4be6-9809-3a4ca3384f97.jpg","open")</f>
        <v/>
      </c>
      <c r="C10608" t="inlineStr">
        <is>
          <t>18a5c468-d9e6-4814-8477-1caf4a2e1fe9</t>
        </is>
      </c>
      <c r="D10608" t="n">
        <v>55.96747</v>
      </c>
      <c r="E10608" t="n">
        <v>37.40305</v>
      </c>
      <c r="F10608" t="inlineStr"/>
      <c r="G10608" t="inlineStr"/>
      <c r="H10608" t="inlineStr"/>
    </row>
    <row r="10609">
      <c r="A10609" t="inlineStr">
        <is>
          <t>09cc2821-2208-4a19-9991-cf485271d9d7.jpg</t>
        </is>
      </c>
      <c r="B10609">
        <f>HYPERLINK("Объекты недвижимости, не соответствующие градостроительным нормам_00-022_Август/09cc2821-2208-4a19-9991-cf485271d9d7.jpg","open")</f>
        <v/>
      </c>
      <c r="C10609" t="inlineStr">
        <is>
          <t>18a5c468-d9e6-4814-8477-1caf4a2e1fe9</t>
        </is>
      </c>
      <c r="D10609" t="n">
        <v>55.96747</v>
      </c>
      <c r="E10609" t="n">
        <v>37.40305</v>
      </c>
      <c r="F10609" t="inlineStr"/>
      <c r="G10609" t="inlineStr"/>
      <c r="H10609" t="inlineStr"/>
    </row>
    <row r="10610">
      <c r="A10610" t="inlineStr">
        <is>
          <t>15d0b669-3f68-4580-ac37-6ec9d0d47d88.jpg</t>
        </is>
      </c>
      <c r="B10610">
        <f>HYPERLINK("Объекты недвижимости, не соответствующие градостроительным нормам_00-022_Август/15d0b669-3f68-4580-ac37-6ec9d0d47d88.jpg","open")</f>
        <v/>
      </c>
      <c r="C10610" t="inlineStr">
        <is>
          <t>8996eb30-6497-4318-8a0e-b95314b8172e</t>
        </is>
      </c>
      <c r="D10610" t="n">
        <v>55.73555</v>
      </c>
      <c r="E10610" t="n">
        <v>37.76316</v>
      </c>
      <c r="F10610" t="inlineStr"/>
      <c r="G10610" t="inlineStr"/>
      <c r="H10610" t="inlineStr"/>
    </row>
    <row r="10611">
      <c r="A10611" t="inlineStr">
        <is>
          <t>f9996a71-c971-41d0-9845-87842f8caa83.jpg</t>
        </is>
      </c>
      <c r="B10611">
        <f>HYPERLINK("Объекты недвижимости, не соответствующие градостроительным нормам_00-022_Август/f9996a71-c971-41d0-9845-87842f8caa83.jpg","open")</f>
        <v/>
      </c>
      <c r="C10611" t="inlineStr">
        <is>
          <t>18a5c468-d9e6-4814-8477-1caf4a2e1fe9</t>
        </is>
      </c>
      <c r="D10611" t="n">
        <v>55.96747</v>
      </c>
      <c r="E10611" t="n">
        <v>37.40305</v>
      </c>
      <c r="F10611" t="inlineStr"/>
      <c r="G10611" t="inlineStr"/>
      <c r="H10611" t="inlineStr"/>
    </row>
    <row r="10612">
      <c r="A10612" t="inlineStr">
        <is>
          <t>b944728e-f4b3-49b7-89d3-5fcc5f0b5522.jpg</t>
        </is>
      </c>
      <c r="B10612">
        <f>HYPERLINK("Объекты недвижимости, не соответствующие градостроительным нормам_00-022_Август/b944728e-f4b3-49b7-89d3-5fcc5f0b5522.jpg","open")</f>
        <v/>
      </c>
      <c r="C10612" t="inlineStr">
        <is>
          <t>18a5c468-d9e6-4814-8477-1caf4a2e1fe9</t>
        </is>
      </c>
      <c r="D10612" t="n">
        <v>55.96747</v>
      </c>
      <c r="E10612" t="n">
        <v>37.40305</v>
      </c>
      <c r="F10612" t="inlineStr"/>
      <c r="G10612" t="inlineStr"/>
      <c r="H10612" t="inlineStr"/>
    </row>
    <row r="10613">
      <c r="A10613" t="inlineStr">
        <is>
          <t>0c76a7e3-1e37-4122-ac43-3e70677a2042.jpg</t>
        </is>
      </c>
      <c r="B10613">
        <f>HYPERLINK("Объекты недвижимости, не соответствующие градостроительным нормам_00-022_Август/0c76a7e3-1e37-4122-ac43-3e70677a2042.jpg","open")</f>
        <v/>
      </c>
      <c r="C10613" t="inlineStr">
        <is>
          <t>18a5c468-d9e6-4814-8477-1caf4a2e1fe9</t>
        </is>
      </c>
      <c r="D10613" t="n">
        <v>55.96747</v>
      </c>
      <c r="E10613" t="n">
        <v>37.40305</v>
      </c>
      <c r="F10613" t="inlineStr"/>
      <c r="G10613" t="inlineStr"/>
      <c r="H10613" t="inlineStr"/>
    </row>
    <row r="10614">
      <c r="A10614" t="inlineStr">
        <is>
          <t>e4b102d8-1bf6-44ec-9b72-15857fd0c07c.jpg</t>
        </is>
      </c>
      <c r="B10614">
        <f>HYPERLINK("Объекты недвижимости, не соответствующие градостроительным нормам_00-022_Август/e4b102d8-1bf6-44ec-9b72-15857fd0c07c.jpg","open")</f>
        <v/>
      </c>
      <c r="C10614" t="inlineStr">
        <is>
          <t>18a5c468-d9e6-4814-8477-1caf4a2e1fe9</t>
        </is>
      </c>
      <c r="D10614" t="n">
        <v>55.96747</v>
      </c>
      <c r="E10614" t="n">
        <v>37.40305</v>
      </c>
      <c r="F10614" t="inlineStr"/>
      <c r="G10614" t="inlineStr"/>
      <c r="H10614" t="inlineStr"/>
    </row>
    <row r="10615">
      <c r="A10615" t="inlineStr">
        <is>
          <t>0f825bce-45ac-49f2-aa03-29ef6fafd8d1.jpg</t>
        </is>
      </c>
      <c r="B10615">
        <f>HYPERLINK("Объекты недвижимости, не соответствующие градостроительным нормам_00-022_Август/0f825bce-45ac-49f2-aa03-29ef6fafd8d1.jpg","open")</f>
        <v/>
      </c>
      <c r="C10615" t="inlineStr">
        <is>
          <t>18a5c468-d9e6-4814-8477-1caf4a2e1fe9</t>
        </is>
      </c>
      <c r="D10615" t="n">
        <v>55.96747</v>
      </c>
      <c r="E10615" t="n">
        <v>37.40305</v>
      </c>
      <c r="F10615" t="inlineStr"/>
      <c r="G10615" t="inlineStr"/>
      <c r="H10615" t="inlineStr"/>
    </row>
    <row r="10616">
      <c r="A10616" t="inlineStr">
        <is>
          <t>fdd17adc-8f87-498c-bf05-04632d14d262.jpg</t>
        </is>
      </c>
      <c r="B10616">
        <f>HYPERLINK("Объекты недвижимости, не соответствующие градостроительным нормам_00-022_Август/fdd17adc-8f87-498c-bf05-04632d14d262.jpg","open")</f>
        <v/>
      </c>
      <c r="C10616" t="inlineStr">
        <is>
          <t>18a5c468-d9e6-4814-8477-1caf4a2e1fe9</t>
        </is>
      </c>
      <c r="D10616" t="n">
        <v>55.96747</v>
      </c>
      <c r="E10616" t="n">
        <v>37.40305</v>
      </c>
      <c r="F10616" t="inlineStr"/>
      <c r="G10616" t="inlineStr"/>
      <c r="H10616" t="inlineStr"/>
    </row>
    <row r="10617">
      <c r="A10617" t="inlineStr">
        <is>
          <t>c332a770-5974-42ab-851e-5ea57cc15df4.jpg</t>
        </is>
      </c>
      <c r="B10617">
        <f>HYPERLINK("Объекты недвижимости, не соответствующие градостроительным нормам_00-022_Август/c332a770-5974-42ab-851e-5ea57cc15df4.jpg","open")</f>
        <v/>
      </c>
      <c r="C10617" t="inlineStr">
        <is>
          <t>18a5c468-d9e6-4814-8477-1caf4a2e1fe9</t>
        </is>
      </c>
      <c r="D10617" t="n">
        <v>55.96747</v>
      </c>
      <c r="E10617" t="n">
        <v>37.40305</v>
      </c>
      <c r="F10617" t="inlineStr"/>
      <c r="G10617" t="inlineStr"/>
      <c r="H10617" t="inlineStr"/>
    </row>
    <row r="10618">
      <c r="A10618" t="inlineStr">
        <is>
          <t>fdcbe2b7-a985-43f2-bc51-064249543d8f.jpg</t>
        </is>
      </c>
      <c r="B10618">
        <f>HYPERLINK("Объекты недвижимости, не соответствующие градостроительным нормам_00-022_Август/fdcbe2b7-a985-43f2-bc51-064249543d8f.jpg","open")</f>
        <v/>
      </c>
      <c r="C10618" t="inlineStr">
        <is>
          <t>18a5c468-d9e6-4814-8477-1caf4a2e1fe9</t>
        </is>
      </c>
      <c r="D10618" t="n">
        <v>55.96747</v>
      </c>
      <c r="E10618" t="n">
        <v>37.40305</v>
      </c>
      <c r="F10618" t="inlineStr"/>
      <c r="G10618" t="inlineStr"/>
      <c r="H10618" t="inlineStr"/>
    </row>
    <row r="10619">
      <c r="A10619" t="inlineStr">
        <is>
          <t>5f5931c4-1745-4d99-b1d2-e5bd077070aa.jpg</t>
        </is>
      </c>
      <c r="B10619">
        <f>HYPERLINK("Объекты недвижимости, не соответствующие градостроительным нормам_00-022_Август/5f5931c4-1745-4d99-b1d2-e5bd077070aa.jpg","open")</f>
        <v/>
      </c>
      <c r="C10619" t="inlineStr">
        <is>
          <t>18a5c468-d9e6-4814-8477-1caf4a2e1fe9</t>
        </is>
      </c>
      <c r="D10619" t="n">
        <v>55.96747</v>
      </c>
      <c r="E10619" t="n">
        <v>37.40305</v>
      </c>
      <c r="F10619" t="inlineStr"/>
      <c r="G10619" t="inlineStr"/>
      <c r="H10619" t="inlineStr"/>
    </row>
    <row r="10620">
      <c r="A10620" t="inlineStr">
        <is>
          <t>7ba3ee57-b8a6-418b-8a8a-152045463d2a.jpg</t>
        </is>
      </c>
      <c r="B10620">
        <f>HYPERLINK("Объекты недвижимости, не соответствующие градостроительным нормам_00-022_Август/7ba3ee57-b8a6-418b-8a8a-152045463d2a.jpg","open")</f>
        <v/>
      </c>
      <c r="C10620" t="inlineStr">
        <is>
          <t>48b533d5-d106-4175-ac9b-d5ce8d90cccf</t>
        </is>
      </c>
      <c r="D10620" t="n">
        <v>55.73616</v>
      </c>
      <c r="E10620" t="n">
        <v>37.76099</v>
      </c>
      <c r="F10620" t="inlineStr"/>
      <c r="G10620" t="inlineStr"/>
      <c r="H10620" t="inlineStr"/>
    </row>
    <row r="10621">
      <c r="A10621" t="inlineStr">
        <is>
          <t>e320f7d6-8058-426e-911d-a0c939cf3d60.jpg</t>
        </is>
      </c>
      <c r="B10621">
        <f>HYPERLINK("Объекты недвижимости, не соответствующие градостроительным нормам_00-022_Август/e320f7d6-8058-426e-911d-a0c939cf3d60.jpg","open")</f>
        <v/>
      </c>
      <c r="C10621" t="inlineStr">
        <is>
          <t>18a5c468-d9e6-4814-8477-1caf4a2e1fe9</t>
        </is>
      </c>
      <c r="D10621" t="n">
        <v>55.96747</v>
      </c>
      <c r="E10621" t="n">
        <v>37.40305</v>
      </c>
      <c r="F10621" t="inlineStr"/>
      <c r="G10621" t="inlineStr"/>
      <c r="H10621" t="inlineStr"/>
    </row>
    <row r="10622">
      <c r="A10622" t="inlineStr">
        <is>
          <t>ea372d63-d03d-42b2-b1ee-d4efb0f3cf70.jpg</t>
        </is>
      </c>
      <c r="B10622">
        <f>HYPERLINK("Объекты недвижимости, не соответствующие градостроительным нормам_00-022_Август/ea372d63-d03d-42b2-b1ee-d4efb0f3cf70.jpg","open")</f>
        <v/>
      </c>
      <c r="C10622" t="inlineStr">
        <is>
          <t>18a5c468-d9e6-4814-8477-1caf4a2e1fe9</t>
        </is>
      </c>
      <c r="D10622" t="n">
        <v>55.96747</v>
      </c>
      <c r="E10622" t="n">
        <v>37.40305</v>
      </c>
      <c r="F10622" t="inlineStr"/>
      <c r="G10622" t="inlineStr"/>
      <c r="H10622" t="inlineStr"/>
    </row>
    <row r="10623">
      <c r="A10623" t="inlineStr">
        <is>
          <t>06f90f00-3afb-4972-8ca6-13933ebb4c2c.jpg</t>
        </is>
      </c>
      <c r="B10623">
        <f>HYPERLINK("Объекты недвижимости, не соответствующие градостроительным нормам_00-022_Август/06f90f00-3afb-4972-8ca6-13933ebb4c2c.jpg","open")</f>
        <v/>
      </c>
      <c r="C10623" t="inlineStr">
        <is>
          <t>18a5c468-d9e6-4814-8477-1caf4a2e1fe9</t>
        </is>
      </c>
      <c r="D10623" t="n">
        <v>55.96747</v>
      </c>
      <c r="E10623" t="n">
        <v>37.40305</v>
      </c>
      <c r="F10623" t="inlineStr"/>
      <c r="G10623" t="inlineStr"/>
      <c r="H10623" t="inlineStr"/>
    </row>
    <row r="10624">
      <c r="A10624" t="inlineStr">
        <is>
          <t>644e4184-3e2b-4cd5-801f-8f522b55ab81.jpg</t>
        </is>
      </c>
      <c r="B10624">
        <f>HYPERLINK("Объекты недвижимости, не соответствующие градостроительным нормам_00-022_Август/644e4184-3e2b-4cd5-801f-8f522b55ab81.jpg","open")</f>
        <v/>
      </c>
      <c r="C10624" t="inlineStr">
        <is>
          <t>18a5c468-d9e6-4814-8477-1caf4a2e1fe9</t>
        </is>
      </c>
      <c r="D10624" t="n">
        <v>55.96747</v>
      </c>
      <c r="E10624" t="n">
        <v>37.40305</v>
      </c>
      <c r="F10624" t="inlineStr"/>
      <c r="G10624" t="inlineStr"/>
      <c r="H10624" t="inlineStr"/>
    </row>
    <row r="10625">
      <c r="A10625" t="inlineStr">
        <is>
          <t>a923dc3c-eaca-41a1-b110-4d9881590355.jpg</t>
        </is>
      </c>
      <c r="B10625">
        <f>HYPERLINK("Объекты недвижимости, не соответствующие градостроительным нормам_00-022_Август/a923dc3c-eaca-41a1-b110-4d9881590355.jpg","open")</f>
        <v/>
      </c>
      <c r="C10625" t="inlineStr">
        <is>
          <t>9fb3d110-951f-48da-9d90-cfd7e1b5800d</t>
        </is>
      </c>
      <c r="D10625" t="n">
        <v>55.71244</v>
      </c>
      <c r="E10625" t="n">
        <v>37.48938</v>
      </c>
      <c r="F10625" t="inlineStr"/>
      <c r="G10625" t="inlineStr"/>
      <c r="H10625" t="inlineStr"/>
    </row>
    <row r="10626">
      <c r="A10626" t="inlineStr">
        <is>
          <t>4b261f6e-eff3-4f57-9f91-736d4c7804d3.jpg</t>
        </is>
      </c>
      <c r="B10626">
        <f>HYPERLINK("Объекты недвижимости, не соответствующие градостроительным нормам_00-022_Август/4b261f6e-eff3-4f57-9f91-736d4c7804d3.jpg","open")</f>
        <v/>
      </c>
      <c r="C10626" t="inlineStr">
        <is>
          <t>61936922-4d4b-458e-80ea-6d4c450aa1d5</t>
        </is>
      </c>
      <c r="D10626" t="n">
        <v>55.71246</v>
      </c>
      <c r="E10626" t="n">
        <v>37.4892</v>
      </c>
      <c r="F10626" t="inlineStr"/>
      <c r="G10626" t="inlineStr"/>
      <c r="H10626" t="inlineStr"/>
    </row>
    <row r="10627">
      <c r="A10627" t="inlineStr">
        <is>
          <t>ee9cb31e-cd78-4f11-b607-4cc7bf7e9c66.jpg</t>
        </is>
      </c>
      <c r="B10627">
        <f>HYPERLINK("Объекты недвижимости, не соответствующие градостроительным нормам_00-022_Август/ee9cb31e-cd78-4f11-b607-4cc7bf7e9c66.jpg","open")</f>
        <v/>
      </c>
      <c r="C10627" t="inlineStr">
        <is>
          <t>18a5c468-d9e6-4814-8477-1caf4a2e1fe9</t>
        </is>
      </c>
      <c r="D10627" t="n">
        <v>55.96747</v>
      </c>
      <c r="E10627" t="n">
        <v>37.40305</v>
      </c>
      <c r="F10627" t="inlineStr"/>
      <c r="G10627" t="inlineStr"/>
      <c r="H10627" t="inlineStr"/>
    </row>
    <row r="10628">
      <c r="A10628" t="inlineStr">
        <is>
          <t>981c4f22-97f4-4104-b0a3-fe960f3eb102.jpg</t>
        </is>
      </c>
      <c r="B10628">
        <f>HYPERLINK("Объекты недвижимости, не соответствующие градостроительным нормам_00-022_Август/981c4f22-97f4-4104-b0a3-fe960f3eb102.jpg","open")</f>
        <v/>
      </c>
      <c r="C10628" t="inlineStr">
        <is>
          <t>18a5c468-d9e6-4814-8477-1caf4a2e1fe9</t>
        </is>
      </c>
      <c r="D10628" t="n">
        <v>55.96747</v>
      </c>
      <c r="E10628" t="n">
        <v>37.40305</v>
      </c>
      <c r="F10628" t="inlineStr"/>
      <c r="G10628" t="inlineStr"/>
      <c r="H10628" t="inlineStr"/>
    </row>
    <row r="10629">
      <c r="A10629" t="inlineStr">
        <is>
          <t>9098762a-34ec-4849-8edf-033e53920852.jpg</t>
        </is>
      </c>
      <c r="B10629">
        <f>HYPERLINK("Объекты недвижимости, не соответствующие градостроительным нормам_00-022_Август/9098762a-34ec-4849-8edf-033e53920852.jpg","open")</f>
        <v/>
      </c>
      <c r="C10629" t="inlineStr">
        <is>
          <t>18a5c468-d9e6-4814-8477-1caf4a2e1fe9</t>
        </is>
      </c>
      <c r="D10629" t="n">
        <v>55.96747</v>
      </c>
      <c r="E10629" t="n">
        <v>37.40305</v>
      </c>
      <c r="F10629" t="inlineStr"/>
      <c r="G10629" t="inlineStr"/>
      <c r="H10629" t="inlineStr"/>
    </row>
    <row r="10630">
      <c r="A10630" t="inlineStr">
        <is>
          <t>ec7d63df-801b-4085-8c42-755abc78fed2.jpg</t>
        </is>
      </c>
      <c r="B10630">
        <f>HYPERLINK("Объекты недвижимости, не соответствующие градостроительным нормам_00-022_Август/ec7d63df-801b-4085-8c42-755abc78fed2.jpg","open")</f>
        <v/>
      </c>
      <c r="C10630" t="inlineStr">
        <is>
          <t>18a5c468-d9e6-4814-8477-1caf4a2e1fe9</t>
        </is>
      </c>
      <c r="D10630" t="n">
        <v>55.96747</v>
      </c>
      <c r="E10630" t="n">
        <v>37.40305</v>
      </c>
      <c r="F10630" t="inlineStr"/>
      <c r="G10630" t="inlineStr"/>
      <c r="H10630" t="inlineStr"/>
    </row>
    <row r="10631">
      <c r="A10631" t="inlineStr">
        <is>
          <t>cd980e09-96f1-4145-aa64-3d4c658ab15b.jpg</t>
        </is>
      </c>
      <c r="B10631">
        <f>HYPERLINK("Объекты недвижимости, не соответствующие градостроительным нормам_00-022_Август/cd980e09-96f1-4145-aa64-3d4c658ab15b.jpg","open")</f>
        <v/>
      </c>
      <c r="C10631" t="inlineStr">
        <is>
          <t>18a5c468-d9e6-4814-8477-1caf4a2e1fe9</t>
        </is>
      </c>
      <c r="D10631" t="n">
        <v>55.96747</v>
      </c>
      <c r="E10631" t="n">
        <v>37.40305</v>
      </c>
      <c r="F10631" t="inlineStr"/>
      <c r="G10631" t="inlineStr"/>
      <c r="H10631" t="inlineStr"/>
    </row>
    <row r="10632">
      <c r="A10632" t="inlineStr">
        <is>
          <t>11ab7599-ef6b-478b-b46b-3c65fa4a2a95.jpg</t>
        </is>
      </c>
      <c r="B10632">
        <f>HYPERLINK("Объекты недвижимости, не соответствующие градостроительным нормам_00-022_Август/11ab7599-ef6b-478b-b46b-3c65fa4a2a95.jpg","open")</f>
        <v/>
      </c>
      <c r="C10632" t="inlineStr">
        <is>
          <t>18a5c468-d9e6-4814-8477-1caf4a2e1fe9</t>
        </is>
      </c>
      <c r="D10632" t="n">
        <v>55.96747</v>
      </c>
      <c r="E10632" t="n">
        <v>37.40305</v>
      </c>
      <c r="F10632" t="inlineStr"/>
      <c r="G10632" t="inlineStr"/>
      <c r="H10632" t="inlineStr"/>
    </row>
    <row r="10633">
      <c r="A10633" t="inlineStr">
        <is>
          <t>3f65d619-3502-4d1c-9c90-3ad24f0c1d6e.jpg</t>
        </is>
      </c>
      <c r="B10633">
        <f>HYPERLINK("Объекты недвижимости, не соответствующие градостроительным нормам_00-022_Август/3f65d619-3502-4d1c-9c90-3ad24f0c1d6e.jpg","open")</f>
        <v/>
      </c>
      <c r="C10633" t="inlineStr">
        <is>
          <t>18a5c468-d9e6-4814-8477-1caf4a2e1fe9</t>
        </is>
      </c>
      <c r="D10633" t="n">
        <v>55.96747</v>
      </c>
      <c r="E10633" t="n">
        <v>37.40305</v>
      </c>
      <c r="F10633" t="inlineStr"/>
      <c r="G10633" t="inlineStr"/>
      <c r="H10633" t="inlineStr"/>
    </row>
    <row r="10634">
      <c r="A10634" t="inlineStr">
        <is>
          <t>bbfa4697-f3bf-4ddd-a537-45967ac0ad8c.jpg</t>
        </is>
      </c>
      <c r="B10634">
        <f>HYPERLINK("Объекты недвижимости, не соответствующие градостроительным нормам_00-022_Август/bbfa4697-f3bf-4ddd-a537-45967ac0ad8c.jpg","open")</f>
        <v/>
      </c>
      <c r="C10634" t="inlineStr">
        <is>
          <t>18a5c468-d9e6-4814-8477-1caf4a2e1fe9</t>
        </is>
      </c>
      <c r="D10634" t="n">
        <v>55.96747</v>
      </c>
      <c r="E10634" t="n">
        <v>37.40305</v>
      </c>
      <c r="F10634" t="inlineStr"/>
      <c r="G10634" t="inlineStr"/>
      <c r="H10634" t="inlineStr"/>
    </row>
    <row r="10635">
      <c r="A10635" t="inlineStr">
        <is>
          <t>8d571c1f-0a2c-494f-90ff-b141dc5980c1.jpg</t>
        </is>
      </c>
      <c r="B10635">
        <f>HYPERLINK("Объекты недвижимости, не соответствующие градостроительным нормам_00-022_Август/8d571c1f-0a2c-494f-90ff-b141dc5980c1.jpg","open")</f>
        <v/>
      </c>
      <c r="C10635" t="inlineStr">
        <is>
          <t>caa4772d-6278-4484-a046-ee25514bf521</t>
        </is>
      </c>
      <c r="D10635" t="n">
        <v>55.74145</v>
      </c>
      <c r="E10635" t="n">
        <v>37.51308</v>
      </c>
      <c r="F10635" t="inlineStr"/>
      <c r="G10635" t="inlineStr"/>
      <c r="H10635" t="inlineStr"/>
    </row>
    <row r="10636">
      <c r="A10636" t="inlineStr">
        <is>
          <t>b0ec6f1e-bd24-4deb-a878-c46f3dd57fa2.jpg</t>
        </is>
      </c>
      <c r="B10636">
        <f>HYPERLINK("Объекты недвижимости, не соответствующие градостроительным нормам_00-022_Август/b0ec6f1e-bd24-4deb-a878-c46f3dd57fa2.jpg","open")</f>
        <v/>
      </c>
      <c r="C10636" t="inlineStr">
        <is>
          <t>caa4772d-6278-4484-a046-ee25514bf521</t>
        </is>
      </c>
      <c r="D10636" t="n">
        <v>55.74125</v>
      </c>
      <c r="E10636" t="n">
        <v>37.51344</v>
      </c>
      <c r="F10636" t="inlineStr"/>
      <c r="G10636" t="inlineStr"/>
      <c r="H10636" t="inlineStr"/>
    </row>
    <row r="10637">
      <c r="A10637" t="inlineStr">
        <is>
          <t>59db3815-d106-48ea-b22b-5bae27a5170d.jpg</t>
        </is>
      </c>
      <c r="B10637">
        <f>HYPERLINK("Объекты недвижимости, не соответствующие градостроительным нормам_00-022_Август/59db3815-d106-48ea-b22b-5bae27a5170d.jpg","open")</f>
        <v/>
      </c>
      <c r="C10637" t="inlineStr">
        <is>
          <t>caa4772d-6278-4484-a046-ee25514bf521</t>
        </is>
      </c>
      <c r="D10637" t="n">
        <v>55.74125</v>
      </c>
      <c r="E10637" t="n">
        <v>37.51352</v>
      </c>
      <c r="F10637" t="inlineStr"/>
      <c r="G10637" t="inlineStr"/>
      <c r="H10637" t="inlineStr"/>
    </row>
    <row r="10638">
      <c r="A10638" t="inlineStr">
        <is>
          <t>95dda265-0de4-4535-a048-1c902bedad88.jpg</t>
        </is>
      </c>
      <c r="B10638">
        <f>HYPERLINK("Объекты недвижимости, не соответствующие градостроительным нормам_00-022_Август/95dda265-0de4-4535-a048-1c902bedad88.jpg","open")</f>
        <v/>
      </c>
      <c r="C10638" t="inlineStr">
        <is>
          <t>caa4772d-6278-4484-a046-ee25514bf521</t>
        </is>
      </c>
      <c r="D10638" t="n">
        <v>55.74119</v>
      </c>
      <c r="E10638" t="n">
        <v>37.51361</v>
      </c>
      <c r="F10638" t="inlineStr"/>
      <c r="G10638" t="inlineStr"/>
      <c r="H10638" t="inlineStr"/>
    </row>
    <row r="10639">
      <c r="A10639" t="inlineStr">
        <is>
          <t>14ab8aca-e473-4989-b2ad-89072379ab48.jpg</t>
        </is>
      </c>
      <c r="B10639">
        <f>HYPERLINK("Объекты недвижимости, не соответствующие градостроительным нормам_00-022_Август/14ab8aca-e473-4989-b2ad-89072379ab48.jpg","open")</f>
        <v/>
      </c>
      <c r="C10639" t="inlineStr">
        <is>
          <t>18a5c468-d9e6-4814-8477-1caf4a2e1fe9</t>
        </is>
      </c>
      <c r="D10639" t="n">
        <v>55.96747</v>
      </c>
      <c r="E10639" t="n">
        <v>37.40305</v>
      </c>
      <c r="F10639" t="inlineStr"/>
      <c r="G10639" t="inlineStr"/>
      <c r="H10639" t="inlineStr"/>
    </row>
    <row r="10640">
      <c r="A10640" t="inlineStr">
        <is>
          <t>89bb73b1-1733-42ba-8133-0416563ea4b1.jpg</t>
        </is>
      </c>
      <c r="B10640">
        <f>HYPERLINK("Объекты недвижимости, не соответствующие градостроительным нормам_00-022_Август/89bb73b1-1733-42ba-8133-0416563ea4b1.jpg","open")</f>
        <v/>
      </c>
      <c r="C10640" t="inlineStr">
        <is>
          <t>caa4772d-6278-4484-a046-ee25514bf521</t>
        </is>
      </c>
      <c r="D10640" t="n">
        <v>55.74119</v>
      </c>
      <c r="E10640" t="n">
        <v>37.51362</v>
      </c>
      <c r="F10640" t="inlineStr"/>
      <c r="G10640" t="inlineStr"/>
      <c r="H10640" t="inlineStr"/>
    </row>
    <row r="10641">
      <c r="A10641" t="inlineStr">
        <is>
          <t>d7bba7a2-5cbf-4be7-8d45-61e21a81580f.jpg</t>
        </is>
      </c>
      <c r="B10641">
        <f>HYPERLINK("Объекты недвижимости, не соответствующие градостроительным нормам_00-022_Август/d7bba7a2-5cbf-4be7-8d45-61e21a81580f.jpg","open")</f>
        <v/>
      </c>
      <c r="C10641" t="inlineStr">
        <is>
          <t>18a5c468-d9e6-4814-8477-1caf4a2e1fe9</t>
        </is>
      </c>
      <c r="D10641" t="n">
        <v>55.96747</v>
      </c>
      <c r="E10641" t="n">
        <v>37.40305</v>
      </c>
      <c r="F10641" t="inlineStr"/>
      <c r="G10641" t="inlineStr"/>
      <c r="H10641" t="inlineStr"/>
    </row>
    <row r="10642">
      <c r="A10642" t="inlineStr">
        <is>
          <t>3bcbcb83-75f3-430f-9495-83e9efbde28a.jpg</t>
        </is>
      </c>
      <c r="B10642">
        <f>HYPERLINK("Объекты недвижимости, не соответствующие градостроительным нормам_00-022_Август/3bcbcb83-75f3-430f-9495-83e9efbde28a.jpg","open")</f>
        <v/>
      </c>
      <c r="C10642" t="inlineStr">
        <is>
          <t>18a5c468-d9e6-4814-8477-1caf4a2e1fe9</t>
        </is>
      </c>
      <c r="D10642" t="n">
        <v>55.96747</v>
      </c>
      <c r="E10642" t="n">
        <v>37.40305</v>
      </c>
      <c r="F10642" t="inlineStr"/>
      <c r="G10642" t="inlineStr"/>
      <c r="H10642" t="inlineStr"/>
    </row>
    <row r="10643">
      <c r="A10643" t="inlineStr">
        <is>
          <t>6eac59eb-e4d1-4b41-af15-aa972d4b5fcd.jpg</t>
        </is>
      </c>
      <c r="B10643">
        <f>HYPERLINK("Объекты недвижимости, не соответствующие градостроительным нормам_00-022_Август/6eac59eb-e4d1-4b41-af15-aa972d4b5fcd.jpg","open")</f>
        <v/>
      </c>
      <c r="C10643" t="inlineStr">
        <is>
          <t>8996eb30-6497-4318-8a0e-b95314b8172e</t>
        </is>
      </c>
      <c r="D10643" t="n">
        <v>55.73677</v>
      </c>
      <c r="E10643" t="n">
        <v>37.75124</v>
      </c>
      <c r="F10643" t="inlineStr"/>
      <c r="G10643" t="inlineStr"/>
      <c r="H10643" t="inlineStr"/>
    </row>
    <row r="10644">
      <c r="A10644" t="inlineStr">
        <is>
          <t>5b6ec3e3-7f27-4514-a8b0-ce4dec3435b8.jpg</t>
        </is>
      </c>
      <c r="B10644">
        <f>HYPERLINK("Объекты недвижимости, не соответствующие градостроительным нормам_00-022_Август/5b6ec3e3-7f27-4514-a8b0-ce4dec3435b8.jpg","open")</f>
        <v/>
      </c>
      <c r="C10644" t="inlineStr">
        <is>
          <t>18a5c468-d9e6-4814-8477-1caf4a2e1fe9</t>
        </is>
      </c>
      <c r="D10644" t="n">
        <v>55.96747</v>
      </c>
      <c r="E10644" t="n">
        <v>37.40305</v>
      </c>
      <c r="F10644" t="inlineStr"/>
      <c r="G10644" t="inlineStr"/>
      <c r="H10644" t="inlineStr"/>
    </row>
    <row r="10645">
      <c r="A10645" t="inlineStr">
        <is>
          <t>1081e5f2-444d-4328-9f21-e500b4b80fe6.jpg</t>
        </is>
      </c>
      <c r="B10645">
        <f>HYPERLINK("Объекты недвижимости, не соответствующие градостроительным нормам_00-022_Август/1081e5f2-444d-4328-9f21-e500b4b80fe6.jpg","open")</f>
        <v/>
      </c>
      <c r="C10645" t="inlineStr">
        <is>
          <t>18a5c468-d9e6-4814-8477-1caf4a2e1fe9</t>
        </is>
      </c>
      <c r="D10645" t="n">
        <v>55.96747</v>
      </c>
      <c r="E10645" t="n">
        <v>37.40305</v>
      </c>
      <c r="F10645" t="inlineStr"/>
      <c r="G10645" t="inlineStr"/>
      <c r="H10645" t="inlineStr"/>
    </row>
    <row r="10646">
      <c r="A10646" t="inlineStr">
        <is>
          <t>3e217bf0-976e-4ce1-abe2-3f0e9ec9c7b1.jpg</t>
        </is>
      </c>
      <c r="B10646">
        <f>HYPERLINK("Объекты недвижимости, не соответствующие градостроительным нормам_00-022_Август/3e217bf0-976e-4ce1-abe2-3f0e9ec9c7b1.jpg","open")</f>
        <v/>
      </c>
      <c r="C10646" t="inlineStr">
        <is>
          <t>fce890a6-27da-4062-a046-08262a160ee6</t>
        </is>
      </c>
      <c r="D10646" t="n">
        <v>55.96441</v>
      </c>
      <c r="E10646" t="n">
        <v>37.41386</v>
      </c>
      <c r="F10646" t="inlineStr"/>
      <c r="G10646" t="inlineStr"/>
      <c r="H10646" t="inlineStr"/>
    </row>
    <row r="10647">
      <c r="A10647" t="inlineStr">
        <is>
          <t>7191871a-cdab-46ed-b613-784a72cbffb1.jpg</t>
        </is>
      </c>
      <c r="B10647">
        <f>HYPERLINK("Объекты недвижимости, не соответствующие градостроительным нормам_00-022_Август/7191871a-cdab-46ed-b613-784a72cbffb1.jpg","open")</f>
        <v/>
      </c>
      <c r="C10647" t="inlineStr">
        <is>
          <t>18a5c468-d9e6-4814-8477-1caf4a2e1fe9</t>
        </is>
      </c>
      <c r="D10647" t="n">
        <v>55.96747</v>
      </c>
      <c r="E10647" t="n">
        <v>37.40305</v>
      </c>
      <c r="F10647" t="inlineStr"/>
      <c r="G10647" t="inlineStr"/>
      <c r="H10647" t="inlineStr"/>
    </row>
    <row r="10648">
      <c r="A10648" t="inlineStr">
        <is>
          <t>b3000b2a-c45e-429c-b983-41ac8f6b9a33.jpg</t>
        </is>
      </c>
      <c r="B10648">
        <f>HYPERLINK("Объекты недвижимости, не соответствующие градостроительным нормам_00-022_Август/b3000b2a-c45e-429c-b983-41ac8f6b9a33.jpg","open")</f>
        <v/>
      </c>
      <c r="C10648" t="inlineStr">
        <is>
          <t>8996eb30-6497-4318-8a0e-b95314b8172e</t>
        </is>
      </c>
      <c r="D10648" t="n">
        <v>55.73476</v>
      </c>
      <c r="E10648" t="n">
        <v>37.74108</v>
      </c>
      <c r="F10648" t="inlineStr"/>
      <c r="G10648" t="inlineStr"/>
      <c r="H10648" t="inlineStr"/>
    </row>
    <row r="10649">
      <c r="A10649" t="inlineStr">
        <is>
          <t>be40f33e-8b0a-4320-b05b-c00c9d9040c5.jpg</t>
        </is>
      </c>
      <c r="B10649">
        <f>HYPERLINK("Объекты недвижимости, не соответствующие градостроительным нормам_00-022_Август/be40f33e-8b0a-4320-b05b-c00c9d9040c5.jpg","open")</f>
        <v/>
      </c>
      <c r="C10649" t="inlineStr">
        <is>
          <t>18a5c468-d9e6-4814-8477-1caf4a2e1fe9</t>
        </is>
      </c>
      <c r="D10649" t="n">
        <v>55.96747</v>
      </c>
      <c r="E10649" t="n">
        <v>37.40305</v>
      </c>
      <c r="F10649" t="inlineStr"/>
      <c r="G10649" t="inlineStr"/>
      <c r="H10649" t="inlineStr"/>
    </row>
    <row r="10650">
      <c r="A10650" t="inlineStr">
        <is>
          <t>33dc2f97-8dc8-4b29-88a3-a0b1f9da43a0.jpg</t>
        </is>
      </c>
      <c r="B10650">
        <f>HYPERLINK("Объекты недвижимости, не соответствующие градостроительным нормам_00-022_Август/33dc2f97-8dc8-4b29-88a3-a0b1f9da43a0.jpg","open")</f>
        <v/>
      </c>
      <c r="C10650" t="inlineStr">
        <is>
          <t>18a5c468-d9e6-4814-8477-1caf4a2e1fe9</t>
        </is>
      </c>
      <c r="D10650" t="n">
        <v>55.96747</v>
      </c>
      <c r="E10650" t="n">
        <v>37.40305</v>
      </c>
      <c r="F10650" t="inlineStr"/>
      <c r="G10650" t="inlineStr"/>
      <c r="H10650" t="inlineStr"/>
    </row>
    <row r="10651">
      <c r="A10651" t="inlineStr">
        <is>
          <t>150b023e-fb8a-4119-ace9-31efa41493ec.jpg</t>
        </is>
      </c>
      <c r="B10651">
        <f>HYPERLINK("Объекты недвижимости, не соответствующие градостроительным нормам_00-022_Август/150b023e-fb8a-4119-ace9-31efa41493ec.jpg","open")</f>
        <v/>
      </c>
      <c r="C10651" t="inlineStr">
        <is>
          <t>ffd931da-542f-43e9-979f-5552b17fe3dc</t>
        </is>
      </c>
      <c r="D10651" t="n">
        <v>55.8282</v>
      </c>
      <c r="E10651" t="n">
        <v>37.81161</v>
      </c>
      <c r="F10651" t="inlineStr"/>
      <c r="G10651" t="inlineStr"/>
      <c r="H10651" t="inlineStr"/>
    </row>
    <row r="10652">
      <c r="A10652" t="inlineStr">
        <is>
          <t>a76bae3c-4e8d-4d7d-8a6f-6acb432391a1.jpg</t>
        </is>
      </c>
      <c r="B10652">
        <f>HYPERLINK("Объекты недвижимости, не соответствующие градостроительным нормам_00-022_Август/a76bae3c-4e8d-4d7d-8a6f-6acb432391a1.jpg","open")</f>
        <v/>
      </c>
      <c r="C10652" t="inlineStr">
        <is>
          <t>18a5c468-d9e6-4814-8477-1caf4a2e1fe9</t>
        </is>
      </c>
      <c r="D10652" t="n">
        <v>55.96747</v>
      </c>
      <c r="E10652" t="n">
        <v>37.40305</v>
      </c>
      <c r="F10652" t="inlineStr"/>
      <c r="G10652" t="inlineStr"/>
      <c r="H10652" t="inlineStr"/>
    </row>
    <row r="10653">
      <c r="A10653" t="inlineStr">
        <is>
          <t>14427bff-2088-4421-b22d-1b34aab9d4f1.jpg</t>
        </is>
      </c>
      <c r="B10653">
        <f>HYPERLINK("Объекты недвижимости, не соответствующие градостроительным нормам_00-022_Август/14427bff-2088-4421-b22d-1b34aab9d4f1.jpg","open")</f>
        <v/>
      </c>
      <c r="C10653" t="inlineStr">
        <is>
          <t>18a5c468-d9e6-4814-8477-1caf4a2e1fe9</t>
        </is>
      </c>
      <c r="D10653" t="n">
        <v>55.96747</v>
      </c>
      <c r="E10653" t="n">
        <v>37.40305</v>
      </c>
      <c r="F10653" t="inlineStr"/>
      <c r="G10653" t="inlineStr"/>
      <c r="H10653" t="inlineStr"/>
    </row>
    <row r="10654">
      <c r="A10654" t="inlineStr">
        <is>
          <t>90108ded-a0a8-449d-9446-798e9f4dac96.jpg</t>
        </is>
      </c>
      <c r="B10654">
        <f>HYPERLINK("Объекты недвижимости, не соответствующие градостроительным нормам_00-022_Август/90108ded-a0a8-449d-9446-798e9f4dac96.jpg","open")</f>
        <v/>
      </c>
      <c r="C10654" t="inlineStr">
        <is>
          <t>18a5c468-d9e6-4814-8477-1caf4a2e1fe9</t>
        </is>
      </c>
      <c r="D10654" t="n">
        <v>55.96747</v>
      </c>
      <c r="E10654" t="n">
        <v>37.40305</v>
      </c>
      <c r="F10654" t="inlineStr"/>
      <c r="G10654" t="inlineStr"/>
      <c r="H10654" t="inlineStr"/>
    </row>
    <row r="10655">
      <c r="A10655" t="inlineStr">
        <is>
          <t>774abcda-9361-4b89-86a5-7148da387cff.jpg</t>
        </is>
      </c>
      <c r="B10655">
        <f>HYPERLINK("Объекты недвижимости, не соответствующие градостроительным нормам_00-022_Август/774abcda-9361-4b89-86a5-7148da387cff.jpg","open")</f>
        <v/>
      </c>
      <c r="C10655" t="inlineStr">
        <is>
          <t>18a5c468-d9e6-4814-8477-1caf4a2e1fe9</t>
        </is>
      </c>
      <c r="D10655" t="n">
        <v>55.96747</v>
      </c>
      <c r="E10655" t="n">
        <v>37.40305</v>
      </c>
      <c r="F10655" t="inlineStr"/>
      <c r="G10655" t="inlineStr"/>
      <c r="H10655" t="inlineStr"/>
    </row>
    <row r="10656">
      <c r="A10656" t="inlineStr">
        <is>
          <t>9ad78179-3a8b-4207-8f4e-755b63cc7a86.jpg</t>
        </is>
      </c>
      <c r="B10656">
        <f>HYPERLINK("Объекты недвижимости, не соответствующие градостроительным нормам_00-022_Август/9ad78179-3a8b-4207-8f4e-755b63cc7a86.jpg","open")</f>
        <v/>
      </c>
      <c r="C10656" t="inlineStr">
        <is>
          <t>685d9054-b74f-49ab-857b-109fd2cec80d</t>
        </is>
      </c>
      <c r="D10656" t="n">
        <v>55.67125</v>
      </c>
      <c r="E10656" t="n">
        <v>37.55891</v>
      </c>
      <c r="F10656" t="inlineStr"/>
      <c r="G10656" t="inlineStr"/>
      <c r="H10656" t="inlineStr"/>
    </row>
    <row r="10657">
      <c r="A10657" t="inlineStr">
        <is>
          <t>0c18c1b4-9760-4529-9c55-57e82b6720a2.jpg</t>
        </is>
      </c>
      <c r="B10657">
        <f>HYPERLINK("Объекты недвижимости, не соответствующие градостроительным нормам_00-022_Август/0c18c1b4-9760-4529-9c55-57e82b6720a2.jpg","open")</f>
        <v/>
      </c>
      <c r="C10657" t="inlineStr">
        <is>
          <t>18a5c468-d9e6-4814-8477-1caf4a2e1fe9</t>
        </is>
      </c>
      <c r="D10657" t="n">
        <v>55.96747</v>
      </c>
      <c r="E10657" t="n">
        <v>37.40305</v>
      </c>
      <c r="F10657" t="inlineStr"/>
      <c r="G10657" t="inlineStr"/>
      <c r="H10657" t="inlineStr"/>
    </row>
    <row r="10658">
      <c r="A10658" t="inlineStr">
        <is>
          <t>14588f80-9482-48be-a78b-b6cfe363300a.jpg</t>
        </is>
      </c>
      <c r="B10658">
        <f>HYPERLINK("Объекты недвижимости, не соответствующие градостроительным нормам_00-022_Август/14588f80-9482-48be-a78b-b6cfe363300a.jpg","open")</f>
        <v/>
      </c>
      <c r="C10658" t="inlineStr">
        <is>
          <t>18a5c468-d9e6-4814-8477-1caf4a2e1fe9</t>
        </is>
      </c>
      <c r="D10658" t="n">
        <v>55.96747</v>
      </c>
      <c r="E10658" t="n">
        <v>37.40305</v>
      </c>
      <c r="F10658" t="inlineStr"/>
      <c r="G10658" t="inlineStr"/>
      <c r="H10658" t="inlineStr"/>
    </row>
    <row r="10659">
      <c r="A10659" t="inlineStr">
        <is>
          <t>a66cedc0-a380-4b16-9a67-f67e355c6664.jpg</t>
        </is>
      </c>
      <c r="B10659">
        <f>HYPERLINK("Объекты недвижимости, не соответствующие градостроительным нормам_00-022_Август/a66cedc0-a380-4b16-9a67-f67e355c6664.jpg","open")</f>
        <v/>
      </c>
      <c r="C10659" t="inlineStr">
        <is>
          <t>b0b7ea82-53be-40d0-b992-e2fd18611d5c</t>
        </is>
      </c>
      <c r="D10659" t="n">
        <v>55.69664</v>
      </c>
      <c r="E10659" t="n">
        <v>37.75069</v>
      </c>
      <c r="F10659" t="inlineStr"/>
      <c r="G10659" t="inlineStr"/>
      <c r="H10659" t="inlineStr"/>
    </row>
    <row r="10660">
      <c r="A10660" t="inlineStr">
        <is>
          <t>b88c7cd5-c3bc-419e-aad2-36a4f8ef47af.jpg</t>
        </is>
      </c>
      <c r="B10660">
        <f>HYPERLINK("Объекты недвижимости, не соответствующие градостроительным нормам_00-022_Август/b88c7cd5-c3bc-419e-aad2-36a4f8ef47af.jpg","open")</f>
        <v/>
      </c>
      <c r="C10660" t="inlineStr">
        <is>
          <t>b0b7ea82-53be-40d0-b992-e2fd18611d5c</t>
        </is>
      </c>
      <c r="D10660" t="n">
        <v>55.69632</v>
      </c>
      <c r="E10660" t="n">
        <v>37.75055</v>
      </c>
      <c r="F10660" t="inlineStr"/>
      <c r="G10660" t="inlineStr"/>
      <c r="H10660" t="inlineStr"/>
    </row>
    <row r="10661">
      <c r="A10661" t="inlineStr">
        <is>
          <t>52490e55-f892-4186-8781-7a6ef933820e.jpg</t>
        </is>
      </c>
      <c r="B10661">
        <f>HYPERLINK("Объекты недвижимости, не соответствующие градостроительным нормам_00-022_Август/52490e55-f892-4186-8781-7a6ef933820e.jpg","open")</f>
        <v/>
      </c>
      <c r="C10661" t="inlineStr">
        <is>
          <t>f20fbc2b-b369-4734-bb66-92af02fbb0d1</t>
        </is>
      </c>
      <c r="D10661" t="n">
        <v>55.69633</v>
      </c>
      <c r="E10661" t="n">
        <v>37.75054</v>
      </c>
      <c r="F10661" t="inlineStr"/>
      <c r="G10661" t="inlineStr"/>
      <c r="H10661" t="inlineStr"/>
    </row>
    <row r="10662">
      <c r="A10662" t="inlineStr">
        <is>
          <t>9ca68907-35c6-42aa-912c-2f1f7f187d61.jpg</t>
        </is>
      </c>
      <c r="B10662">
        <f>HYPERLINK("Объекты недвижимости, не соответствующие градостроительным нормам_00-022_Август/9ca68907-35c6-42aa-912c-2f1f7f187d61.jpg","open")</f>
        <v/>
      </c>
      <c r="C10662" t="inlineStr">
        <is>
          <t>b0b7ea82-53be-40d0-b992-e2fd18611d5c</t>
        </is>
      </c>
      <c r="D10662" t="n">
        <v>55.69629</v>
      </c>
      <c r="E10662" t="n">
        <v>37.75054</v>
      </c>
      <c r="F10662" t="inlineStr"/>
      <c r="G10662" t="inlineStr"/>
      <c r="H10662" t="inlineStr"/>
    </row>
    <row r="10663">
      <c r="A10663" t="inlineStr">
        <is>
          <t>e82ce86b-1f12-4b51-a96f-67ee065c564c.jpg</t>
        </is>
      </c>
      <c r="B10663">
        <f>HYPERLINK("Объекты недвижимости, не соответствующие градостроительным нормам_00-022_Август/e82ce86b-1f12-4b51-a96f-67ee065c564c.jpg","open")</f>
        <v/>
      </c>
      <c r="C10663" t="inlineStr">
        <is>
          <t>f20fbc2b-b369-4734-bb66-92af02fbb0d1</t>
        </is>
      </c>
      <c r="D10663" t="n">
        <v>55.69632</v>
      </c>
      <c r="E10663" t="n">
        <v>37.75054</v>
      </c>
      <c r="F10663" t="inlineStr"/>
      <c r="G10663" t="inlineStr"/>
      <c r="H10663" t="inlineStr"/>
    </row>
    <row r="10664">
      <c r="A10664" t="inlineStr">
        <is>
          <t>aadeaa4f-0289-452d-b51b-792db434e546.jpg</t>
        </is>
      </c>
      <c r="B10664">
        <f>HYPERLINK("Объекты недвижимости, не соответствующие градостроительным нормам_00-022_Август/aadeaa4f-0289-452d-b51b-792db434e546.jpg","open")</f>
        <v/>
      </c>
      <c r="C10664" t="inlineStr">
        <is>
          <t>18a5c468-d9e6-4814-8477-1caf4a2e1fe9</t>
        </is>
      </c>
      <c r="D10664" t="n">
        <v>55.96747</v>
      </c>
      <c r="E10664" t="n">
        <v>37.40305</v>
      </c>
      <c r="F10664" t="inlineStr"/>
      <c r="G10664" t="inlineStr"/>
      <c r="H10664" t="inlineStr"/>
    </row>
    <row r="10665">
      <c r="A10665" t="inlineStr">
        <is>
          <t>6976d6c7-c34d-41d7-b07e-0dd038bc4afb.jpg</t>
        </is>
      </c>
      <c r="B10665">
        <f>HYPERLINK("Объекты недвижимости, не соответствующие градостроительным нормам_00-022_Август/6976d6c7-c34d-41d7-b07e-0dd038bc4afb.jpg","open")</f>
        <v/>
      </c>
      <c r="C10665" t="inlineStr">
        <is>
          <t>f20fbc2b-b369-4734-bb66-92af02fbb0d1</t>
        </is>
      </c>
      <c r="D10665" t="n">
        <v>55.69635</v>
      </c>
      <c r="E10665" t="n">
        <v>37.75051</v>
      </c>
      <c r="F10665" t="inlineStr"/>
      <c r="G10665" t="inlineStr"/>
      <c r="H10665" t="inlineStr"/>
    </row>
    <row r="10666">
      <c r="A10666" t="inlineStr">
        <is>
          <t>94858766-2107-49b1-93ab-b679ad8ff2e1.jpg</t>
        </is>
      </c>
      <c r="B10666">
        <f>HYPERLINK("Объекты недвижимости, не соответствующие градостроительным нормам_00-022_Август/94858766-2107-49b1-93ab-b679ad8ff2e1.jpg","open")</f>
        <v/>
      </c>
      <c r="C10666" t="inlineStr">
        <is>
          <t>b0b7ea82-53be-40d0-b992-e2fd18611d5c</t>
        </is>
      </c>
      <c r="D10666" t="n">
        <v>55.69635</v>
      </c>
      <c r="E10666" t="n">
        <v>37.75053</v>
      </c>
      <c r="F10666" t="inlineStr"/>
      <c r="G10666" t="inlineStr"/>
      <c r="H10666" t="inlineStr"/>
    </row>
    <row r="10667">
      <c r="A10667" t="inlineStr">
        <is>
          <t>5f380e21-bca6-4938-97ae-751ffe66d985.jpg</t>
        </is>
      </c>
      <c r="B10667">
        <f>HYPERLINK("Объекты недвижимости, не соответствующие градостроительным нормам_00-022_Август/5f380e21-bca6-4938-97ae-751ffe66d985.jpg","open")</f>
        <v/>
      </c>
      <c r="C10667" t="inlineStr">
        <is>
          <t>8996eb30-6497-4318-8a0e-b95314b8172e</t>
        </is>
      </c>
      <c r="D10667" t="n">
        <v>55.73673</v>
      </c>
      <c r="E10667" t="n">
        <v>37.75071</v>
      </c>
      <c r="F10667" t="inlineStr"/>
      <c r="G10667" t="inlineStr"/>
      <c r="H10667" t="inlineStr"/>
    </row>
    <row r="10668">
      <c r="A10668" t="inlineStr">
        <is>
          <t>04fef6fe-4d28-4829-b644-d38e954fa2c0.jpg</t>
        </is>
      </c>
      <c r="B10668">
        <f>HYPERLINK("Объекты недвижимости, не соответствующие градостроительным нормам_00-022_Август/04fef6fe-4d28-4829-b644-d38e954fa2c0.jpg","open")</f>
        <v/>
      </c>
      <c r="C10668" t="inlineStr">
        <is>
          <t>48b533d5-d106-4175-ac9b-d5ce8d90cccf</t>
        </is>
      </c>
      <c r="D10668" t="n">
        <v>55.73674</v>
      </c>
      <c r="E10668" t="n">
        <v>37.7507</v>
      </c>
      <c r="F10668" t="inlineStr"/>
      <c r="G10668" t="inlineStr"/>
      <c r="H10668" t="inlineStr"/>
    </row>
    <row r="10669">
      <c r="A10669" t="inlineStr">
        <is>
          <t>e83fa7f0-400a-4905-b0e7-c1c747df9b08.jpg</t>
        </is>
      </c>
      <c r="B10669">
        <f>HYPERLINK("Объекты недвижимости, не соответствующие градостроительным нормам_00-022_Август/e83fa7f0-400a-4905-b0e7-c1c747df9b08.jpg","open")</f>
        <v/>
      </c>
      <c r="C10669" t="inlineStr">
        <is>
          <t>18a5c468-d9e6-4814-8477-1caf4a2e1fe9</t>
        </is>
      </c>
      <c r="D10669" t="n">
        <v>55.96747</v>
      </c>
      <c r="E10669" t="n">
        <v>37.40305</v>
      </c>
      <c r="F10669" t="inlineStr"/>
      <c r="G10669" t="inlineStr"/>
      <c r="H10669" t="inlineStr"/>
    </row>
    <row r="10670">
      <c r="A10670" t="inlineStr">
        <is>
          <t>e964a5d7-2b20-4f74-b67e-edc40144a96d.jpg</t>
        </is>
      </c>
      <c r="B10670">
        <f>HYPERLINK("Объекты недвижимости, не соответствующие градостроительным нормам_00-022_Август/e964a5d7-2b20-4f74-b67e-edc40144a96d.jpg","open")</f>
        <v/>
      </c>
      <c r="C10670" t="inlineStr">
        <is>
          <t>18a5c468-d9e6-4814-8477-1caf4a2e1fe9</t>
        </is>
      </c>
      <c r="D10670" t="n">
        <v>55.96747</v>
      </c>
      <c r="E10670" t="n">
        <v>37.40305</v>
      </c>
      <c r="F10670" t="inlineStr"/>
      <c r="G10670" t="inlineStr"/>
      <c r="H10670" t="inlineStr"/>
    </row>
    <row r="10671">
      <c r="A10671" t="inlineStr">
        <is>
          <t>12a0ac05-0596-43d7-83da-19f7c2343f40.jpg</t>
        </is>
      </c>
      <c r="B10671">
        <f>HYPERLINK("Объекты недвижимости, не соответствующие градостроительным нормам_00-022_Август/12a0ac05-0596-43d7-83da-19f7c2343f40.jpg","open")</f>
        <v/>
      </c>
      <c r="C10671" t="inlineStr">
        <is>
          <t>936502dd-24a4-4256-9fdf-0d8fb72af3ed</t>
        </is>
      </c>
      <c r="D10671" t="n">
        <v>55.6791</v>
      </c>
      <c r="E10671" t="n">
        <v>37.68463</v>
      </c>
      <c r="F10671" t="inlineStr"/>
      <c r="G10671" t="inlineStr"/>
      <c r="H10671" t="inlineStr"/>
    </row>
    <row r="10672">
      <c r="A10672" t="inlineStr">
        <is>
          <t>5d5e4e33-1add-4801-a869-e7610593d78e.jpg</t>
        </is>
      </c>
      <c r="B10672">
        <f>HYPERLINK("Объекты недвижимости, не соответствующие градостроительным нормам_00-022_Август/5d5e4e33-1add-4801-a869-e7610593d78e.jpg","open")</f>
        <v/>
      </c>
      <c r="C10672" t="inlineStr">
        <is>
          <t>61936922-4d4b-458e-80ea-6d4c450aa1d5</t>
        </is>
      </c>
      <c r="D10672" t="n">
        <v>55.70626</v>
      </c>
      <c r="E10672" t="n">
        <v>37.48153</v>
      </c>
      <c r="F10672" t="inlineStr"/>
      <c r="G10672" t="inlineStr"/>
      <c r="H10672" t="inlineStr"/>
    </row>
    <row r="10673">
      <c r="A10673" t="inlineStr">
        <is>
          <t>44815b53-8123-4084-b6fb-566bfa2ae097.jpg</t>
        </is>
      </c>
      <c r="B10673">
        <f>HYPERLINK("Объекты недвижимости, не соответствующие градостроительным нормам_00-022_Август/44815b53-8123-4084-b6fb-566bfa2ae097.jpg","open")</f>
        <v/>
      </c>
      <c r="C10673" t="inlineStr">
        <is>
          <t>18a5c468-d9e6-4814-8477-1caf4a2e1fe9</t>
        </is>
      </c>
      <c r="D10673" t="n">
        <v>55.96747</v>
      </c>
      <c r="E10673" t="n">
        <v>37.40305</v>
      </c>
      <c r="F10673" t="inlineStr"/>
      <c r="G10673" t="inlineStr"/>
      <c r="H10673" t="inlineStr"/>
    </row>
    <row r="10674">
      <c r="A10674" t="inlineStr">
        <is>
          <t>2be99ec6-f5c9-46a3-989b-1777526ede7a.jpg</t>
        </is>
      </c>
      <c r="B10674">
        <f>HYPERLINK("Объекты недвижимости, не соответствующие градостроительным нормам_00-022_Август/2be99ec6-f5c9-46a3-989b-1777526ede7a.jpg","open")</f>
        <v/>
      </c>
      <c r="C10674" t="inlineStr">
        <is>
          <t>ffd931da-542f-43e9-979f-5552b17fe3dc</t>
        </is>
      </c>
      <c r="D10674" t="n">
        <v>55.82399</v>
      </c>
      <c r="E10674" t="n">
        <v>37.80931</v>
      </c>
      <c r="F10674" t="inlineStr"/>
      <c r="G10674" t="inlineStr"/>
      <c r="H10674" t="inlineStr"/>
    </row>
    <row r="10675">
      <c r="A10675" t="inlineStr">
        <is>
          <t>338b83c3-889b-4394-9250-8da4a4ba51b9.jpg</t>
        </is>
      </c>
      <c r="B10675">
        <f>HYPERLINK("Объекты недвижимости, не соответствующие градостроительным нормам_00-022_Август/338b83c3-889b-4394-9250-8da4a4ba51b9.jpg","open")</f>
        <v/>
      </c>
      <c r="C10675" t="inlineStr">
        <is>
          <t>29ad9edb-d533-4272-a986-be24eb004851</t>
        </is>
      </c>
      <c r="D10675" t="n">
        <v>55.75956</v>
      </c>
      <c r="E10675" t="n">
        <v>37.58334</v>
      </c>
      <c r="F10675" t="inlineStr"/>
      <c r="G10675" t="inlineStr"/>
      <c r="H10675" t="inlineStr"/>
    </row>
    <row r="10676">
      <c r="A10676" t="inlineStr">
        <is>
          <t>26de07c1-7596-424b-b91e-1136de56bc5a.jpg</t>
        </is>
      </c>
      <c r="B10676">
        <f>HYPERLINK("Объекты недвижимости, не соответствующие градостроительным нормам_00-022_Август/26de07c1-7596-424b-b91e-1136de56bc5a.jpg","open")</f>
        <v/>
      </c>
      <c r="C10676" t="inlineStr">
        <is>
          <t>0dd30d74-4dbc-46a8-b638-91e1431bb398</t>
        </is>
      </c>
      <c r="D10676" t="n">
        <v>55.84693</v>
      </c>
      <c r="E10676" t="n">
        <v>37.63681</v>
      </c>
      <c r="F10676" t="inlineStr"/>
      <c r="G10676" t="inlineStr"/>
      <c r="H10676" t="inlineStr"/>
    </row>
    <row r="10677">
      <c r="A10677" t="inlineStr">
        <is>
          <t>e6470307-4821-43fe-85e8-491781fc6e0a.jpg</t>
        </is>
      </c>
      <c r="B10677">
        <f>HYPERLINK("Объекты недвижимости, не соответствующие градостроительным нормам_00-022_Август/e6470307-4821-43fe-85e8-491781fc6e0a.jpg","open")</f>
        <v/>
      </c>
      <c r="C10677" t="inlineStr">
        <is>
          <t>036c664f-5408-4fd0-b479-342c00468eeb</t>
        </is>
      </c>
      <c r="D10677" t="n">
        <v>55.75099</v>
      </c>
      <c r="E10677" t="n">
        <v>37.416</v>
      </c>
      <c r="F10677" t="inlineStr"/>
      <c r="G10677" t="inlineStr"/>
      <c r="H10677" t="inlineStr"/>
    </row>
    <row r="10678">
      <c r="A10678" t="inlineStr">
        <is>
          <t>d8ee75e9-1b9a-4df1-bab9-dd2bc23855c3.jpg</t>
        </is>
      </c>
      <c r="B10678">
        <f>HYPERLINK("Объекты недвижимости, не соответствующие градостроительным нормам_00-022_Август/d8ee75e9-1b9a-4df1-bab9-dd2bc23855c3.jpg","open")</f>
        <v/>
      </c>
      <c r="C10678" t="inlineStr">
        <is>
          <t>31a713a9-b910-424b-b847-e0eaa2f70c70</t>
        </is>
      </c>
      <c r="D10678" t="n">
        <v>55.48692</v>
      </c>
      <c r="E10678" t="n">
        <v>37.31168</v>
      </c>
      <c r="F10678" t="inlineStr"/>
      <c r="G10678" t="inlineStr"/>
      <c r="H10678" t="inlineStr"/>
    </row>
    <row r="10679">
      <c r="A10679" t="inlineStr">
        <is>
          <t>8c970e48-6652-42ee-bced-00829c532eb7.jpg</t>
        </is>
      </c>
      <c r="B10679">
        <f>HYPERLINK("Объекты недвижимости, не соответствующие градостроительным нормам_00-022_Август/8c970e48-6652-42ee-bced-00829c532eb7.jpg","open")</f>
        <v/>
      </c>
      <c r="C10679" t="inlineStr">
        <is>
          <t>a28f597e-d1cd-4d3b-b572-c86d033412e9</t>
        </is>
      </c>
      <c r="D10679" t="n">
        <v>55.75099</v>
      </c>
      <c r="E10679" t="n">
        <v>37.416</v>
      </c>
      <c r="F10679" t="inlineStr"/>
      <c r="G10679" t="inlineStr"/>
      <c r="H10679" t="inlineStr"/>
    </row>
    <row r="10680">
      <c r="A10680" t="inlineStr">
        <is>
          <t>680dca02-76c5-41aa-ab25-88b7aaaf5d46.jpg</t>
        </is>
      </c>
      <c r="B10680">
        <f>HYPERLINK("Объекты недвижимости, не соответствующие градостроительным нормам_00-022_Август/680dca02-76c5-41aa-ab25-88b7aaaf5d46.jpg","open")</f>
        <v/>
      </c>
      <c r="C10680" t="inlineStr">
        <is>
          <t>685d9054-b74f-49ab-857b-109fd2cec80d</t>
        </is>
      </c>
      <c r="D10680" t="n">
        <v>55.67118</v>
      </c>
      <c r="E10680" t="n">
        <v>37.5593</v>
      </c>
      <c r="F10680" t="inlineStr"/>
      <c r="G10680" t="inlineStr"/>
      <c r="H10680" t="inlineStr"/>
    </row>
    <row r="10681">
      <c r="A10681" t="inlineStr">
        <is>
          <t>274a4c36-c46b-4337-b58d-0f2e43ed9a4e.jpg</t>
        </is>
      </c>
      <c r="B10681">
        <f>HYPERLINK("Объекты недвижимости, не соответствующие градостроительным нормам_00-022_Август/274a4c36-c46b-4337-b58d-0f2e43ed9a4e.jpg","open")</f>
        <v/>
      </c>
      <c r="C10681" t="inlineStr">
        <is>
          <t>1231bbc5-e64c-4dc7-9acc-77710f47607a</t>
        </is>
      </c>
      <c r="D10681" t="n">
        <v>55.67117</v>
      </c>
      <c r="E10681" t="n">
        <v>37.5593</v>
      </c>
      <c r="F10681" t="inlineStr"/>
      <c r="G10681" t="inlineStr"/>
      <c r="H10681" t="inlineStr"/>
    </row>
    <row r="10682">
      <c r="A10682" t="inlineStr">
        <is>
          <t>b0210f1b-a329-4374-8d2f-6a6e3e892fbd.jpg</t>
        </is>
      </c>
      <c r="B10682">
        <f>HYPERLINK("Объекты недвижимости, не соответствующие градостроительным нормам_00-022_Август/b0210f1b-a329-4374-8d2f-6a6e3e892fbd.jpg","open")</f>
        <v/>
      </c>
      <c r="C10682" t="inlineStr">
        <is>
          <t>31a713a9-b910-424b-b847-e0eaa2f70c70</t>
        </is>
      </c>
      <c r="D10682" t="n">
        <v>55.49027</v>
      </c>
      <c r="E10682" t="n">
        <v>37.30859</v>
      </c>
      <c r="F10682" t="inlineStr"/>
      <c r="G10682" t="inlineStr"/>
      <c r="H10682" t="inlineStr"/>
    </row>
    <row r="10683">
      <c r="A10683" t="inlineStr">
        <is>
          <t>1ff4cc3b-b908-4e79-b4ca-9ce1628ca077.jpg</t>
        </is>
      </c>
      <c r="B10683">
        <f>HYPERLINK("Объекты недвижимости, не соответствующие градостроительным нормам_00-022_Август/1ff4cc3b-b908-4e79-b4ca-9ce1628ca077.jpg","open")</f>
        <v/>
      </c>
      <c r="C10683" t="inlineStr">
        <is>
          <t>750bf7e4-0f0f-4f1a-96af-607dc8c1f1c9</t>
        </is>
      </c>
      <c r="D10683" t="n">
        <v>55.49028</v>
      </c>
      <c r="E10683" t="n">
        <v>37.30857</v>
      </c>
      <c r="F10683" t="inlineStr"/>
      <c r="G10683" t="inlineStr"/>
      <c r="H10683" t="inlineStr"/>
    </row>
    <row r="10684">
      <c r="A10684" t="inlineStr">
        <is>
          <t>7fea554c-0f9d-46ec-8fcf-9cd4370043b2.jpg</t>
        </is>
      </c>
      <c r="B10684">
        <f>HYPERLINK("Объекты недвижимости, не соответствующие градостроительным нормам_00-022_Август/7fea554c-0f9d-46ec-8fcf-9cd4370043b2.jpg","open")</f>
        <v/>
      </c>
      <c r="C10684" t="inlineStr">
        <is>
          <t>ed2bf0f1-3a66-4913-896e-4420a9796c0b</t>
        </is>
      </c>
      <c r="D10684" t="n">
        <v>55.52631</v>
      </c>
      <c r="E10684" t="n">
        <v>37.50211</v>
      </c>
      <c r="F10684" t="inlineStr"/>
      <c r="G10684" t="inlineStr"/>
      <c r="H10684" t="inlineStr"/>
    </row>
    <row r="10685">
      <c r="A10685" t="inlineStr">
        <is>
          <t>1db51057-471b-4a95-bcce-9c2a44c243f6.jpg</t>
        </is>
      </c>
      <c r="B10685">
        <f>HYPERLINK("Объекты недвижимости, не соответствующие градостроительным нормам_00-022_Август/1db51057-471b-4a95-bcce-9c2a44c243f6.jpg","open")</f>
        <v/>
      </c>
      <c r="C10685" t="inlineStr">
        <is>
          <t>ffd931da-542f-43e9-979f-5552b17fe3dc</t>
        </is>
      </c>
      <c r="D10685" t="n">
        <v>55.82137</v>
      </c>
      <c r="E10685" t="n">
        <v>37.7985</v>
      </c>
      <c r="F10685" t="inlineStr"/>
      <c r="G10685" t="inlineStr"/>
      <c r="H10685" t="inlineStr"/>
    </row>
    <row r="10686">
      <c r="A10686" t="inlineStr">
        <is>
          <t>2e7a1628-cd61-4569-8515-508d73b50368.jpg</t>
        </is>
      </c>
      <c r="B10686">
        <f>HYPERLINK("Объекты недвижимости, не соответствующие градостроительным нормам_00-022_Август/2e7a1628-cd61-4569-8515-508d73b50368.jpg","open")</f>
        <v/>
      </c>
      <c r="C10686" t="inlineStr">
        <is>
          <t>acedacc2-0d8b-4fc1-9622-25621a89d071</t>
        </is>
      </c>
      <c r="D10686" t="n">
        <v>55.7229</v>
      </c>
      <c r="E10686" t="n">
        <v>37.90012</v>
      </c>
      <c r="F10686" t="inlineStr"/>
      <c r="G10686" t="inlineStr"/>
      <c r="H10686" t="inlineStr"/>
    </row>
    <row r="10687">
      <c r="A10687" t="inlineStr">
        <is>
          <t>e84b4d04-e4ff-4d08-8db0-b315dba6a011.jpg</t>
        </is>
      </c>
      <c r="B10687">
        <f>HYPERLINK("Объекты недвижимости, не соответствующие градостроительным нормам_00-022_Август/e84b4d04-e4ff-4d08-8db0-b315dba6a011.jpg","open")</f>
        <v/>
      </c>
      <c r="C10687" t="inlineStr">
        <is>
          <t>a28f597e-d1cd-4d3b-b572-c86d033412e9</t>
        </is>
      </c>
      <c r="D10687" t="n">
        <v>55.75945</v>
      </c>
      <c r="E10687" t="n">
        <v>37.41212</v>
      </c>
      <c r="F10687" t="inlineStr"/>
      <c r="G10687" t="inlineStr"/>
      <c r="H10687" t="inlineStr"/>
    </row>
    <row r="10688">
      <c r="A10688" t="inlineStr">
        <is>
          <t>61aa9d77-99a2-4a3b-9d5b-c248aaa92eb8.jpg</t>
        </is>
      </c>
      <c r="B10688">
        <f>HYPERLINK("Объекты недвижимости, не соответствующие градостроительным нормам_00-022_Август/61aa9d77-99a2-4a3b-9d5b-c248aaa92eb8.jpg","open")</f>
        <v/>
      </c>
      <c r="C10688" t="inlineStr">
        <is>
          <t>f60286ac-55e7-4099-85bd-cc599a7a0c65</t>
        </is>
      </c>
      <c r="D10688" t="n">
        <v>55.82146</v>
      </c>
      <c r="E10688" t="n">
        <v>37.81517</v>
      </c>
      <c r="F10688" t="inlineStr"/>
      <c r="G10688" t="inlineStr"/>
      <c r="H10688" t="inlineStr"/>
    </row>
    <row r="10689">
      <c r="A10689" t="inlineStr">
        <is>
          <t>b281fab2-c7e7-40d1-b45e-fbe8d73db0ce.jpg</t>
        </is>
      </c>
      <c r="B10689">
        <f>HYPERLINK("Объекты недвижимости, не соответствующие градостроительным нормам_00-022_Август/b281fab2-c7e7-40d1-b45e-fbe8d73db0ce.jpg","open")</f>
        <v/>
      </c>
      <c r="C10689" t="inlineStr">
        <is>
          <t>ffd931da-542f-43e9-979f-5552b17fe3dc</t>
        </is>
      </c>
      <c r="D10689" t="n">
        <v>55.82146</v>
      </c>
      <c r="E10689" t="n">
        <v>37.81517</v>
      </c>
      <c r="F10689" t="inlineStr"/>
      <c r="G10689" t="inlineStr"/>
      <c r="H10689" t="inlineStr"/>
    </row>
    <row r="10690">
      <c r="A10690" t="inlineStr">
        <is>
          <t>425e0520-3916-4174-b566-ed038579a2bc.jpg</t>
        </is>
      </c>
      <c r="B10690">
        <f>HYPERLINK("Объекты недвижимости, не соответствующие градостроительным нормам_00-022_Август/425e0520-3916-4174-b566-ed038579a2bc.jpg","open")</f>
        <v/>
      </c>
      <c r="C10690" t="inlineStr">
        <is>
          <t>036c664f-5408-4fd0-b479-342c00468eeb</t>
        </is>
      </c>
      <c r="D10690" t="n">
        <v>55.75926</v>
      </c>
      <c r="E10690" t="n">
        <v>37.41253</v>
      </c>
      <c r="F10690" t="inlineStr"/>
      <c r="G10690" t="inlineStr"/>
      <c r="H10690" t="inlineStr"/>
    </row>
    <row r="10691">
      <c r="A10691" t="inlineStr">
        <is>
          <t>fe89df87-6d3b-4908-ab1f-b86a4214434e.jpg</t>
        </is>
      </c>
      <c r="B10691">
        <f>HYPERLINK("Объекты недвижимости, не соответствующие градостроительным нормам_00-022_Август/fe89df87-6d3b-4908-ab1f-b86a4214434e.jpg","open")</f>
        <v/>
      </c>
      <c r="C10691" t="inlineStr">
        <is>
          <t>fce890a6-27da-4062-a046-08262a160ee6</t>
        </is>
      </c>
      <c r="D10691" t="n">
        <v>55.98034</v>
      </c>
      <c r="E10691" t="n">
        <v>37.4255</v>
      </c>
      <c r="F10691" t="inlineStr"/>
      <c r="G10691" t="inlineStr"/>
      <c r="H10691" t="inlineStr"/>
    </row>
    <row r="10692">
      <c r="A10692" t="inlineStr">
        <is>
          <t>85753ce6-bd80-4ac9-a045-7de11aa5759f.jpg</t>
        </is>
      </c>
      <c r="B10692">
        <f>HYPERLINK("Объекты недвижимости, не соответствующие градостроительным нормам_00-022_Август/85753ce6-bd80-4ac9-a045-7de11aa5759f.jpg","open")</f>
        <v/>
      </c>
      <c r="C10692" t="inlineStr">
        <is>
          <t>61936922-4d4b-458e-80ea-6d4c450aa1d5</t>
        </is>
      </c>
      <c r="D10692" t="n">
        <v>55.70485</v>
      </c>
      <c r="E10692" t="n">
        <v>37.47657</v>
      </c>
      <c r="F10692" t="inlineStr"/>
      <c r="G10692" t="inlineStr"/>
      <c r="H10692" t="inlineStr"/>
    </row>
    <row r="10693">
      <c r="A10693" t="inlineStr">
        <is>
          <t>2d405cdf-009e-4bd2-8204-8f83be763ce5.jpg</t>
        </is>
      </c>
      <c r="B10693">
        <f>HYPERLINK("Объекты недвижимости, не соответствующие градостроительным нормам_00-022_Август/2d405cdf-009e-4bd2-8204-8f83be763ce5.jpg","open")</f>
        <v/>
      </c>
      <c r="C10693" t="inlineStr">
        <is>
          <t>fce890a6-27da-4062-a046-08262a160ee6</t>
        </is>
      </c>
      <c r="D10693" t="n">
        <v>55.98188</v>
      </c>
      <c r="E10693" t="n">
        <v>37.40892</v>
      </c>
      <c r="F10693" t="inlineStr"/>
      <c r="G10693" t="inlineStr"/>
      <c r="H10693" t="inlineStr"/>
    </row>
    <row r="10694">
      <c r="A10694" t="inlineStr">
        <is>
          <t>9bbda6be-c939-47f7-9715-fc79ba510596.jpg</t>
        </is>
      </c>
      <c r="B10694">
        <f>HYPERLINK("Объекты недвижимости, не соответствующие градостроительным нормам_00-022_Август/9bbda6be-c939-47f7-9715-fc79ba510596.jpg","open")</f>
        <v/>
      </c>
      <c r="C10694" t="inlineStr">
        <is>
          <t>030e8755-17c1-44eb-9530-707d0d3121cb</t>
        </is>
      </c>
      <c r="D10694" t="n">
        <v>55.68179</v>
      </c>
      <c r="E10694" t="n">
        <v>37.68503</v>
      </c>
      <c r="F10694" t="inlineStr"/>
      <c r="G10694" t="inlineStr"/>
      <c r="H10694" t="inlineStr"/>
    </row>
    <row r="10695">
      <c r="A10695" t="inlineStr">
        <is>
          <t>35e00aac-c86d-417e-b7c9-32a923b325df.jpg</t>
        </is>
      </c>
      <c r="B10695">
        <f>HYPERLINK("Объекты недвижимости, не соответствующие градостроительным нормам_00-022_Август/35e00aac-c86d-417e-b7c9-32a923b325df.jpg","open")</f>
        <v/>
      </c>
      <c r="C10695" t="inlineStr">
        <is>
          <t>61936922-4d4b-458e-80ea-6d4c450aa1d5</t>
        </is>
      </c>
      <c r="D10695" t="n">
        <v>55.70477</v>
      </c>
      <c r="E10695" t="n">
        <v>37.47499</v>
      </c>
      <c r="F10695" t="inlineStr"/>
      <c r="G10695" t="inlineStr"/>
      <c r="H10695" t="inlineStr"/>
    </row>
    <row r="10696">
      <c r="A10696" t="inlineStr">
        <is>
          <t>a5a56e28-70cf-4e6c-9cdb-585f916c8a70.jpg</t>
        </is>
      </c>
      <c r="B10696">
        <f>HYPERLINK("Объекты недвижимости, не соответствующие градостроительным нормам_00-022_Август/a5a56e28-70cf-4e6c-9cdb-585f916c8a70.jpg","open")</f>
        <v/>
      </c>
      <c r="C10696" t="inlineStr">
        <is>
          <t>61936922-4d4b-458e-80ea-6d4c450aa1d5</t>
        </is>
      </c>
      <c r="D10696" t="n">
        <v>55.7048</v>
      </c>
      <c r="E10696" t="n">
        <v>37.47491</v>
      </c>
      <c r="F10696" t="inlineStr"/>
      <c r="G10696" t="inlineStr"/>
      <c r="H10696" t="inlineStr"/>
    </row>
    <row r="10697">
      <c r="A10697" t="inlineStr">
        <is>
          <t>40a76763-f671-4ae4-bd84-39fcc211480b.jpg</t>
        </is>
      </c>
      <c r="B10697">
        <f>HYPERLINK("Объекты недвижимости, не соответствующие градостроительным нормам_00-022_Август/40a76763-f671-4ae4-bd84-39fcc211480b.jpg","open")</f>
        <v/>
      </c>
      <c r="C10697" t="inlineStr">
        <is>
          <t>61936922-4d4b-458e-80ea-6d4c450aa1d5</t>
        </is>
      </c>
      <c r="D10697" t="n">
        <v>55.70484</v>
      </c>
      <c r="E10697" t="n">
        <v>37.47485</v>
      </c>
      <c r="F10697" t="inlineStr"/>
      <c r="G10697" t="inlineStr"/>
      <c r="H10697" t="inlineStr"/>
    </row>
    <row r="10698">
      <c r="A10698" t="inlineStr">
        <is>
          <t>c9724359-5dbc-4eee-b90d-abad76525ebe.jpg</t>
        </is>
      </c>
      <c r="B10698">
        <f>HYPERLINK("Объекты недвижимости, не соответствующие градостроительным нормам_00-022_Август/c9724359-5dbc-4eee-b90d-abad76525ebe.jpg","open")</f>
        <v/>
      </c>
      <c r="C10698" t="inlineStr">
        <is>
          <t>9fb3d110-951f-48da-9d90-cfd7e1b5800d</t>
        </is>
      </c>
      <c r="D10698" t="n">
        <v>55.70484</v>
      </c>
      <c r="E10698" t="n">
        <v>37.47485</v>
      </c>
      <c r="F10698" t="inlineStr"/>
      <c r="G10698" t="inlineStr"/>
      <c r="H10698" t="inlineStr"/>
    </row>
    <row r="10699">
      <c r="A10699" t="inlineStr">
        <is>
          <t>d217dc8e-d1d4-4485-88fd-f2d69cfe0f61.jpg</t>
        </is>
      </c>
      <c r="B10699">
        <f>HYPERLINK("Объекты недвижимости, не соответствующие градостроительным нормам_00-022_Август/d217dc8e-d1d4-4485-88fd-f2d69cfe0f61.jpg","open")</f>
        <v/>
      </c>
      <c r="C10699" t="inlineStr">
        <is>
          <t>61936922-4d4b-458e-80ea-6d4c450aa1d5</t>
        </is>
      </c>
      <c r="D10699" t="n">
        <v>55.70512</v>
      </c>
      <c r="E10699" t="n">
        <v>37.47479</v>
      </c>
      <c r="F10699" t="inlineStr"/>
      <c r="G10699" t="inlineStr"/>
      <c r="H10699" t="inlineStr"/>
    </row>
    <row r="10700">
      <c r="A10700" t="inlineStr">
        <is>
          <t>d1a7bd98-f724-49ad-b01e-5f2bb3fdd370.jpg</t>
        </is>
      </c>
      <c r="B10700">
        <f>HYPERLINK("Объекты недвижимости, не соответствующие градостроительным нормам_00-022_Август/d1a7bd98-f724-49ad-b01e-5f2bb3fdd370.jpg","open")</f>
        <v/>
      </c>
      <c r="C10700" t="inlineStr">
        <is>
          <t>9fb3d110-951f-48da-9d90-cfd7e1b5800d</t>
        </is>
      </c>
      <c r="D10700" t="n">
        <v>55.70512</v>
      </c>
      <c r="E10700" t="n">
        <v>37.47479</v>
      </c>
      <c r="F10700" t="inlineStr"/>
      <c r="G10700" t="inlineStr"/>
      <c r="H10700" t="inlineStr"/>
    </row>
    <row r="10701">
      <c r="A10701" t="inlineStr">
        <is>
          <t>119aa3fe-69d4-4266-a181-95b2bc58a9d2.jpg</t>
        </is>
      </c>
      <c r="B10701">
        <f>HYPERLINK("Объекты недвижимости, не соответствующие градостроительным нормам_00-022_Август/119aa3fe-69d4-4266-a181-95b2bc58a9d2.jpg","open")</f>
        <v/>
      </c>
      <c r="C10701" t="inlineStr">
        <is>
          <t>9fb3d110-951f-48da-9d90-cfd7e1b5800d</t>
        </is>
      </c>
      <c r="D10701" t="n">
        <v>55.70479</v>
      </c>
      <c r="E10701" t="n">
        <v>37.47464</v>
      </c>
      <c r="F10701" t="inlineStr"/>
      <c r="G10701" t="inlineStr"/>
      <c r="H10701" t="inlineStr"/>
    </row>
    <row r="10702">
      <c r="A10702" t="inlineStr">
        <is>
          <t>d7afbb2e-e1ad-423f-b9ea-a97b9dbd00a4.jpg</t>
        </is>
      </c>
      <c r="B10702">
        <f>HYPERLINK("Объекты недвижимости, не соответствующие градостроительным нормам_00-022_Август/d7afbb2e-e1ad-423f-b9ea-a97b9dbd00a4.jpg","open")</f>
        <v/>
      </c>
      <c r="C10702" t="inlineStr">
        <is>
          <t>61936922-4d4b-458e-80ea-6d4c450aa1d5</t>
        </is>
      </c>
      <c r="D10702" t="n">
        <v>55.70477</v>
      </c>
      <c r="E10702" t="n">
        <v>37.47463</v>
      </c>
      <c r="F10702" t="inlineStr"/>
      <c r="G10702" t="inlineStr"/>
      <c r="H10702" t="inlineStr"/>
    </row>
    <row r="10703">
      <c r="A10703" t="inlineStr">
        <is>
          <t>8c82f25e-fd68-42ca-8167-475a1ddc8b1b.jpg</t>
        </is>
      </c>
      <c r="B10703">
        <f>HYPERLINK("Объекты недвижимости, не соответствующие градостроительным нормам_00-022_Август/8c82f25e-fd68-42ca-8167-475a1ddc8b1b.jpg","open")</f>
        <v/>
      </c>
      <c r="C10703" t="inlineStr">
        <is>
          <t>f20fbc2b-b369-4734-bb66-92af02fbb0d1</t>
        </is>
      </c>
      <c r="D10703" t="n">
        <v>55.69635</v>
      </c>
      <c r="E10703" t="n">
        <v>37.75053</v>
      </c>
      <c r="F10703" t="inlineStr"/>
      <c r="G10703" t="inlineStr"/>
      <c r="H10703" t="inlineStr"/>
    </row>
    <row r="10704">
      <c r="A10704" t="inlineStr">
        <is>
          <t>5f5c3d7e-4b45-458d-a47e-654ed9ccb189.jpg</t>
        </is>
      </c>
      <c r="B10704">
        <f>HYPERLINK("Объекты недвижимости, не соответствующие градостроительным нормам_00-022_Август/5f5c3d7e-4b45-458d-a47e-654ed9ccb189.jpg","open")</f>
        <v/>
      </c>
      <c r="C10704" t="inlineStr">
        <is>
          <t>b0b7ea82-53be-40d0-b992-e2fd18611d5c</t>
        </is>
      </c>
      <c r="D10704" t="n">
        <v>55.69638</v>
      </c>
      <c r="E10704" t="n">
        <v>37.75053</v>
      </c>
      <c r="F10704" t="inlineStr"/>
      <c r="G10704" t="inlineStr"/>
      <c r="H10704" t="inlineStr"/>
    </row>
    <row r="10705">
      <c r="A10705" t="inlineStr">
        <is>
          <t>07a1d9a0-af4b-47ee-b0af-38d835e126f4.jpg</t>
        </is>
      </c>
      <c r="B10705">
        <f>HYPERLINK("Объекты недвижимости, не соответствующие градостроительным нормам_00-022_Август/07a1d9a0-af4b-47ee-b0af-38d835e126f4.jpg","open")</f>
        <v/>
      </c>
      <c r="C10705" t="inlineStr">
        <is>
          <t>18a5c468-d9e6-4814-8477-1caf4a2e1fe9</t>
        </is>
      </c>
      <c r="D10705" t="n">
        <v>55.96747</v>
      </c>
      <c r="E10705" t="n">
        <v>37.40305</v>
      </c>
      <c r="F10705" t="inlineStr"/>
      <c r="G10705" t="inlineStr"/>
      <c r="H10705" t="inlineStr"/>
    </row>
    <row r="10706">
      <c r="A10706" t="inlineStr">
        <is>
          <t>def35459-279d-4b5a-929d-3fdf00b7fde7.jpg</t>
        </is>
      </c>
      <c r="B10706">
        <f>HYPERLINK("Объекты недвижимости, не соответствующие градостроительным нормам_00-022_Август/def35459-279d-4b5a-929d-3fdf00b7fde7.jpg","open")</f>
        <v/>
      </c>
      <c r="C10706" t="inlineStr">
        <is>
          <t>18a5c468-d9e6-4814-8477-1caf4a2e1fe9</t>
        </is>
      </c>
      <c r="D10706" t="n">
        <v>55.96747</v>
      </c>
      <c r="E10706" t="n">
        <v>37.40305</v>
      </c>
      <c r="F10706" t="inlineStr"/>
      <c r="G10706" t="inlineStr"/>
      <c r="H10706" t="inlineStr"/>
    </row>
    <row r="10707">
      <c r="A10707" t="inlineStr">
        <is>
          <t>21e0a9ca-fcc5-42d1-a5ba-b609e808a0a8.jpg</t>
        </is>
      </c>
      <c r="B10707">
        <f>HYPERLINK("Объекты недвижимости, не соответствующие градостроительным нормам_00-022_Август/21e0a9ca-fcc5-42d1-a5ba-b609e808a0a8.jpg","open")</f>
        <v/>
      </c>
      <c r="C10707" t="inlineStr">
        <is>
          <t>030e8755-17c1-44eb-9530-707d0d3121cb</t>
        </is>
      </c>
      <c r="D10707" t="n">
        <v>55.67919</v>
      </c>
      <c r="E10707" t="n">
        <v>37.68472</v>
      </c>
      <c r="F10707" t="inlineStr"/>
      <c r="G10707" t="inlineStr"/>
      <c r="H10707" t="inlineStr"/>
    </row>
    <row r="10708">
      <c r="A10708" t="inlineStr">
        <is>
          <t>b839e471-d83a-4c94-936f-6331a1ea499f.jpg</t>
        </is>
      </c>
      <c r="B10708">
        <f>HYPERLINK("Объекты недвижимости, не соответствующие градостроительным нормам_00-022_Август/b839e471-d83a-4c94-936f-6331a1ea499f.jpg","open")</f>
        <v/>
      </c>
      <c r="C10708" t="inlineStr">
        <is>
          <t>18a5c468-d9e6-4814-8477-1caf4a2e1fe9</t>
        </is>
      </c>
      <c r="D10708" t="n">
        <v>55.96747</v>
      </c>
      <c r="E10708" t="n">
        <v>37.40305</v>
      </c>
      <c r="F10708" t="inlineStr"/>
      <c r="G10708" t="inlineStr"/>
      <c r="H10708" t="inlineStr"/>
    </row>
    <row r="10709">
      <c r="A10709" t="inlineStr">
        <is>
          <t>fc6b352b-4155-480b-ad45-f4596915a17c.jpg</t>
        </is>
      </c>
      <c r="B10709">
        <f>HYPERLINK("Объекты недвижимости, не соответствующие градостроительным нормам_00-022_Август/fc6b352b-4155-480b-ad45-f4596915a17c.jpg","open")</f>
        <v/>
      </c>
      <c r="C10709" t="inlineStr">
        <is>
          <t>936502dd-24a4-4256-9fdf-0d8fb72af3ed</t>
        </is>
      </c>
      <c r="D10709" t="n">
        <v>55.67867</v>
      </c>
      <c r="E10709" t="n">
        <v>37.68532</v>
      </c>
      <c r="F10709" t="inlineStr"/>
      <c r="G10709" t="inlineStr"/>
      <c r="H10709" t="inlineStr"/>
    </row>
    <row r="10710">
      <c r="A10710" t="inlineStr">
        <is>
          <t>ee33c5a8-ba18-4fd7-a5ef-4c4f84ee41fe.jpg</t>
        </is>
      </c>
      <c r="B10710">
        <f>HYPERLINK("Объекты недвижимости, не соответствующие градостроительным нормам_00-022_Август/ee33c5a8-ba18-4fd7-a5ef-4c4f84ee41fe.jpg","open")</f>
        <v/>
      </c>
      <c r="C10710" t="inlineStr">
        <is>
          <t>936502dd-24a4-4256-9fdf-0d8fb72af3ed</t>
        </is>
      </c>
      <c r="D10710" t="n">
        <v>55.67969</v>
      </c>
      <c r="E10710" t="n">
        <v>37.6851</v>
      </c>
      <c r="F10710" t="inlineStr"/>
      <c r="G10710" t="inlineStr"/>
      <c r="H10710" t="inlineStr"/>
    </row>
    <row r="10711">
      <c r="A10711" t="inlineStr">
        <is>
          <t>705ae684-c780-4924-a3b4-e536589bf8d8.jpg</t>
        </is>
      </c>
      <c r="B10711">
        <f>HYPERLINK("Объекты недвижимости, не соответствующие градостроительным нормам_00-022_Август/705ae684-c780-4924-a3b4-e536589bf8d8.jpg","open")</f>
        <v/>
      </c>
      <c r="C10711" t="inlineStr">
        <is>
          <t>030e8755-17c1-44eb-9530-707d0d3121cb</t>
        </is>
      </c>
      <c r="D10711" t="n">
        <v>55.6797</v>
      </c>
      <c r="E10711" t="n">
        <v>37.68506</v>
      </c>
      <c r="F10711" t="inlineStr"/>
      <c r="G10711" t="inlineStr"/>
      <c r="H10711" t="inlineStr"/>
    </row>
    <row r="10712">
      <c r="A10712" t="inlineStr">
        <is>
          <t>fa10395d-ff7c-4e58-a4a9-76b9b4a4c43a.jpg</t>
        </is>
      </c>
      <c r="B10712">
        <f>HYPERLINK("Объекты недвижимости, не соответствующие градостроительным нормам_00-022_Август/fa10395d-ff7c-4e58-a4a9-76b9b4a4c43a.jpg","open")</f>
        <v/>
      </c>
      <c r="C10712" t="inlineStr">
        <is>
          <t>93848fc8-17e7-4748-9ebc-c7e379e11d2f</t>
        </is>
      </c>
      <c r="D10712" t="n">
        <v>55.85307</v>
      </c>
      <c r="E10712" t="n">
        <v>37.66769</v>
      </c>
      <c r="F10712" t="inlineStr"/>
      <c r="G10712" t="inlineStr"/>
      <c r="H10712" t="inlineStr"/>
    </row>
    <row r="10713">
      <c r="A10713" t="inlineStr">
        <is>
          <t>5de48573-4fb0-415f-92e7-b37d37be6bcf.jpg</t>
        </is>
      </c>
      <c r="B10713">
        <f>HYPERLINK("Объекты недвижимости, не соответствующие градостроительным нормам_00-022_Август/5de48573-4fb0-415f-92e7-b37d37be6bcf.jpg","open")</f>
        <v/>
      </c>
      <c r="C10713" t="inlineStr">
        <is>
          <t>18a5c468-d9e6-4814-8477-1caf4a2e1fe9</t>
        </is>
      </c>
      <c r="D10713" t="n">
        <v>55.96747</v>
      </c>
      <c r="E10713" t="n">
        <v>37.40305</v>
      </c>
      <c r="F10713" t="inlineStr"/>
      <c r="G10713" t="inlineStr"/>
      <c r="H10713" t="inlineStr"/>
    </row>
    <row r="10714">
      <c r="A10714" t="inlineStr">
        <is>
          <t>f16b6585-bee7-42f0-8807-8b8a84a9c038.jpg</t>
        </is>
      </c>
      <c r="B10714">
        <f>HYPERLINK("Объекты недвижимости, не соответствующие градостроительным нормам_00-022_Август/f16b6585-bee7-42f0-8807-8b8a84a9c038.jpg","open")</f>
        <v/>
      </c>
      <c r="C10714" t="inlineStr">
        <is>
          <t>5e5b9944-4f9e-4223-bf96-0bc0c8a93dfa</t>
        </is>
      </c>
      <c r="D10714" t="n">
        <v>55.71002</v>
      </c>
      <c r="E10714" t="n">
        <v>37.66484</v>
      </c>
      <c r="F10714" t="inlineStr"/>
      <c r="G10714" t="inlineStr"/>
      <c r="H10714" t="inlineStr"/>
    </row>
    <row r="10715">
      <c r="A10715" t="inlineStr">
        <is>
          <t>0aa56a26-eece-4900-bde8-c952c11f5309.jpg</t>
        </is>
      </c>
      <c r="B10715">
        <f>HYPERLINK("Объекты недвижимости, не соответствующие градостроительным нормам_00-022_Август/0aa56a26-eece-4900-bde8-c952c11f5309.jpg","open")</f>
        <v/>
      </c>
      <c r="C10715" t="inlineStr">
        <is>
          <t>dd22c7c9-0046-46d8-8631-55150dbf8ae5</t>
        </is>
      </c>
      <c r="D10715" t="n">
        <v>55.73283</v>
      </c>
      <c r="E10715" t="n">
        <v>37.6722</v>
      </c>
      <c r="F10715" t="inlineStr"/>
      <c r="G10715" t="inlineStr"/>
      <c r="H10715" t="inlineStr"/>
    </row>
    <row r="10716">
      <c r="A10716" t="inlineStr">
        <is>
          <t>681de4d7-6566-4227-bcef-32824efc590b.jpg</t>
        </is>
      </c>
      <c r="B10716">
        <f>HYPERLINK("Объекты недвижимости, не соответствующие градостроительным нормам_00-022_Август/681de4d7-6566-4227-bcef-32824efc590b.jpg","open")</f>
        <v/>
      </c>
      <c r="C10716" t="inlineStr">
        <is>
          <t>8996eb30-6497-4318-8a0e-b95314b8172e</t>
        </is>
      </c>
      <c r="D10716" t="n">
        <v>55.71421</v>
      </c>
      <c r="E10716" t="n">
        <v>37.6673</v>
      </c>
      <c r="F10716" t="inlineStr"/>
      <c r="G10716" t="inlineStr"/>
      <c r="H10716" t="inlineStr"/>
    </row>
    <row r="10717">
      <c r="A10717" t="inlineStr">
        <is>
          <t>41ba57b7-9c34-418f-b322-75a015a7371b.jpg</t>
        </is>
      </c>
      <c r="B10717">
        <f>HYPERLINK("Объекты недвижимости, не соответствующие градостроительным нормам_00-022_Август/41ba57b7-9c34-418f-b322-75a015a7371b.jpg","open")</f>
        <v/>
      </c>
      <c r="C10717" t="inlineStr">
        <is>
          <t>af173c70-3716-4040-aa0b-1be99e78abe8</t>
        </is>
      </c>
      <c r="D10717" t="n">
        <v>55.73283</v>
      </c>
      <c r="E10717" t="n">
        <v>37.6722</v>
      </c>
      <c r="F10717" t="inlineStr"/>
      <c r="G10717" t="inlineStr"/>
      <c r="H10717" t="inlineStr"/>
    </row>
    <row r="10718">
      <c r="A10718" t="inlineStr">
        <is>
          <t>ac042949-668c-414a-b110-0e3788685ac1.jpg</t>
        </is>
      </c>
      <c r="B10718">
        <f>HYPERLINK("Объекты недвижимости, не соответствующие градостроительным нормам_00-022_Август/ac042949-668c-414a-b110-0e3788685ac1.jpg","open")</f>
        <v/>
      </c>
      <c r="C10718" t="inlineStr">
        <is>
          <t>030e8755-17c1-44eb-9530-707d0d3121cb</t>
        </is>
      </c>
      <c r="D10718" t="n">
        <v>55.68187</v>
      </c>
      <c r="E10718" t="n">
        <v>37.68585</v>
      </c>
      <c r="F10718" t="inlineStr"/>
      <c r="G10718" t="inlineStr"/>
      <c r="H10718" t="inlineStr"/>
    </row>
    <row r="10719">
      <c r="A10719" t="inlineStr">
        <is>
          <t>fa244328-941f-423b-9c5b-ef4444c15eff.jpg</t>
        </is>
      </c>
      <c r="B10719">
        <f>HYPERLINK("Объекты недвижимости, не соответствующие градостроительным нормам_00-022_Август/fa244328-941f-423b-9c5b-ef4444c15eff.jpg","open")</f>
        <v/>
      </c>
      <c r="C10719" t="inlineStr">
        <is>
          <t>ed2bf0f1-3a66-4913-896e-4420a9796c0b</t>
        </is>
      </c>
      <c r="D10719" t="n">
        <v>55.5481</v>
      </c>
      <c r="E10719" t="n">
        <v>37.52307</v>
      </c>
      <c r="F10719" t="inlineStr"/>
      <c r="G10719" t="inlineStr"/>
      <c r="H10719" t="inlineStr"/>
    </row>
    <row r="10720">
      <c r="A10720" t="inlineStr">
        <is>
          <t>91f3e986-2806-4d19-925f-94283d757280.jpg</t>
        </is>
      </c>
      <c r="B10720">
        <f>HYPERLINK("Объекты недвижимости, не соответствующие градостроительным нормам_00-022_Август/91f3e986-2806-4d19-925f-94283d757280.jpg","open")</f>
        <v/>
      </c>
      <c r="C10720" t="inlineStr">
        <is>
          <t>1c951e11-4940-43c6-a447-394097e5609a</t>
        </is>
      </c>
      <c r="D10720" t="n">
        <v>55.63535</v>
      </c>
      <c r="E10720" t="n">
        <v>37.6967</v>
      </c>
      <c r="F10720" t="inlineStr"/>
      <c r="G10720" t="inlineStr"/>
      <c r="H10720" t="inlineStr"/>
    </row>
    <row r="10721">
      <c r="A10721" t="inlineStr">
        <is>
          <t>4190b7e0-461b-49bb-a749-3b605319c2ea.jpg</t>
        </is>
      </c>
      <c r="B10721">
        <f>HYPERLINK("Объекты недвижимости, не соответствующие градостроительным нормам_00-022_Август/4190b7e0-461b-49bb-a749-3b605319c2ea.jpg","open")</f>
        <v/>
      </c>
      <c r="C10721" t="inlineStr">
        <is>
          <t>e55a5b38-145c-46e6-bb86-c37bad8c10ca</t>
        </is>
      </c>
      <c r="D10721" t="n">
        <v>55.73158</v>
      </c>
      <c r="E10721" t="n">
        <v>37.48506</v>
      </c>
      <c r="F10721" t="inlineStr"/>
      <c r="G10721" t="inlineStr"/>
      <c r="H10721" t="inlineStr"/>
    </row>
    <row r="10722">
      <c r="A10722" t="inlineStr">
        <is>
          <t>900572a5-e8b9-4750-9486-8004b084ad06.jpg</t>
        </is>
      </c>
      <c r="B10722">
        <f>HYPERLINK("Объекты недвижимости, не соответствующие градостроительным нормам_00-022_Август/900572a5-e8b9-4750-9486-8004b084ad06.jpg","open")</f>
        <v/>
      </c>
      <c r="C10722" t="inlineStr">
        <is>
          <t>29ad9edb-d533-4272-a986-be24eb004851</t>
        </is>
      </c>
      <c r="D10722" t="n">
        <v>55.55381</v>
      </c>
      <c r="E10722" t="n">
        <v>37.70719</v>
      </c>
      <c r="F10722" t="inlineStr"/>
      <c r="G10722" t="inlineStr"/>
      <c r="H10722" t="inlineStr"/>
    </row>
    <row r="10723">
      <c r="A10723" t="inlineStr">
        <is>
          <t>b3692c90-5705-4d89-87eb-ca21a533f109.jpg</t>
        </is>
      </c>
      <c r="B10723">
        <f>HYPERLINK("Объекты недвижимости, не соответствующие градостроительным нормам_00-022_Август/b3692c90-5705-4d89-87eb-ca21a533f109.jpg","open")</f>
        <v/>
      </c>
      <c r="C10723" t="inlineStr">
        <is>
          <t>8996eb30-6497-4318-8a0e-b95314b8172e</t>
        </is>
      </c>
      <c r="D10723" t="n">
        <v>55.71098</v>
      </c>
      <c r="E10723" t="n">
        <v>37.62737</v>
      </c>
      <c r="F10723" t="inlineStr"/>
      <c r="G10723" t="inlineStr"/>
      <c r="H10723" t="inlineStr"/>
    </row>
    <row r="10724">
      <c r="A10724" t="inlineStr">
        <is>
          <t>51c43ea2-85de-4b29-8341-257b0ac6d962.jpg</t>
        </is>
      </c>
      <c r="B10724">
        <f>HYPERLINK("Объекты недвижимости, не соответствующие градостроительным нормам_00-022_Август/51c43ea2-85de-4b29-8341-257b0ac6d962.jpg","open")</f>
        <v/>
      </c>
      <c r="C10724" t="inlineStr">
        <is>
          <t>ed2bf0f1-3a66-4913-896e-4420a9796c0b</t>
        </is>
      </c>
      <c r="D10724" t="n">
        <v>55.54583</v>
      </c>
      <c r="E10724" t="n">
        <v>37.5377</v>
      </c>
      <c r="F10724" t="inlineStr"/>
      <c r="G10724" t="inlineStr"/>
      <c r="H10724" t="inlineStr"/>
    </row>
    <row r="10725">
      <c r="A10725" t="inlineStr">
        <is>
          <t>1b9060b9-8065-4844-9536-1fa93e54b1b7.jpg</t>
        </is>
      </c>
      <c r="B10725">
        <f>HYPERLINK("Объекты недвижимости, не соответствующие градостроительным нормам_00-022_Август/1b9060b9-8065-4844-9536-1fa93e54b1b7.jpg","open")</f>
        <v/>
      </c>
      <c r="C10725" t="inlineStr">
        <is>
          <t>036c664f-5408-4fd0-b479-342c00468eeb</t>
        </is>
      </c>
      <c r="D10725" t="n">
        <v>55.72773</v>
      </c>
      <c r="E10725" t="n">
        <v>37.4734</v>
      </c>
      <c r="F10725" t="inlineStr"/>
      <c r="G10725" t="inlineStr"/>
      <c r="H10725" t="inlineStr"/>
    </row>
    <row r="10726">
      <c r="A10726" t="inlineStr">
        <is>
          <t>246c7d5d-aba5-4c81-978d-0db92df042e5.jpg</t>
        </is>
      </c>
      <c r="B10726">
        <f>HYPERLINK("Объекты недвижимости, не соответствующие градостроительным нормам_00-022_Август/246c7d5d-aba5-4c81-978d-0db92df042e5.jpg","open")</f>
        <v/>
      </c>
      <c r="C10726" t="inlineStr">
        <is>
          <t>af173c70-3716-4040-aa0b-1be99e78abe8</t>
        </is>
      </c>
      <c r="D10726" t="n">
        <v>55.73283</v>
      </c>
      <c r="E10726" t="n">
        <v>37.6722</v>
      </c>
      <c r="F10726" t="inlineStr"/>
      <c r="G10726" t="inlineStr"/>
      <c r="H10726" t="inlineStr"/>
    </row>
    <row r="10727">
      <c r="A10727" t="inlineStr">
        <is>
          <t>da079ee5-10e3-4b70-bfce-234be3426567.jpg</t>
        </is>
      </c>
      <c r="B10727">
        <f>HYPERLINK("Объекты недвижимости, не соответствующие градостроительным нормам_00-022_Август/da079ee5-10e3-4b70-bfce-234be3426567.jpg","open")</f>
        <v/>
      </c>
      <c r="C10727" t="inlineStr">
        <is>
          <t>29ad9edb-d533-4272-a986-be24eb004851</t>
        </is>
      </c>
      <c r="D10727" t="n">
        <v>55.56902</v>
      </c>
      <c r="E10727" t="n">
        <v>37.50539</v>
      </c>
      <c r="F10727" t="inlineStr"/>
      <c r="G10727" t="inlineStr"/>
      <c r="H10727" t="inlineStr"/>
    </row>
    <row r="10728">
      <c r="A10728" t="inlineStr">
        <is>
          <t>dac8abf3-af47-4035-b4b1-e936c390a83d.jpg</t>
        </is>
      </c>
      <c r="B10728">
        <f>HYPERLINK("Объекты недвижимости, не соответствующие градостроительным нормам_00-022_Август/dac8abf3-af47-4035-b4b1-e936c390a83d.jpg","open")</f>
        <v/>
      </c>
      <c r="C10728" t="inlineStr">
        <is>
          <t>f6f80c84-5569-48fd-b627-6f41ce4c61c4</t>
        </is>
      </c>
      <c r="D10728" t="n">
        <v>55.72382</v>
      </c>
      <c r="E10728" t="n">
        <v>37.49517</v>
      </c>
      <c r="F10728" t="inlineStr"/>
      <c r="G10728" t="inlineStr"/>
      <c r="H10728" t="inlineStr"/>
    </row>
    <row r="10729">
      <c r="A10729" t="inlineStr">
        <is>
          <t>372183ba-b677-4e57-a413-9131b51228c9.jpg</t>
        </is>
      </c>
      <c r="B10729">
        <f>HYPERLINK("Объекты недвижимости, не соответствующие градостроительным нормам_00-022_Август/372183ba-b677-4e57-a413-9131b51228c9.jpg","open")</f>
        <v/>
      </c>
      <c r="C10729" t="inlineStr">
        <is>
          <t>caa4772d-6278-4484-a046-ee25514bf521</t>
        </is>
      </c>
      <c r="D10729" t="n">
        <v>55.72382</v>
      </c>
      <c r="E10729" t="n">
        <v>37.49517</v>
      </c>
      <c r="F10729" t="inlineStr"/>
      <c r="G10729" t="inlineStr"/>
      <c r="H10729" t="inlineStr"/>
    </row>
    <row r="10730">
      <c r="A10730" t="inlineStr">
        <is>
          <t>dfbc3a9d-0f21-46e6-bdd1-2b5d172323a1.jpg</t>
        </is>
      </c>
      <c r="B10730">
        <f>HYPERLINK("Объекты недвижимости, не соответствующие градостроительным нормам_00-022_Август/dfbc3a9d-0f21-46e6-bdd1-2b5d172323a1.jpg","open")</f>
        <v/>
      </c>
      <c r="C10730" t="inlineStr">
        <is>
          <t>dd22c7c9-0046-46d8-8631-55150dbf8ae5</t>
        </is>
      </c>
      <c r="D10730" t="n">
        <v>55.73283</v>
      </c>
      <c r="E10730" t="n">
        <v>37.6722</v>
      </c>
      <c r="F10730" t="inlineStr"/>
      <c r="G10730" t="inlineStr"/>
      <c r="H10730" t="inlineStr"/>
    </row>
    <row r="10731">
      <c r="A10731" t="inlineStr">
        <is>
          <t>fd13b509-d8a7-4add-b21b-d38723f99f69.jpg</t>
        </is>
      </c>
      <c r="B10731">
        <f>HYPERLINK("Объекты недвижимости, не соответствующие градостроительным нормам_00-022_Август/fd13b509-d8a7-4add-b21b-d38723f99f69.jpg","open")</f>
        <v/>
      </c>
      <c r="C10731" t="inlineStr">
        <is>
          <t>dd22c7c9-0046-46d8-8631-55150dbf8ae5</t>
        </is>
      </c>
      <c r="D10731" t="n">
        <v>55.73283</v>
      </c>
      <c r="E10731" t="n">
        <v>37.6722</v>
      </c>
      <c r="F10731" t="inlineStr"/>
      <c r="G10731" t="inlineStr"/>
      <c r="H10731" t="inlineStr"/>
    </row>
    <row r="10732">
      <c r="A10732" t="inlineStr">
        <is>
          <t>984962d5-ad6f-4faa-a533-f159c8ed6c5e.jpg</t>
        </is>
      </c>
      <c r="B10732">
        <f>HYPERLINK("Объекты недвижимости, не соответствующие градостроительным нормам_00-022_Август/984962d5-ad6f-4faa-a533-f159c8ed6c5e.jpg","open")</f>
        <v/>
      </c>
      <c r="C10732" t="inlineStr">
        <is>
          <t>8996eb30-6497-4318-8a0e-b95314b8172e</t>
        </is>
      </c>
      <c r="D10732" t="n">
        <v>55.7482</v>
      </c>
      <c r="E10732" t="n">
        <v>37.59574</v>
      </c>
      <c r="F10732" t="inlineStr"/>
      <c r="G10732" t="inlineStr"/>
      <c r="H10732" t="inlineStr"/>
    </row>
    <row r="10733">
      <c r="A10733" t="inlineStr">
        <is>
          <t>1d239e0b-9116-485a-bdf8-22f078ba275b.jpg</t>
        </is>
      </c>
      <c r="B10733">
        <f>HYPERLINK("Объекты недвижимости, не соответствующие градостроительным нормам_00-022_Август/1d239e0b-9116-485a-bdf8-22f078ba275b.jpg","open")</f>
        <v/>
      </c>
      <c r="C10733" t="inlineStr">
        <is>
          <t>48b533d5-d106-4175-ac9b-d5ce8d90cccf</t>
        </is>
      </c>
      <c r="D10733" t="n">
        <v>55.7482</v>
      </c>
      <c r="E10733" t="n">
        <v>37.59574</v>
      </c>
      <c r="F10733" t="inlineStr"/>
      <c r="G10733" t="inlineStr"/>
      <c r="H10733" t="inlineStr"/>
    </row>
    <row r="10734">
      <c r="A10734" t="inlineStr">
        <is>
          <t>871f02eb-006d-4f51-b27d-c63cc71f4a82.jpg</t>
        </is>
      </c>
      <c r="B10734">
        <f>HYPERLINK("Объекты недвижимости, не соответствующие градостроительным нормам_00-022_Август/871f02eb-006d-4f51-b27d-c63cc71f4a82.jpg","open")</f>
        <v/>
      </c>
      <c r="C10734" t="inlineStr">
        <is>
          <t>8996eb30-6497-4318-8a0e-b95314b8172e</t>
        </is>
      </c>
      <c r="D10734" t="n">
        <v>55.7482</v>
      </c>
      <c r="E10734" t="n">
        <v>37.59574</v>
      </c>
      <c r="F10734" t="inlineStr"/>
      <c r="G10734" t="inlineStr"/>
      <c r="H10734" t="inlineStr"/>
    </row>
    <row r="10735">
      <c r="A10735" t="inlineStr">
        <is>
          <t>531aad4f-69c5-4257-b2d6-9b3e3b92b67d.jpg</t>
        </is>
      </c>
      <c r="B10735">
        <f>HYPERLINK("Объекты недвижимости, не соответствующие градостроительным нормам_00-022_Август/531aad4f-69c5-4257-b2d6-9b3e3b92b67d.jpg","open")</f>
        <v/>
      </c>
      <c r="C10735" t="inlineStr">
        <is>
          <t>cb4060b2-34d3-44a4-9f60-115fb1e9278e</t>
        </is>
      </c>
      <c r="D10735" t="n">
        <v>55.7748</v>
      </c>
      <c r="E10735" t="n">
        <v>37.68322</v>
      </c>
      <c r="F10735" t="inlineStr"/>
      <c r="G10735" t="inlineStr"/>
      <c r="H10735" t="inlineStr"/>
    </row>
    <row r="10736">
      <c r="A10736" t="inlineStr">
        <is>
          <t>7c41e63d-82a3-45f8-87e4-7620cdacbb6f.jpg</t>
        </is>
      </c>
      <c r="B10736">
        <f>HYPERLINK("Объекты недвижимости, не соответствующие градостроительным нормам_00-022_Август/7c41e63d-82a3-45f8-87e4-7620cdacbb6f.jpg","open")</f>
        <v/>
      </c>
      <c r="C10736" t="inlineStr">
        <is>
          <t>2acfb2da-e3f6-464c-bd17-4b713522c142</t>
        </is>
      </c>
      <c r="D10736" t="n">
        <v>55.89007</v>
      </c>
      <c r="E10736" t="n">
        <v>37.60669</v>
      </c>
      <c r="F10736" t="inlineStr"/>
      <c r="G10736" t="inlineStr"/>
      <c r="H10736" t="inlineStr"/>
    </row>
    <row r="10737">
      <c r="A10737" t="inlineStr">
        <is>
          <t>04a088aa-624b-4862-a067-a924a131c8cc.jpg</t>
        </is>
      </c>
      <c r="B10737">
        <f>HYPERLINK("Объекты недвижимости, не соответствующие градостроительным нормам_00-022_Август/04a088aa-624b-4862-a067-a924a131c8cc.jpg","open")</f>
        <v/>
      </c>
      <c r="C10737" t="inlineStr">
        <is>
          <t>dd22c7c9-0046-46d8-8631-55150dbf8ae5</t>
        </is>
      </c>
      <c r="D10737" t="n">
        <v>55.73587</v>
      </c>
      <c r="E10737" t="n">
        <v>37.747</v>
      </c>
      <c r="F10737" t="inlineStr"/>
      <c r="G10737" t="inlineStr"/>
      <c r="H10737" t="inlineStr"/>
    </row>
    <row r="10738">
      <c r="A10738" t="inlineStr">
        <is>
          <t>54cd76a0-2618-44d8-824a-5ffd676f5159.jpg</t>
        </is>
      </c>
      <c r="B10738">
        <f>HYPERLINK("Объекты недвижимости, не соответствующие градостроительным нормам_00-022_Август/54cd76a0-2618-44d8-824a-5ffd676f5159.jpg","open")</f>
        <v/>
      </c>
      <c r="C10738" t="inlineStr">
        <is>
          <t>f389b777-2837-46f0-983f-56af24850601</t>
        </is>
      </c>
      <c r="D10738" t="n">
        <v>55.76619</v>
      </c>
      <c r="E10738" t="n">
        <v>37.93175</v>
      </c>
      <c r="F10738" t="inlineStr"/>
      <c r="G10738" t="inlineStr"/>
      <c r="H10738" t="inlineStr"/>
    </row>
    <row r="10739">
      <c r="A10739" t="inlineStr">
        <is>
          <t>9f11ae67-5f6d-453e-b522-fc2e70c00dd5.jpg</t>
        </is>
      </c>
      <c r="B10739">
        <f>HYPERLINK("Объекты недвижимости, не соответствующие градостроительным нормам_00-022_Август/9f11ae67-5f6d-453e-b522-fc2e70c00dd5.jpg","open")</f>
        <v/>
      </c>
      <c r="C10739" t="inlineStr">
        <is>
          <t>fb40ed24-21ef-458a-a239-038ab19932cc</t>
        </is>
      </c>
      <c r="D10739" t="n">
        <v>55.79327</v>
      </c>
      <c r="E10739" t="n">
        <v>37.79934</v>
      </c>
      <c r="F10739" t="inlineStr"/>
      <c r="G10739" t="inlineStr"/>
      <c r="H10739" t="inlineStr"/>
    </row>
    <row r="10740">
      <c r="A10740" t="inlineStr">
        <is>
          <t>0b166323-f73f-4751-a960-c2f77c6b8486.jpg</t>
        </is>
      </c>
      <c r="B10740">
        <f>HYPERLINK("Объекты недвижимости, не соответствующие градостроительным нормам_00-022_Август/0b166323-f73f-4751-a960-c2f77c6b8486.jpg","open")</f>
        <v/>
      </c>
      <c r="C10740" t="inlineStr">
        <is>
          <t>6e2567a0-1fb9-40d5-a0e7-0adb480d2965</t>
        </is>
      </c>
      <c r="D10740" t="n">
        <v>55.74955</v>
      </c>
      <c r="E10740" t="n">
        <v>37.65693</v>
      </c>
      <c r="F10740" t="inlineStr"/>
      <c r="G10740" t="inlineStr"/>
      <c r="H10740" t="inlineStr"/>
    </row>
    <row r="10741">
      <c r="A10741" t="inlineStr">
        <is>
          <t>bfbc81a9-9ab1-411d-99c0-d32d093fde7e.jpg</t>
        </is>
      </c>
      <c r="B10741">
        <f>HYPERLINK("Объекты недвижимости, не соответствующие градостроительным нормам_00-022_Август/bfbc81a9-9ab1-411d-99c0-d32d093fde7e.jpg","open")</f>
        <v/>
      </c>
      <c r="C10741" t="inlineStr">
        <is>
          <t>ad64e6b9-1ed5-44d7-a101-4945a1f9dec6</t>
        </is>
      </c>
      <c r="D10741" t="n">
        <v>55.5535</v>
      </c>
      <c r="E10741" t="n">
        <v>37.55881</v>
      </c>
      <c r="F10741" t="inlineStr"/>
      <c r="G10741" t="inlineStr"/>
      <c r="H10741" t="inlineStr"/>
    </row>
    <row r="10742">
      <c r="A10742" t="inlineStr">
        <is>
          <t>88b84e9e-88b5-4e77-b1dc-eae21aee4b5d.jpg</t>
        </is>
      </c>
      <c r="B10742">
        <f>HYPERLINK("Объекты недвижимости, не соответствующие градостроительным нормам_00-022_Август/88b84e9e-88b5-4e77-b1dc-eae21aee4b5d.jpg","open")</f>
        <v/>
      </c>
      <c r="C10742" t="inlineStr">
        <is>
          <t>6e2567a0-1fb9-40d5-a0e7-0adb480d2965</t>
        </is>
      </c>
      <c r="D10742" t="n">
        <v>55.74955</v>
      </c>
      <c r="E10742" t="n">
        <v>37.65693</v>
      </c>
      <c r="F10742" t="inlineStr"/>
      <c r="G10742" t="inlineStr"/>
      <c r="H10742" t="inlineStr"/>
    </row>
    <row r="10743">
      <c r="A10743" t="inlineStr">
        <is>
          <t>0a14c331-1440-470c-944a-0b6cfb51b0f0.jpg</t>
        </is>
      </c>
      <c r="B10743">
        <f>HYPERLINK("Объекты недвижимости, не соответствующие градостроительным нормам_00-022_Август/0a14c331-1440-470c-944a-0b6cfb51b0f0.jpg","open")</f>
        <v/>
      </c>
      <c r="C10743" t="inlineStr">
        <is>
          <t>6e2567a0-1fb9-40d5-a0e7-0adb480d2965</t>
        </is>
      </c>
      <c r="D10743" t="n">
        <v>55.74955</v>
      </c>
      <c r="E10743" t="n">
        <v>37.65693</v>
      </c>
      <c r="F10743" t="inlineStr"/>
      <c r="G10743" t="inlineStr"/>
      <c r="H10743" t="inlineStr"/>
    </row>
    <row r="10744">
      <c r="A10744" t="inlineStr">
        <is>
          <t>ee19795a-721f-45ff-99ec-88466e16c98b.jpg</t>
        </is>
      </c>
      <c r="B10744">
        <f>HYPERLINK("Объекты недвижимости, не соответствующие градостроительным нормам_00-022_Август/ee19795a-721f-45ff-99ec-88466e16c98b.jpg","open")</f>
        <v/>
      </c>
      <c r="C10744" t="inlineStr">
        <is>
          <t>ad64e6b9-1ed5-44d7-a101-4945a1f9dec6</t>
        </is>
      </c>
      <c r="D10744" t="n">
        <v>55.55189</v>
      </c>
      <c r="E10744" t="n">
        <v>37.55885</v>
      </c>
      <c r="F10744" t="inlineStr"/>
      <c r="G10744" t="inlineStr"/>
      <c r="H10744" t="inlineStr"/>
    </row>
    <row r="10745">
      <c r="A10745" t="inlineStr">
        <is>
          <t>32d33363-13d7-41a2-aa5f-52ecec220868.jpg</t>
        </is>
      </c>
      <c r="B10745">
        <f>HYPERLINK("Объекты недвижимости, не соответствующие градостроительным нормам_00-022_Август/32d33363-13d7-41a2-aa5f-52ecec220868.jpg","open")</f>
        <v/>
      </c>
      <c r="C10745" t="inlineStr">
        <is>
          <t>af173c70-3716-4040-aa0b-1be99e78abe8</t>
        </is>
      </c>
      <c r="D10745" t="n">
        <v>55.73892</v>
      </c>
      <c r="E10745" t="n">
        <v>37.72762</v>
      </c>
      <c r="F10745" t="inlineStr"/>
      <c r="G10745" t="inlineStr"/>
      <c r="H10745" t="inlineStr"/>
    </row>
    <row r="10746">
      <c r="A10746" t="inlineStr">
        <is>
          <t>b471853d-b4f1-4625-bc57-0c6469e99fc8.jpg</t>
        </is>
      </c>
      <c r="B10746">
        <f>HYPERLINK("Объекты недвижимости, не соответствующие градостроительным нормам_00-022_Август/b471853d-b4f1-4625-bc57-0c6469e99fc8.jpg","open")</f>
        <v/>
      </c>
      <c r="C10746" t="inlineStr">
        <is>
          <t>dd22c7c9-0046-46d8-8631-55150dbf8ae5</t>
        </is>
      </c>
      <c r="D10746" t="n">
        <v>55.73847</v>
      </c>
      <c r="E10746" t="n">
        <v>37.72748</v>
      </c>
      <c r="F10746" t="inlineStr"/>
      <c r="G10746" t="inlineStr"/>
      <c r="H10746" t="inlineStr"/>
    </row>
    <row r="10747">
      <c r="A10747" t="inlineStr">
        <is>
          <t>36a0b2dc-cf6f-4a3b-be1e-8e0a7e16f27a.jpg</t>
        </is>
      </c>
      <c r="B10747">
        <f>HYPERLINK("Объекты недвижимости, не соответствующие градостроительным нормам_00-022_Август/36a0b2dc-cf6f-4a3b-be1e-8e0a7e16f27a.jpg","open")</f>
        <v/>
      </c>
      <c r="C10747" t="inlineStr">
        <is>
          <t>31a713a9-b910-424b-b847-e0eaa2f70c70</t>
        </is>
      </c>
      <c r="D10747" t="n">
        <v>55.50703</v>
      </c>
      <c r="E10747" t="n">
        <v>37.33189</v>
      </c>
      <c r="F10747" t="inlineStr"/>
      <c r="G10747" t="inlineStr"/>
      <c r="H10747" t="inlineStr"/>
    </row>
    <row r="10748">
      <c r="A10748" t="inlineStr">
        <is>
          <t>26efc8f8-5333-40eb-aec8-00b06b1cdd55.jpg</t>
        </is>
      </c>
      <c r="B10748">
        <f>HYPERLINK("Объекты недвижимости, не соответствующие градостроительным нормам_00-022_Август/26efc8f8-5333-40eb-aec8-00b06b1cdd55.jpg","open")</f>
        <v/>
      </c>
      <c r="C10748" t="inlineStr">
        <is>
          <t>1231bbc5-e64c-4dc7-9acc-77710f47607a</t>
        </is>
      </c>
      <c r="D10748" t="n">
        <v>55.66881</v>
      </c>
      <c r="E10748" t="n">
        <v>37.55961</v>
      </c>
      <c r="F10748" t="inlineStr"/>
      <c r="G10748" t="inlineStr"/>
      <c r="H10748" t="inlineStr"/>
    </row>
    <row r="10749">
      <c r="A10749" t="inlineStr">
        <is>
          <t>6602a6fe-35a6-40be-be0e-ea5acd8a5a02.jpg</t>
        </is>
      </c>
      <c r="B10749">
        <f>HYPERLINK("Объекты недвижимости, не соответствующие градостроительным нормам_00-022_Август/6602a6fe-35a6-40be-be0e-ea5acd8a5a02.jpg","open")</f>
        <v/>
      </c>
      <c r="C10749" t="inlineStr">
        <is>
          <t>685d9054-b74f-49ab-857b-109fd2cec80d</t>
        </is>
      </c>
      <c r="D10749" t="n">
        <v>55.66879</v>
      </c>
      <c r="E10749" t="n">
        <v>37.55958</v>
      </c>
      <c r="F10749" t="inlineStr"/>
      <c r="G10749" t="inlineStr"/>
      <c r="H10749" t="inlineStr"/>
    </row>
    <row r="10750">
      <c r="A10750" t="inlineStr">
        <is>
          <t>8d7eb469-2f29-4b1a-b648-e0a9b6e622b9.jpg</t>
        </is>
      </c>
      <c r="B10750">
        <f>HYPERLINK("Объекты недвижимости, не соответствующие градостроительным нормам_00-022_Август/8d7eb469-2f29-4b1a-b648-e0a9b6e622b9.jpg","open")</f>
        <v/>
      </c>
      <c r="C10750" t="inlineStr">
        <is>
          <t>6e2567a0-1fb9-40d5-a0e7-0adb480d2965</t>
        </is>
      </c>
      <c r="D10750" t="n">
        <v>55.74955</v>
      </c>
      <c r="E10750" t="n">
        <v>37.65693</v>
      </c>
      <c r="F10750" t="inlineStr"/>
      <c r="G10750" t="inlineStr"/>
      <c r="H10750" t="inlineStr"/>
    </row>
    <row r="10751">
      <c r="A10751" t="inlineStr">
        <is>
          <t>68cf7435-baa4-4b21-9be9-7a7252276258.jpg</t>
        </is>
      </c>
      <c r="B10751">
        <f>HYPERLINK("Объекты недвижимости, не соответствующие градостроительным нормам_00-022_Август/68cf7435-baa4-4b21-9be9-7a7252276258.jpg","open")</f>
        <v/>
      </c>
      <c r="C10751" t="inlineStr">
        <is>
          <t>8996eb30-6497-4318-8a0e-b95314b8172e</t>
        </is>
      </c>
      <c r="D10751" t="n">
        <v>55.70335</v>
      </c>
      <c r="E10751" t="n">
        <v>37.48347</v>
      </c>
      <c r="F10751" t="inlineStr"/>
      <c r="G10751" t="inlineStr"/>
      <c r="H10751" t="inlineStr"/>
    </row>
    <row r="10752">
      <c r="A10752" t="inlineStr">
        <is>
          <t>8a7bd427-7160-4943-9f2d-01e94b87a9c1.jpg</t>
        </is>
      </c>
      <c r="B10752">
        <f>HYPERLINK("Объекты недвижимости, не соответствующие градостроительным нормам_00-022_Август/8a7bd427-7160-4943-9f2d-01e94b87a9c1.jpg","open")</f>
        <v/>
      </c>
      <c r="C10752" t="inlineStr">
        <is>
          <t>6e2567a0-1fb9-40d5-a0e7-0adb480d2965</t>
        </is>
      </c>
      <c r="D10752" t="n">
        <v>55.74955</v>
      </c>
      <c r="E10752" t="n">
        <v>37.65693</v>
      </c>
      <c r="F10752" t="inlineStr"/>
      <c r="G10752" t="inlineStr"/>
      <c r="H10752" t="inlineStr"/>
    </row>
    <row r="10753">
      <c r="A10753" t="inlineStr">
        <is>
          <t>f4837f49-6624-4e28-886c-0fd715376b28.jpg</t>
        </is>
      </c>
      <c r="B10753">
        <f>HYPERLINK("Объекты недвижимости, не соответствующие градостроительным нормам_00-022_Август/f4837f49-6624-4e28-886c-0fd715376b28.jpg","open")</f>
        <v/>
      </c>
      <c r="C10753" t="inlineStr">
        <is>
          <t>0dd30d74-4dbc-46a8-b638-91e1431bb398</t>
        </is>
      </c>
      <c r="D10753" t="n">
        <v>55.79644</v>
      </c>
      <c r="E10753" t="n">
        <v>37.58597</v>
      </c>
      <c r="F10753" t="inlineStr"/>
      <c r="G10753" t="inlineStr"/>
      <c r="H10753" t="inlineStr"/>
    </row>
    <row r="10754">
      <c r="A10754" t="inlineStr">
        <is>
          <t>8da12ce2-ed93-4c79-a9d5-e250049a68cf.jpg</t>
        </is>
      </c>
      <c r="B10754">
        <f>HYPERLINK("Объекты недвижимости, не соответствующие градостроительным нормам_00-022_Август/8da12ce2-ed93-4c79-a9d5-e250049a68cf.jpg","open")</f>
        <v/>
      </c>
      <c r="C10754" t="inlineStr">
        <is>
          <t>93848fc8-17e7-4748-9ebc-c7e379e11d2f</t>
        </is>
      </c>
      <c r="D10754" t="n">
        <v>55.79541</v>
      </c>
      <c r="E10754" t="n">
        <v>37.58635</v>
      </c>
      <c r="F10754" t="inlineStr"/>
      <c r="G10754" t="inlineStr"/>
      <c r="H10754" t="inlineStr"/>
    </row>
    <row r="10755">
      <c r="A10755" t="inlineStr">
        <is>
          <t>d4f5e997-5fbd-4b6f-97b6-8e32ab1ea838.jpg</t>
        </is>
      </c>
      <c r="B10755">
        <f>HYPERLINK("Объекты недвижимости, не соответствующие градостроительным нормам_00-022_Август/d4f5e997-5fbd-4b6f-97b6-8e32ab1ea838.jpg","open")</f>
        <v/>
      </c>
      <c r="C10755" t="inlineStr">
        <is>
          <t>685d9054-b74f-49ab-857b-109fd2cec80d</t>
        </is>
      </c>
      <c r="D10755" t="n">
        <v>55.67025</v>
      </c>
      <c r="E10755" t="n">
        <v>37.55647</v>
      </c>
      <c r="F10755" t="inlineStr"/>
      <c r="G10755" t="inlineStr"/>
      <c r="H10755" t="inlineStr"/>
    </row>
    <row r="10756">
      <c r="A10756" t="inlineStr">
        <is>
          <t>607f08b9-48db-4118-a810-6348ae8479e2.jpg</t>
        </is>
      </c>
      <c r="B10756">
        <f>HYPERLINK("Объекты недвижимости, не соответствующие градостроительным нормам_00-022_Август/607f08b9-48db-4118-a810-6348ae8479e2.jpg","open")</f>
        <v/>
      </c>
      <c r="C10756" t="inlineStr">
        <is>
          <t>789f6c51-64ee-4078-b7bd-443af8b8b68a</t>
        </is>
      </c>
      <c r="D10756" t="n">
        <v>55.89626</v>
      </c>
      <c r="E10756" t="n">
        <v>37.60652</v>
      </c>
      <c r="F10756" t="inlineStr"/>
      <c r="G10756" t="inlineStr"/>
      <c r="H10756" t="inlineStr"/>
    </row>
    <row r="10757">
      <c r="A10757" t="inlineStr">
        <is>
          <t>3c474479-b078-4ee7-8c92-0b6da8893775.jpg</t>
        </is>
      </c>
      <c r="B10757">
        <f>HYPERLINK("Объекты недвижимости, не соответствующие градостроительным нормам_00-022_Август/3c474479-b078-4ee7-8c92-0b6da8893775.jpg","open")</f>
        <v/>
      </c>
      <c r="C10757" t="inlineStr">
        <is>
          <t>93848fc8-17e7-4748-9ebc-c7e379e11d2f</t>
        </is>
      </c>
      <c r="D10757" t="n">
        <v>55.79531</v>
      </c>
      <c r="E10757" t="n">
        <v>37.58666</v>
      </c>
      <c r="F10757" t="inlineStr"/>
      <c r="G10757" t="inlineStr"/>
      <c r="H10757" t="inlineStr"/>
    </row>
    <row r="10758">
      <c r="A10758" t="inlineStr">
        <is>
          <t>db57ef30-42f3-4c96-9419-71765ba1b999.jpg</t>
        </is>
      </c>
      <c r="B10758">
        <f>HYPERLINK("Объекты недвижимости, не соответствующие градостроительным нормам_00-022_Август/db57ef30-42f3-4c96-9419-71765ba1b999.jpg","open")</f>
        <v/>
      </c>
      <c r="C10758" t="inlineStr">
        <is>
          <t>0dd30d74-4dbc-46a8-b638-91e1431bb398</t>
        </is>
      </c>
      <c r="D10758" t="n">
        <v>55.79535</v>
      </c>
      <c r="E10758" t="n">
        <v>37.58655</v>
      </c>
      <c r="F10758" t="inlineStr"/>
      <c r="G10758" t="inlineStr"/>
      <c r="H10758" t="inlineStr"/>
    </row>
    <row r="10759">
      <c r="A10759" t="inlineStr">
        <is>
          <t>046358d7-18d9-4a9e-847d-1e48435a8026.jpg</t>
        </is>
      </c>
      <c r="B10759">
        <f>HYPERLINK("Объекты недвижимости, не соответствующие градостроительным нормам_00-022_Август/046358d7-18d9-4a9e-847d-1e48435a8026.jpg","open")</f>
        <v/>
      </c>
      <c r="C10759" t="inlineStr">
        <is>
          <t>e26f5fc2-1353-4f29-85f3-87c56419161c</t>
        </is>
      </c>
      <c r="D10759" t="n">
        <v>55.76721</v>
      </c>
      <c r="E10759" t="n">
        <v>37.55658</v>
      </c>
      <c r="F10759" t="inlineStr"/>
      <c r="G10759" t="inlineStr"/>
      <c r="H10759" t="inlineStr"/>
    </row>
    <row r="10760">
      <c r="A10760" t="inlineStr">
        <is>
          <t>4dcf1dc9-c3b5-4a78-9288-02e8dec92896.jpg</t>
        </is>
      </c>
      <c r="B10760">
        <f>HYPERLINK("Объекты недвижимости, не соответствующие градостроительным нормам_00-022_Август/4dcf1dc9-c3b5-4a78-9288-02e8dec92896.jpg","open")</f>
        <v/>
      </c>
      <c r="C10760" t="inlineStr">
        <is>
          <t>0dd30d74-4dbc-46a8-b638-91e1431bb398</t>
        </is>
      </c>
      <c r="D10760" t="n">
        <v>55.7961</v>
      </c>
      <c r="E10760" t="n">
        <v>37.58609</v>
      </c>
      <c r="F10760" t="inlineStr"/>
      <c r="G10760" t="inlineStr"/>
      <c r="H10760" t="inlineStr"/>
    </row>
    <row r="10761">
      <c r="A10761" t="inlineStr">
        <is>
          <t>6d92d26f-4742-4150-88d0-ea9db31e3ad2.jpg</t>
        </is>
      </c>
      <c r="B10761">
        <f>HYPERLINK("Объекты недвижимости, не соответствующие градостроительным нормам_00-022_Август/6d92d26f-4742-4150-88d0-ea9db31e3ad2.jpg","open")</f>
        <v/>
      </c>
      <c r="C10761" t="inlineStr">
        <is>
          <t>93848fc8-17e7-4748-9ebc-c7e379e11d2f</t>
        </is>
      </c>
      <c r="D10761" t="n">
        <v>55.79615</v>
      </c>
      <c r="E10761" t="n">
        <v>37.58608</v>
      </c>
      <c r="F10761" t="inlineStr"/>
      <c r="G10761" t="inlineStr"/>
      <c r="H10761" t="inlineStr"/>
    </row>
    <row r="10762">
      <c r="A10762" t="inlineStr">
        <is>
          <t>5628609b-884f-4c18-aeba-467649339667.jpg</t>
        </is>
      </c>
      <c r="B10762">
        <f>HYPERLINK("Объекты недвижимости, не соответствующие градостроительным нормам_00-022_Август/5628609b-884f-4c18-aeba-467649339667.jpg","open")</f>
        <v/>
      </c>
      <c r="C10762" t="inlineStr">
        <is>
          <t>8996eb30-6497-4318-8a0e-b95314b8172e</t>
        </is>
      </c>
      <c r="D10762" t="n">
        <v>55.72294</v>
      </c>
      <c r="E10762" t="n">
        <v>37.69914</v>
      </c>
      <c r="F10762" t="inlineStr"/>
      <c r="G10762" t="inlineStr"/>
      <c r="H10762" t="inlineStr"/>
    </row>
    <row r="10763">
      <c r="A10763" t="inlineStr">
        <is>
          <t>495fa241-bd13-4d19-b772-8ff8102eac21.jpg</t>
        </is>
      </c>
      <c r="B10763">
        <f>HYPERLINK("Объекты недвижимости, не соответствующие градостроительным нормам_00-022_Август/495fa241-bd13-4d19-b772-8ff8102eac21.jpg","open")</f>
        <v/>
      </c>
      <c r="C10763" t="inlineStr">
        <is>
          <t>8b2675e2-7f40-47a9-a462-7c9feecd299c</t>
        </is>
      </c>
      <c r="D10763" t="n">
        <v>55.97675</v>
      </c>
      <c r="E10763" t="n">
        <v>37.40003</v>
      </c>
      <c r="F10763" t="inlineStr"/>
      <c r="G10763" t="inlineStr"/>
      <c r="H10763" t="inlineStr"/>
    </row>
    <row r="10764">
      <c r="A10764" t="inlineStr">
        <is>
          <t>3e11a27d-a4a0-461e-95f0-0525e9871210.jpg</t>
        </is>
      </c>
      <c r="B10764">
        <f>HYPERLINK("Объекты недвижимости, не соответствующие градостроительным нормам_00-022_Август/3e11a27d-a4a0-461e-95f0-0525e9871210.jpg","open")</f>
        <v/>
      </c>
      <c r="C10764" t="inlineStr">
        <is>
          <t>dd22c7c9-0046-46d8-8631-55150dbf8ae5</t>
        </is>
      </c>
      <c r="D10764" t="n">
        <v>55.76297</v>
      </c>
      <c r="E10764" t="n">
        <v>37.6986</v>
      </c>
      <c r="F10764" t="inlineStr"/>
      <c r="G10764" t="inlineStr"/>
      <c r="H10764" t="inlineStr"/>
    </row>
    <row r="10765">
      <c r="A10765" t="inlineStr">
        <is>
          <t>4c53f5bd-d65b-4384-a82a-5ad3f474d099.jpg</t>
        </is>
      </c>
      <c r="B10765">
        <f>HYPERLINK("Объекты недвижимости, не соответствующие градостроительным нормам_00-022_Август/4c53f5bd-d65b-4384-a82a-5ad3f474d099.jpg","open")</f>
        <v/>
      </c>
      <c r="C10765" t="inlineStr">
        <is>
          <t>93848fc8-17e7-4748-9ebc-c7e379e11d2f</t>
        </is>
      </c>
      <c r="D10765" t="n">
        <v>55.80556</v>
      </c>
      <c r="E10765" t="n">
        <v>37.58414</v>
      </c>
      <c r="F10765" t="inlineStr"/>
      <c r="G10765" t="inlineStr"/>
      <c r="H10765" t="inlineStr"/>
    </row>
    <row r="10766">
      <c r="A10766" t="inlineStr">
        <is>
          <t>e83bfe02-cd95-48b8-bfa8-0178d0ffe7d0.jpg</t>
        </is>
      </c>
      <c r="B10766">
        <f>HYPERLINK("Объекты недвижимости, не соответствующие градостроительным нормам_00-022_Август/e83bfe02-cd95-48b8-bfa8-0178d0ffe7d0.jpg","open")</f>
        <v/>
      </c>
      <c r="C10766" t="inlineStr">
        <is>
          <t>93848fc8-17e7-4748-9ebc-c7e379e11d2f</t>
        </is>
      </c>
      <c r="D10766" t="n">
        <v>55.80369</v>
      </c>
      <c r="E10766" t="n">
        <v>37.58685</v>
      </c>
      <c r="F10766" t="inlineStr"/>
      <c r="G10766" t="inlineStr"/>
      <c r="H10766" t="inlineStr"/>
    </row>
    <row r="10767">
      <c r="A10767" t="inlineStr">
        <is>
          <t>aa2e7af7-492a-4248-aa42-15cedbd1e243.jpg</t>
        </is>
      </c>
      <c r="B10767">
        <f>HYPERLINK("Объекты недвижимости, не соответствующие градостроительным нормам_00-022_Август/aa2e7af7-492a-4248-aa42-15cedbd1e243.jpg","open")</f>
        <v/>
      </c>
      <c r="C10767" t="inlineStr">
        <is>
          <t>0dd30d74-4dbc-46a8-b638-91e1431bb398</t>
        </is>
      </c>
      <c r="D10767" t="n">
        <v>55.80369</v>
      </c>
      <c r="E10767" t="n">
        <v>37.58685</v>
      </c>
      <c r="F10767" t="inlineStr"/>
      <c r="G10767" t="inlineStr"/>
      <c r="H10767" t="inlineStr"/>
    </row>
    <row r="10768">
      <c r="A10768" t="inlineStr">
        <is>
          <t>c443135c-de01-460e-a824-6e67539709b2.jpg</t>
        </is>
      </c>
      <c r="B10768">
        <f>HYPERLINK("Объекты недвижимости, не соответствующие градостроительным нормам_00-022_Август/c443135c-de01-460e-a824-6e67539709b2.jpg","open")</f>
        <v/>
      </c>
      <c r="C10768" t="inlineStr">
        <is>
          <t>93848fc8-17e7-4748-9ebc-c7e379e11d2f</t>
        </is>
      </c>
      <c r="D10768" t="n">
        <v>55.80353</v>
      </c>
      <c r="E10768" t="n">
        <v>37.58689</v>
      </c>
      <c r="F10768" t="inlineStr"/>
      <c r="G10768" t="inlineStr"/>
      <c r="H10768" t="inlineStr"/>
    </row>
    <row r="10769">
      <c r="A10769" t="inlineStr">
        <is>
          <t>c9427d07-0b26-42ff-b848-ceed984dd59a.jpg</t>
        </is>
      </c>
      <c r="B10769">
        <f>HYPERLINK("Объекты недвижимости, не соответствующие градостроительным нормам_00-022_Август/c9427d07-0b26-42ff-b848-ceed984dd59a.jpg","open")</f>
        <v/>
      </c>
      <c r="C10769" t="inlineStr">
        <is>
          <t>dd22c7c9-0046-46d8-8631-55150dbf8ae5</t>
        </is>
      </c>
      <c r="D10769" t="n">
        <v>55.76191</v>
      </c>
      <c r="E10769" t="n">
        <v>37.69723</v>
      </c>
      <c r="F10769" t="inlineStr"/>
      <c r="G10769" t="inlineStr"/>
      <c r="H10769" t="inlineStr"/>
    </row>
    <row r="10770">
      <c r="A10770" t="inlineStr">
        <is>
          <t>d0ad267b-146f-4a81-b99c-e636cbe1f473.jpg</t>
        </is>
      </c>
      <c r="B10770">
        <f>HYPERLINK("Объекты недвижимости, не соответствующие градостроительным нормам_00-022_Август/d0ad267b-146f-4a81-b99c-e636cbe1f473.jpg","open")</f>
        <v/>
      </c>
      <c r="C10770" t="inlineStr">
        <is>
          <t>50e4626c-a80e-42ab-b999-b5092c2c063f</t>
        </is>
      </c>
      <c r="D10770" t="n">
        <v>55.98231</v>
      </c>
      <c r="E10770" t="n">
        <v>37.41114</v>
      </c>
      <c r="F10770" t="inlineStr"/>
      <c r="G10770" t="inlineStr"/>
      <c r="H10770" t="inlineStr"/>
    </row>
    <row r="10771">
      <c r="A10771" t="inlineStr">
        <is>
          <t>7f852be3-3f35-4568-b1e2-b271245e38f2.jpg</t>
        </is>
      </c>
      <c r="B10771">
        <f>HYPERLINK("Объекты недвижимости, не соответствующие градостроительным нормам_00-022_Август/7f852be3-3f35-4568-b1e2-b271245e38f2.jpg","open")</f>
        <v/>
      </c>
      <c r="C10771" t="inlineStr">
        <is>
          <t>50e4626c-a80e-42ab-b999-b5092c2c063f</t>
        </is>
      </c>
      <c r="D10771" t="n">
        <v>55.98231</v>
      </c>
      <c r="E10771" t="n">
        <v>37.41114</v>
      </c>
      <c r="F10771" t="inlineStr"/>
      <c r="G10771" t="inlineStr"/>
      <c r="H10771" t="inlineStr"/>
    </row>
    <row r="10772">
      <c r="A10772" t="inlineStr">
        <is>
          <t>6eca125e-f34a-4d73-9c71-38bde9666404.jpg</t>
        </is>
      </c>
      <c r="B10772">
        <f>HYPERLINK("Объекты недвижимости, не соответствующие градостроительным нормам_00-022_Август/6eca125e-f34a-4d73-9c71-38bde9666404.jpg","open")</f>
        <v/>
      </c>
      <c r="C10772" t="inlineStr">
        <is>
          <t>93848fc8-17e7-4748-9ebc-c7e379e11d2f</t>
        </is>
      </c>
      <c r="D10772" t="n">
        <v>55.80599</v>
      </c>
      <c r="E10772" t="n">
        <v>37.58617</v>
      </c>
      <c r="F10772" t="inlineStr"/>
      <c r="G10772" t="inlineStr"/>
      <c r="H10772" t="inlineStr"/>
    </row>
    <row r="10773">
      <c r="A10773" t="inlineStr">
        <is>
          <t>85d2a140-0f75-4fcc-a4fc-5309cd7b8839.jpg</t>
        </is>
      </c>
      <c r="B10773">
        <f>HYPERLINK("Объекты недвижимости, не соответствующие градостроительным нормам_00-022_Август/85d2a140-0f75-4fcc-a4fc-5309cd7b8839.jpg","open")</f>
        <v/>
      </c>
      <c r="C10773" t="inlineStr">
        <is>
          <t>93848fc8-17e7-4748-9ebc-c7e379e11d2f</t>
        </is>
      </c>
      <c r="D10773" t="n">
        <v>55.80584</v>
      </c>
      <c r="E10773" t="n">
        <v>37.5842</v>
      </c>
      <c r="F10773" t="inlineStr"/>
      <c r="G10773" t="inlineStr"/>
      <c r="H10773" t="inlineStr"/>
    </row>
    <row r="10774">
      <c r="A10774" t="inlineStr">
        <is>
          <t>41d1b7cd-a095-48df-a5f5-ec091cdb9bf9.jpg</t>
        </is>
      </c>
      <c r="B10774">
        <f>HYPERLINK("Объекты недвижимости, не соответствующие градостроительным нормам_00-022_Август/41d1b7cd-a095-48df-a5f5-ec091cdb9bf9.jpg","open")</f>
        <v/>
      </c>
      <c r="C10774" t="inlineStr">
        <is>
          <t>dd22c7c9-0046-46d8-8631-55150dbf8ae5</t>
        </is>
      </c>
      <c r="D10774" t="n">
        <v>55.76556</v>
      </c>
      <c r="E10774" t="n">
        <v>37.71413</v>
      </c>
      <c r="F10774" t="inlineStr"/>
      <c r="G10774" t="inlineStr"/>
      <c r="H10774" t="inlineStr"/>
    </row>
    <row r="10775">
      <c r="A10775" t="inlineStr">
        <is>
          <t>9883008f-bb3d-4c49-ab42-2640f379c23d.jpg</t>
        </is>
      </c>
      <c r="B10775">
        <f>HYPERLINK("Объекты недвижимости, не соответствующие градостроительным нормам_00-022_Август/9883008f-bb3d-4c49-ab42-2640f379c23d.jpg","open")</f>
        <v/>
      </c>
      <c r="C10775" t="inlineStr">
        <is>
          <t>b0b7ea82-53be-40d0-b992-e2fd18611d5c</t>
        </is>
      </c>
      <c r="D10775" t="n">
        <v>55.7094</v>
      </c>
      <c r="E10775" t="n">
        <v>37.73304</v>
      </c>
      <c r="F10775" t="inlineStr"/>
      <c r="G10775" t="inlineStr"/>
      <c r="H10775" t="inlineStr"/>
    </row>
    <row r="10776">
      <c r="A10776" t="inlineStr">
        <is>
          <t>ca826412-69df-46a1-bb9a-ad9c79c0415f.jpg</t>
        </is>
      </c>
      <c r="B10776">
        <f>HYPERLINK("Объекты недвижимости, не соответствующие градостроительным нормам_00-022_Август/ca826412-69df-46a1-bb9a-ad9c79c0415f.jpg","open")</f>
        <v/>
      </c>
      <c r="C10776" t="inlineStr">
        <is>
          <t>6e2567a0-1fb9-40d5-a0e7-0adb480d2965</t>
        </is>
      </c>
      <c r="D10776" t="n">
        <v>55.74955</v>
      </c>
      <c r="E10776" t="n">
        <v>37.65693</v>
      </c>
      <c r="F10776" t="inlineStr"/>
      <c r="G10776" t="inlineStr"/>
      <c r="H10776" t="inlineStr"/>
    </row>
    <row r="10777">
      <c r="A10777" t="inlineStr">
        <is>
          <t>89da7041-f020-4c19-9c4f-cac0f613d2f0.jpg</t>
        </is>
      </c>
      <c r="B10777">
        <f>HYPERLINK("Объекты недвижимости, не соответствующие градостроительным нормам_00-022_Август/89da7041-f020-4c19-9c4f-cac0f613d2f0.jpg","open")</f>
        <v/>
      </c>
      <c r="C10777" t="inlineStr">
        <is>
          <t>5e5b9944-4f9e-4223-bf96-0bc0c8a93dfa</t>
        </is>
      </c>
      <c r="D10777" t="n">
        <v>55.98064</v>
      </c>
      <c r="E10777" t="n">
        <v>37.40541</v>
      </c>
      <c r="F10777" t="inlineStr"/>
      <c r="G10777" t="inlineStr"/>
      <c r="H10777" t="inlineStr"/>
    </row>
    <row r="10778">
      <c r="A10778" t="inlineStr">
        <is>
          <t>febf0897-254b-43c1-8df3-5de86da593ae.jpg</t>
        </is>
      </c>
      <c r="B10778">
        <f>HYPERLINK("Объекты недвижимости, не соответствующие градостроительным нормам_00-022_Август/febf0897-254b-43c1-8df3-5de86da593ae.jpg","open")</f>
        <v/>
      </c>
      <c r="C10778" t="inlineStr">
        <is>
          <t>5e5b9944-4f9e-4223-bf96-0bc0c8a93dfa</t>
        </is>
      </c>
      <c r="D10778" t="n">
        <v>55.96964</v>
      </c>
      <c r="E10778" t="n">
        <v>37.40034</v>
      </c>
      <c r="F10778" t="inlineStr"/>
      <c r="G10778" t="inlineStr"/>
      <c r="H10778" t="inlineStr"/>
    </row>
    <row r="10779">
      <c r="A10779" t="inlineStr">
        <is>
          <t>48cc61da-c8e6-4166-8761-05fada1d959b.jpg</t>
        </is>
      </c>
      <c r="B10779">
        <f>HYPERLINK("Объекты недвижимости, не соответствующие градостроительным нормам_00-022_Август/48cc61da-c8e6-4166-8761-05fada1d959b.jpg","open")</f>
        <v/>
      </c>
      <c r="C10779" t="inlineStr">
        <is>
          <t>caa4772d-6278-4484-a046-ee25514bf521</t>
        </is>
      </c>
      <c r="D10779" t="n">
        <v>55.71805</v>
      </c>
      <c r="E10779" t="n">
        <v>37.50177</v>
      </c>
      <c r="F10779" t="inlineStr"/>
      <c r="G10779" t="inlineStr"/>
      <c r="H10779" t="inlineStr"/>
    </row>
    <row r="10780">
      <c r="A10780" t="inlineStr">
        <is>
          <t>04575626-c6cf-4a17-9ec2-3905fd929c62.jpg</t>
        </is>
      </c>
      <c r="B10780">
        <f>HYPERLINK("Объекты недвижимости, не соответствующие градостроительным нормам_00-022_Август/04575626-c6cf-4a17-9ec2-3905fd929c62.jpg","open")</f>
        <v/>
      </c>
      <c r="C10780" t="inlineStr">
        <is>
          <t>56702d00-3d38-4721-8f83-3846a59c1e44</t>
        </is>
      </c>
      <c r="D10780" t="n">
        <v>55.98231</v>
      </c>
      <c r="E10780" t="n">
        <v>37.41114</v>
      </c>
      <c r="F10780" t="inlineStr"/>
      <c r="G10780" t="inlineStr"/>
      <c r="H10780" t="inlineStr"/>
    </row>
    <row r="10781">
      <c r="A10781" t="inlineStr">
        <is>
          <t>2f0fcdff-bd5c-41f0-affa-6dc2661fb25b.jpg</t>
        </is>
      </c>
      <c r="B10781">
        <f>HYPERLINK("Объекты недвижимости, не соответствующие градостроительным нормам_00-022_Август/2f0fcdff-bd5c-41f0-affa-6dc2661fb25b.jpg","open")</f>
        <v/>
      </c>
      <c r="C10781" t="inlineStr">
        <is>
          <t>50e4626c-a80e-42ab-b999-b5092c2c063f</t>
        </is>
      </c>
      <c r="D10781" t="n">
        <v>55.98231</v>
      </c>
      <c r="E10781" t="n">
        <v>37.41114</v>
      </c>
      <c r="F10781" t="inlineStr"/>
      <c r="G10781" t="inlineStr"/>
      <c r="H10781" t="inlineStr"/>
    </row>
    <row r="10782">
      <c r="A10782" t="inlineStr">
        <is>
          <t>e634cb1e-4c8e-48cb-8abe-967583f7a3f5.jpg</t>
        </is>
      </c>
      <c r="B10782">
        <f>HYPERLINK("Объекты недвижимости, не соответствующие градостроительным нормам_00-022_Август/e634cb1e-4c8e-48cb-8abe-967583f7a3f5.jpg","open")</f>
        <v/>
      </c>
      <c r="C10782" t="inlineStr">
        <is>
          <t>8cde1fd0-eca1-4510-86ab-3c743b65fdfc</t>
        </is>
      </c>
      <c r="D10782" t="n">
        <v>55.64165</v>
      </c>
      <c r="E10782" t="n">
        <v>37.68338</v>
      </c>
      <c r="F10782" t="inlineStr"/>
      <c r="G10782" t="inlineStr"/>
      <c r="H10782" t="inlineStr"/>
    </row>
    <row r="10783">
      <c r="A10783" t="inlineStr">
        <is>
          <t>94c5b8f4-37d5-4f11-a45e-3732de4d6730.jpg</t>
        </is>
      </c>
      <c r="B10783">
        <f>HYPERLINK("Объекты недвижимости, не соответствующие градостроительным нормам_00-022_Август/94c5b8f4-37d5-4f11-a45e-3732de4d6730.jpg","open")</f>
        <v/>
      </c>
      <c r="C10783" t="inlineStr">
        <is>
          <t>dd22c7c9-0046-46d8-8631-55150dbf8ae5</t>
        </is>
      </c>
      <c r="D10783" t="n">
        <v>55.74819</v>
      </c>
      <c r="E10783" t="n">
        <v>37.7</v>
      </c>
      <c r="F10783" t="inlineStr"/>
      <c r="G10783" t="inlineStr"/>
      <c r="H10783" t="inlineStr"/>
    </row>
    <row r="10784">
      <c r="A10784" t="inlineStr">
        <is>
          <t>2ec9596b-00a5-436f-bebc-4e1ddd0261e4.jpg</t>
        </is>
      </c>
      <c r="B10784">
        <f>HYPERLINK("Объекты недвижимости, не соответствующие градостроительным нормам_00-022_Август/2ec9596b-00a5-436f-bebc-4e1ddd0261e4.jpg","open")</f>
        <v/>
      </c>
      <c r="C10784" t="inlineStr">
        <is>
          <t>b0b7ea82-53be-40d0-b992-e2fd18611d5c</t>
        </is>
      </c>
      <c r="D10784" t="n">
        <v>55.69024</v>
      </c>
      <c r="E10784" t="n">
        <v>37.7206</v>
      </c>
      <c r="F10784" t="inlineStr"/>
      <c r="G10784" t="inlineStr"/>
      <c r="H10784" t="inlineStr"/>
    </row>
    <row r="10785">
      <c r="A10785" t="inlineStr">
        <is>
          <t>ea35bc4c-45bd-4139-97b8-9db5f7eeefad.jpg</t>
        </is>
      </c>
      <c r="B10785">
        <f>HYPERLINK("Объекты недвижимости, не соответствующие градостроительным нормам_00-022_Август/ea35bc4c-45bd-4139-97b8-9db5f7eeefad.jpg","open")</f>
        <v/>
      </c>
      <c r="C10785" t="inlineStr">
        <is>
          <t>1c951e11-4940-43c6-a447-394097e5609a</t>
        </is>
      </c>
      <c r="D10785" t="n">
        <v>55.64251</v>
      </c>
      <c r="E10785" t="n">
        <v>37.68048</v>
      </c>
      <c r="F10785" t="inlineStr"/>
      <c r="G10785" t="inlineStr"/>
      <c r="H10785" t="inlineStr"/>
    </row>
    <row r="10786">
      <c r="A10786" t="inlineStr">
        <is>
          <t>c154163a-5a87-4011-9901-0525c1b55b72.jpg</t>
        </is>
      </c>
      <c r="B10786">
        <f>HYPERLINK("Объекты недвижимости, не соответствующие градостроительным нормам_00-022_Август/c154163a-5a87-4011-9901-0525c1b55b72.jpg","open")</f>
        <v/>
      </c>
      <c r="C10786" t="inlineStr">
        <is>
          <t>8cde1fd0-eca1-4510-86ab-3c743b65fdfc</t>
        </is>
      </c>
      <c r="D10786" t="n">
        <v>55.64262</v>
      </c>
      <c r="E10786" t="n">
        <v>37.68018</v>
      </c>
      <c r="F10786" t="inlineStr"/>
      <c r="G10786" t="inlineStr"/>
      <c r="H10786" t="inlineStr"/>
    </row>
    <row r="10787">
      <c r="A10787" t="inlineStr">
        <is>
          <t>728de3e5-f257-435e-9105-9cdf34b3cec2.jpg</t>
        </is>
      </c>
      <c r="B10787">
        <f>HYPERLINK("Объекты недвижимости, не соответствующие градостроительным нормам_00-022_Август/728de3e5-f257-435e-9105-9cdf34b3cec2.jpg","open")</f>
        <v/>
      </c>
      <c r="C10787" t="inlineStr">
        <is>
          <t>fce890a6-27da-4062-a046-08262a160ee6</t>
        </is>
      </c>
      <c r="D10787" t="n">
        <v>55.78674</v>
      </c>
      <c r="E10787" t="n">
        <v>37.56681</v>
      </c>
      <c r="F10787" t="inlineStr"/>
      <c r="G10787" t="inlineStr"/>
      <c r="H10787" t="inlineStr"/>
    </row>
    <row r="10788">
      <c r="A10788" t="inlineStr">
        <is>
          <t>748e3894-41f4-411a-a987-9228d4c069b3.jpg</t>
        </is>
      </c>
      <c r="B10788">
        <f>HYPERLINK("Объекты недвижимости, не соответствующие градостроительным нормам_00-022_Август/748e3894-41f4-411a-a987-9228d4c069b3.jpg","open")</f>
        <v/>
      </c>
      <c r="C10788" t="inlineStr">
        <is>
          <t>dd22c7c9-0046-46d8-8631-55150dbf8ae5</t>
        </is>
      </c>
      <c r="D10788" t="n">
        <v>55.74819</v>
      </c>
      <c r="E10788" t="n">
        <v>37.7</v>
      </c>
      <c r="F10788" t="inlineStr"/>
      <c r="G10788" t="inlineStr"/>
      <c r="H10788" t="inlineStr"/>
    </row>
    <row r="10789">
      <c r="A10789" t="inlineStr">
        <is>
          <t>2cda6997-a63c-40d7-8a02-344c3a863bb4.jpg</t>
        </is>
      </c>
      <c r="B10789">
        <f>HYPERLINK("Объекты недвижимости, не соответствующие градостроительным нормам_00-022_Август/2cda6997-a63c-40d7-8a02-344c3a863bb4.jpg","open")</f>
        <v/>
      </c>
      <c r="C10789" t="inlineStr">
        <is>
          <t>50e4626c-a80e-42ab-b999-b5092c2c063f</t>
        </is>
      </c>
      <c r="D10789" t="n">
        <v>55.98231</v>
      </c>
      <c r="E10789" t="n">
        <v>37.41114</v>
      </c>
      <c r="F10789" t="inlineStr"/>
      <c r="G10789" t="inlineStr"/>
      <c r="H10789" t="inlineStr"/>
    </row>
    <row r="10790">
      <c r="A10790" t="inlineStr">
        <is>
          <t>4f95e882-1d38-4c69-a2ab-7b6b92150326.jpg</t>
        </is>
      </c>
      <c r="B10790">
        <f>HYPERLINK("Объекты недвижимости, не соответствующие градостроительным нормам_00-022_Август/4f95e882-1d38-4c69-a2ab-7b6b92150326.jpg","open")</f>
        <v/>
      </c>
      <c r="C10790" t="inlineStr">
        <is>
          <t>1231bbc5-e64c-4dc7-9acc-77710f47607a</t>
        </is>
      </c>
      <c r="D10790" t="n">
        <v>55.67279</v>
      </c>
      <c r="E10790" t="n">
        <v>37.5708</v>
      </c>
      <c r="F10790" t="inlineStr"/>
      <c r="G10790" t="inlineStr"/>
      <c r="H10790" t="inlineStr"/>
    </row>
    <row r="10791">
      <c r="A10791" t="inlineStr">
        <is>
          <t>aa6b8733-6371-4588-9396-75c19a81b832.jpg</t>
        </is>
      </c>
      <c r="B10791">
        <f>HYPERLINK("Объекты недвижимости, не соответствующие градостроительным нормам_00-022_Август/aa6b8733-6371-4588-9396-75c19a81b832.jpg","open")</f>
        <v/>
      </c>
      <c r="C10791" t="inlineStr">
        <is>
          <t>61936922-4d4b-458e-80ea-6d4c450aa1d5</t>
        </is>
      </c>
      <c r="D10791" t="n">
        <v>55.7029</v>
      </c>
      <c r="E10791" t="n">
        <v>37.46383</v>
      </c>
      <c r="F10791" t="inlineStr"/>
      <c r="G10791" t="inlineStr"/>
      <c r="H10791" t="inlineStr"/>
    </row>
    <row r="10792">
      <c r="A10792" t="inlineStr">
        <is>
          <t>4ae1daa9-ef7e-4c6c-848d-f975bdc96e59.jpg</t>
        </is>
      </c>
      <c r="B10792">
        <f>HYPERLINK("Объекты недвижимости, не соответствующие градостроительным нормам_00-022_Август/4ae1daa9-ef7e-4c6c-848d-f975bdc96e59.jpg","open")</f>
        <v/>
      </c>
      <c r="C10792" t="inlineStr">
        <is>
          <t>9fb3d110-951f-48da-9d90-cfd7e1b5800d</t>
        </is>
      </c>
      <c r="D10792" t="n">
        <v>55.70292</v>
      </c>
      <c r="E10792" t="n">
        <v>37.46381</v>
      </c>
      <c r="F10792" t="inlineStr"/>
      <c r="G10792" t="inlineStr"/>
      <c r="H10792" t="inlineStr"/>
    </row>
    <row r="10793">
      <c r="A10793" t="inlineStr">
        <is>
          <t>c7497c52-efaf-48a1-b59b-9a4fe97b9a59.jpg</t>
        </is>
      </c>
      <c r="B10793">
        <f>HYPERLINK("Объекты недвижимости, не соответствующие градостроительным нормам_00-022_Август/c7497c52-efaf-48a1-b59b-9a4fe97b9a59.jpg","open")</f>
        <v/>
      </c>
      <c r="C10793" t="inlineStr">
        <is>
          <t>036c664f-5408-4fd0-b479-342c00468eeb</t>
        </is>
      </c>
      <c r="D10793" t="n">
        <v>55.76453</v>
      </c>
      <c r="E10793" t="n">
        <v>37.40894</v>
      </c>
      <c r="F10793" t="inlineStr"/>
      <c r="G10793" t="inlineStr"/>
      <c r="H10793" t="inlineStr"/>
    </row>
    <row r="10794">
      <c r="A10794" t="inlineStr">
        <is>
          <t>cc94b708-ac1a-4212-8dae-96211777c473.jpg</t>
        </is>
      </c>
      <c r="B10794">
        <f>HYPERLINK("Объекты недвижимости, не соответствующие градостроительным нормам_00-022_Август/cc94b708-ac1a-4212-8dae-96211777c473.jpg","open")</f>
        <v/>
      </c>
      <c r="C10794" t="inlineStr">
        <is>
          <t>61936922-4d4b-458e-80ea-6d4c450aa1d5</t>
        </is>
      </c>
      <c r="D10794" t="n">
        <v>55.70467</v>
      </c>
      <c r="E10794" t="n">
        <v>37.46329</v>
      </c>
      <c r="F10794" t="inlineStr"/>
      <c r="G10794" t="inlineStr"/>
      <c r="H10794" t="inlineStr"/>
    </row>
    <row r="10795">
      <c r="A10795" t="inlineStr">
        <is>
          <t>73ea64b2-3591-4bb3-ab7e-830018535c8a.jpg</t>
        </is>
      </c>
      <c r="B10795">
        <f>HYPERLINK("Объекты недвижимости, не соответствующие градостроительным нормам_00-022_Август/73ea64b2-3591-4bb3-ab7e-830018535c8a.jpg","open")</f>
        <v/>
      </c>
      <c r="C10795" t="inlineStr">
        <is>
          <t>61936922-4d4b-458e-80ea-6d4c450aa1d5</t>
        </is>
      </c>
      <c r="D10795" t="n">
        <v>55.70467</v>
      </c>
      <c r="E10795" t="n">
        <v>37.46333</v>
      </c>
      <c r="F10795" t="inlineStr"/>
      <c r="G10795" t="inlineStr"/>
      <c r="H10795" t="inlineStr"/>
    </row>
    <row r="10796">
      <c r="A10796" t="inlineStr">
        <is>
          <t>cb4b3e44-1718-4e01-aa6e-791aaa8da9e2.jpg</t>
        </is>
      </c>
      <c r="B10796">
        <f>HYPERLINK("Объекты недвижимости, не соответствующие градостроительным нормам_00-022_Август/cb4b3e44-1718-4e01-aa6e-791aaa8da9e2.jpg","open")</f>
        <v/>
      </c>
      <c r="C10796" t="inlineStr">
        <is>
          <t>9fb3d110-951f-48da-9d90-cfd7e1b5800d</t>
        </is>
      </c>
      <c r="D10796" t="n">
        <v>55.70465</v>
      </c>
      <c r="E10796" t="n">
        <v>37.46333</v>
      </c>
      <c r="F10796" t="inlineStr"/>
      <c r="G10796" t="inlineStr"/>
      <c r="H10796" t="inlineStr"/>
    </row>
    <row r="10797">
      <c r="A10797" t="inlineStr">
        <is>
          <t>9c6054c1-21d2-482c-a3cc-0ff1306ba0f0.jpg</t>
        </is>
      </c>
      <c r="B10797">
        <f>HYPERLINK("Объекты недвижимости, не соответствующие градостроительным нормам_00-022_Август/9c6054c1-21d2-482c-a3cc-0ff1306ba0f0.jpg","open")</f>
        <v/>
      </c>
      <c r="C10797" t="inlineStr">
        <is>
          <t>789f6c51-64ee-4078-b7bd-443af8b8b68a</t>
        </is>
      </c>
      <c r="D10797" t="n">
        <v>55.89342</v>
      </c>
      <c r="E10797" t="n">
        <v>37.60952</v>
      </c>
      <c r="F10797" t="inlineStr"/>
      <c r="G10797" t="inlineStr"/>
      <c r="H10797" t="inlineStr"/>
    </row>
    <row r="10798">
      <c r="A10798" t="inlineStr">
        <is>
          <t>73c80f76-2092-4659-83c3-9cea03a81419.jpg</t>
        </is>
      </c>
      <c r="B10798">
        <f>HYPERLINK("Объекты недвижимости, не соответствующие градостроительным нормам_00-022_Август/73c80f76-2092-4659-83c3-9cea03a81419.jpg","open")</f>
        <v/>
      </c>
      <c r="C10798" t="inlineStr">
        <is>
          <t>e26f5fc2-1353-4f29-85f3-87c56419161c</t>
        </is>
      </c>
      <c r="D10798" t="n">
        <v>55.76721</v>
      </c>
      <c r="E10798" t="n">
        <v>37.55658</v>
      </c>
      <c r="F10798" t="inlineStr"/>
      <c r="G10798" t="inlineStr"/>
      <c r="H10798" t="inlineStr"/>
    </row>
    <row r="10799">
      <c r="A10799" t="inlineStr">
        <is>
          <t>a1bf5ea7-f06e-4a4f-a717-36b0ab6d32df.jpg</t>
        </is>
      </c>
      <c r="B10799">
        <f>HYPERLINK("Объекты недвижимости, не соответствующие градостроительным нормам_00-022_Август/a1bf5ea7-f06e-4a4f-a717-36b0ab6d32df.jpg","open")</f>
        <v/>
      </c>
      <c r="C10799" t="inlineStr">
        <is>
          <t>e26f5fc2-1353-4f29-85f3-87c56419161c</t>
        </is>
      </c>
      <c r="D10799" t="n">
        <v>55.76721</v>
      </c>
      <c r="E10799" t="n">
        <v>37.55658</v>
      </c>
      <c r="F10799" t="inlineStr"/>
      <c r="G10799" t="inlineStr"/>
      <c r="H10799" t="inlineStr"/>
    </row>
    <row r="10800">
      <c r="A10800" t="inlineStr">
        <is>
          <t>bcc1bd14-844f-46c3-8d03-9a6ad850b076.jpg</t>
        </is>
      </c>
      <c r="B10800">
        <f>HYPERLINK("Объекты недвижимости, не соответствующие градостроительным нормам_00-022_Август/bcc1bd14-844f-46c3-8d03-9a6ad850b076.jpg","open")</f>
        <v/>
      </c>
      <c r="C10800" t="inlineStr">
        <is>
          <t>f20fbc2b-b369-4734-bb66-92af02fbb0d1</t>
        </is>
      </c>
      <c r="D10800" t="n">
        <v>55.68789</v>
      </c>
      <c r="E10800" t="n">
        <v>37.71803</v>
      </c>
      <c r="F10800" t="inlineStr"/>
      <c r="G10800" t="inlineStr"/>
      <c r="H10800" t="inlineStr"/>
    </row>
    <row r="10801">
      <c r="A10801" t="inlineStr">
        <is>
          <t>7b89482b-fad5-4870-9e82-dba00317e091.jpg</t>
        </is>
      </c>
      <c r="B10801">
        <f>HYPERLINK("Объекты недвижимости, не соответствующие градостроительным нормам_00-022_Август/7b89482b-fad5-4870-9e82-dba00317e091.jpg","open")</f>
        <v/>
      </c>
      <c r="C10801" t="inlineStr">
        <is>
          <t>9fb3d110-951f-48da-9d90-cfd7e1b5800d</t>
        </is>
      </c>
      <c r="D10801" t="n">
        <v>55.7057</v>
      </c>
      <c r="E10801" t="n">
        <v>37.4609</v>
      </c>
      <c r="F10801" t="inlineStr"/>
      <c r="G10801" t="inlineStr"/>
      <c r="H10801" t="inlineStr"/>
    </row>
    <row r="10802">
      <c r="A10802" t="inlineStr">
        <is>
          <t>0b1c0116-de74-4c0d-a277-fe30ae5174e8.jpg</t>
        </is>
      </c>
      <c r="B10802">
        <f>HYPERLINK("Объекты недвижимости, не соответствующие градостроительным нормам_00-022_Август/0b1c0116-de74-4c0d-a277-fe30ae5174e8.jpg","open")</f>
        <v/>
      </c>
      <c r="C10802" t="inlineStr">
        <is>
          <t>1c951e11-4940-43c6-a447-394097e5609a</t>
        </is>
      </c>
      <c r="D10802" t="n">
        <v>55.64732</v>
      </c>
      <c r="E10802" t="n">
        <v>37.6324</v>
      </c>
      <c r="F10802" t="inlineStr"/>
      <c r="G10802" t="inlineStr"/>
      <c r="H10802" t="inlineStr"/>
    </row>
    <row r="10803">
      <c r="A10803" t="inlineStr">
        <is>
          <t>9a9d3418-955d-4c8d-b1b4-025986736480.jpg</t>
        </is>
      </c>
      <c r="B10803">
        <f>HYPERLINK("Объекты недвижимости, не соответствующие градостроительным нормам_00-022_Август/9a9d3418-955d-4c8d-b1b4-025986736480.jpg","open")</f>
        <v/>
      </c>
      <c r="C10803" t="inlineStr">
        <is>
          <t>8cde1fd0-eca1-4510-86ab-3c743b65fdfc</t>
        </is>
      </c>
      <c r="D10803" t="n">
        <v>55.64828</v>
      </c>
      <c r="E10803" t="n">
        <v>37.62841</v>
      </c>
      <c r="F10803" t="inlineStr"/>
      <c r="G10803" t="inlineStr"/>
      <c r="H10803" t="inlineStr"/>
    </row>
    <row r="10804">
      <c r="A10804" t="inlineStr">
        <is>
          <t>3f9f40ff-406c-47ad-974c-de65c6344275.jpg</t>
        </is>
      </c>
      <c r="B10804">
        <f>HYPERLINK("Объекты недвижимости, не соответствующие градостроительным нормам_00-022_Август/3f9f40ff-406c-47ad-974c-de65c6344275.jpg","open")</f>
        <v/>
      </c>
      <c r="C10804" t="inlineStr">
        <is>
          <t>b0b7ea82-53be-40d0-b992-e2fd18611d5c</t>
        </is>
      </c>
      <c r="D10804" t="n">
        <v>55.68706</v>
      </c>
      <c r="E10804" t="n">
        <v>37.72042</v>
      </c>
      <c r="F10804" t="inlineStr"/>
      <c r="G10804" t="inlineStr"/>
      <c r="H10804" t="inlineStr"/>
    </row>
    <row r="10805">
      <c r="A10805" t="inlineStr">
        <is>
          <t>eaf2eee9-1ea4-4185-8c38-757ddbea7435.jpg</t>
        </is>
      </c>
      <c r="B10805">
        <f>HYPERLINK("Объекты недвижимости, не соответствующие градостроительным нормам_00-022_Август/eaf2eee9-1ea4-4185-8c38-757ddbea7435.jpg","open")</f>
        <v/>
      </c>
      <c r="C10805" t="inlineStr">
        <is>
          <t>f20fbc2b-b369-4734-bb66-92af02fbb0d1</t>
        </is>
      </c>
      <c r="D10805" t="n">
        <v>55.68711</v>
      </c>
      <c r="E10805" t="n">
        <v>37.72039</v>
      </c>
      <c r="F10805" t="inlineStr"/>
      <c r="G10805" t="inlineStr"/>
      <c r="H10805" t="inlineStr"/>
    </row>
    <row r="10806">
      <c r="A10806" t="inlineStr">
        <is>
          <t>0c91d595-5db7-4445-98fb-fbfc26d3e23d.jpg</t>
        </is>
      </c>
      <c r="B10806">
        <f>HYPERLINK("Объекты недвижимости, не соответствующие градостроительным нормам_00-022_Август/0c91d595-5db7-4445-98fb-fbfc26d3e23d.jpg","open")</f>
        <v/>
      </c>
      <c r="C10806" t="inlineStr">
        <is>
          <t>8cde1fd0-eca1-4510-86ab-3c743b65fdfc</t>
        </is>
      </c>
      <c r="D10806" t="n">
        <v>55.64779</v>
      </c>
      <c r="E10806" t="n">
        <v>37.62582</v>
      </c>
      <c r="F10806" t="inlineStr"/>
      <c r="G10806" t="inlineStr"/>
      <c r="H10806" t="inlineStr"/>
    </row>
    <row r="10807">
      <c r="A10807" t="inlineStr">
        <is>
          <t>bb934f37-b007-458d-8d46-9fef745c805f.jpg</t>
        </is>
      </c>
      <c r="B10807">
        <f>HYPERLINK("Объекты недвижимости, не соответствующие градостроительным нормам_00-022_Август/bb934f37-b007-458d-8d46-9fef745c805f.jpg","open")</f>
        <v/>
      </c>
      <c r="C10807" t="inlineStr">
        <is>
          <t>030e8755-17c1-44eb-9530-707d0d3121cb</t>
        </is>
      </c>
      <c r="D10807" t="n">
        <v>55.68115</v>
      </c>
      <c r="E10807" t="n">
        <v>37.70401</v>
      </c>
      <c r="F10807" t="inlineStr"/>
      <c r="G10807" t="inlineStr"/>
      <c r="H10807" t="inlineStr"/>
    </row>
    <row r="10808">
      <c r="A10808" t="inlineStr">
        <is>
          <t>36f0e297-5b17-4154-b6cf-513e97a36805.jpg</t>
        </is>
      </c>
      <c r="B10808">
        <f>HYPERLINK("Объекты недвижимости, не соответствующие градостроительным нормам_00-022_Август/36f0e297-5b17-4154-b6cf-513e97a36805.jpg","open")</f>
        <v/>
      </c>
      <c r="C10808" t="inlineStr">
        <is>
          <t>936502dd-24a4-4256-9fdf-0d8fb72af3ed</t>
        </is>
      </c>
      <c r="D10808" t="n">
        <v>55.68108</v>
      </c>
      <c r="E10808" t="n">
        <v>37.70412</v>
      </c>
      <c r="F10808" t="inlineStr"/>
      <c r="G10808" t="inlineStr"/>
      <c r="H10808" t="inlineStr"/>
    </row>
    <row r="10809">
      <c r="A10809" t="inlineStr">
        <is>
          <t>a75549bc-cfdf-42c2-98f2-de5135fb1bd1.jpg</t>
        </is>
      </c>
      <c r="B10809">
        <f>HYPERLINK("Объекты недвижимости, не соответствующие градостроительным нормам_00-022_Август/a75549bc-cfdf-42c2-98f2-de5135fb1bd1.jpg","open")</f>
        <v/>
      </c>
      <c r="C10809" t="inlineStr">
        <is>
          <t>57aae8a4-582b-4309-8045-c8127a9f86ae</t>
        </is>
      </c>
      <c r="D10809" t="n">
        <v>55.70626</v>
      </c>
      <c r="E10809" t="n">
        <v>37.86966</v>
      </c>
      <c r="F10809" t="inlineStr"/>
      <c r="G10809" t="inlineStr"/>
      <c r="H10809" t="inlineStr"/>
    </row>
    <row r="10810">
      <c r="A10810" t="inlineStr">
        <is>
          <t>a6ebb317-de2e-4362-b2f5-6f415ab97c32.jpg</t>
        </is>
      </c>
      <c r="B10810">
        <f>HYPERLINK("Объекты недвижимости, не соответствующие градостроительным нормам_00-022_Август/a6ebb317-de2e-4362-b2f5-6f415ab97c32.jpg","open")</f>
        <v/>
      </c>
      <c r="C10810" t="inlineStr">
        <is>
          <t>685d9054-b74f-49ab-857b-109fd2cec80d</t>
        </is>
      </c>
      <c r="D10810" t="n">
        <v>55.67068</v>
      </c>
      <c r="E10810" t="n">
        <v>37.57383</v>
      </c>
      <c r="F10810" t="inlineStr"/>
      <c r="G10810" t="inlineStr"/>
      <c r="H10810" t="inlineStr"/>
    </row>
    <row r="10811">
      <c r="A10811" t="inlineStr">
        <is>
          <t>13cf23b2-970a-4049-aaa7-243c857ea1e3.jpg</t>
        </is>
      </c>
      <c r="B10811">
        <f>HYPERLINK("Объекты недвижимости, не соответствующие градостроительным нормам_00-022_Август/13cf23b2-970a-4049-aaa7-243c857ea1e3.jpg","open")</f>
        <v/>
      </c>
      <c r="C10811" t="inlineStr">
        <is>
          <t>052a5a2b-f222-4b50-b2cc-21612f1f234a</t>
        </is>
      </c>
      <c r="D10811" t="n">
        <v>55.96731</v>
      </c>
      <c r="E10811" t="n">
        <v>37.42669</v>
      </c>
      <c r="F10811" t="inlineStr"/>
      <c r="G10811" t="inlineStr"/>
      <c r="H10811" t="inlineStr"/>
    </row>
    <row r="10812">
      <c r="A10812" t="inlineStr">
        <is>
          <t>00fe4ff8-1bba-4fb3-9d59-23c3064c965d.jpg</t>
        </is>
      </c>
      <c r="B10812">
        <f>HYPERLINK("Объекты недвижимости, не соответствующие градостроительным нормам_00-022_Август/00fe4ff8-1bba-4fb3-9d59-23c3064c965d.jpg","open")</f>
        <v/>
      </c>
      <c r="C10812" t="inlineStr">
        <is>
          <t>caa4772d-6278-4484-a046-ee25514bf521</t>
        </is>
      </c>
      <c r="D10812" t="n">
        <v>55.71799</v>
      </c>
      <c r="E10812" t="n">
        <v>37.50175</v>
      </c>
      <c r="F10812" t="inlineStr"/>
      <c r="G10812" t="inlineStr"/>
      <c r="H10812" t="inlineStr"/>
    </row>
    <row r="10813">
      <c r="A10813" t="inlineStr">
        <is>
          <t>f225ab3b-c11c-4a2b-aa60-d14ee34ccd6f.jpg</t>
        </is>
      </c>
      <c r="B10813">
        <f>HYPERLINK("Объекты недвижимости, не соответствующие градостроительным нормам_00-022_Август/f225ab3b-c11c-4a2b-aa60-d14ee34ccd6f.jpg","open")</f>
        <v/>
      </c>
      <c r="C10813" t="inlineStr">
        <is>
          <t>b0b7ea82-53be-40d0-b992-e2fd18611d5c</t>
        </is>
      </c>
      <c r="D10813" t="n">
        <v>55.6871</v>
      </c>
      <c r="E10813" t="n">
        <v>37.71948</v>
      </c>
      <c r="F10813" t="inlineStr"/>
      <c r="G10813" t="inlineStr"/>
      <c r="H10813" t="inlineStr"/>
    </row>
    <row r="10814">
      <c r="A10814" t="inlineStr">
        <is>
          <t>6af87f2c-cd46-433a-9a0a-0f5b3801d2e9.jpg</t>
        </is>
      </c>
      <c r="B10814">
        <f>HYPERLINK("Объекты недвижимости, не соответствующие градостроительным нормам_00-022_Август/6af87f2c-cd46-433a-9a0a-0f5b3801d2e9.jpg","open")</f>
        <v/>
      </c>
      <c r="C10814" t="inlineStr">
        <is>
          <t>f20fbc2b-b369-4734-bb66-92af02fbb0d1</t>
        </is>
      </c>
      <c r="D10814" t="n">
        <v>55.68713</v>
      </c>
      <c r="E10814" t="n">
        <v>37.71934</v>
      </c>
      <c r="F10814" t="inlineStr"/>
      <c r="G10814" t="inlineStr"/>
      <c r="H10814" t="inlineStr"/>
    </row>
    <row r="10815">
      <c r="A10815" t="inlineStr">
        <is>
          <t>a53ba809-8a2c-43f0-81e0-cab3217104bc.jpg</t>
        </is>
      </c>
      <c r="B10815">
        <f>HYPERLINK("Объекты недвижимости, не соответствующие градостроительным нормам_00-022_Август/a53ba809-8a2c-43f0-81e0-cab3217104bc.jpg","open")</f>
        <v/>
      </c>
      <c r="C10815" t="inlineStr">
        <is>
          <t>b0b7ea82-53be-40d0-b992-e2fd18611d5c</t>
        </is>
      </c>
      <c r="D10815" t="n">
        <v>55.68713</v>
      </c>
      <c r="E10815" t="n">
        <v>37.71935</v>
      </c>
      <c r="F10815" t="inlineStr"/>
      <c r="G10815" t="inlineStr"/>
      <c r="H10815" t="inlineStr"/>
    </row>
    <row r="10816">
      <c r="A10816" t="inlineStr">
        <is>
          <t>718a0005-2f6e-4d36-8158-c701c2ba14a3.jpg</t>
        </is>
      </c>
      <c r="B10816">
        <f>HYPERLINK("Объекты недвижимости, не соответствующие градостроительным нормам_00-022_Август/718a0005-2f6e-4d36-8158-c701c2ba14a3.jpg","open")</f>
        <v/>
      </c>
      <c r="C10816" t="inlineStr">
        <is>
          <t>18a5c468-d9e6-4814-8477-1caf4a2e1fe9</t>
        </is>
      </c>
      <c r="D10816" t="n">
        <v>55.96747</v>
      </c>
      <c r="E10816" t="n">
        <v>37.40305</v>
      </c>
      <c r="F10816" t="inlineStr"/>
      <c r="G10816" t="inlineStr"/>
      <c r="H10816" t="inlineStr"/>
    </row>
    <row r="10817">
      <c r="A10817" t="inlineStr">
        <is>
          <t>818b5bd6-f095-4c82-918f-beb0f4bcf076.jpg</t>
        </is>
      </c>
      <c r="B10817">
        <f>HYPERLINK("Объекты недвижимости, не соответствующие градостроительным нормам_00-022_Август/818b5bd6-f095-4c82-918f-beb0f4bcf076.jpg","open")</f>
        <v/>
      </c>
      <c r="C10817" t="inlineStr">
        <is>
          <t>f20fbc2b-b369-4734-bb66-92af02fbb0d1</t>
        </is>
      </c>
      <c r="D10817" t="n">
        <v>55.68812</v>
      </c>
      <c r="E10817" t="n">
        <v>37.7202</v>
      </c>
      <c r="F10817" t="inlineStr"/>
      <c r="G10817" t="inlineStr"/>
      <c r="H10817" t="inlineStr"/>
    </row>
    <row r="10818">
      <c r="A10818" t="inlineStr">
        <is>
          <t>081ea1e4-37a8-4699-b67e-dedad96be73d.jpg</t>
        </is>
      </c>
      <c r="B10818">
        <f>HYPERLINK("Объекты недвижимости, не соответствующие градостроительным нормам_00-022_Август/081ea1e4-37a8-4699-b67e-dedad96be73d.jpg","open")</f>
        <v/>
      </c>
      <c r="C10818" t="inlineStr">
        <is>
          <t>030e8755-17c1-44eb-9530-707d0d3121cb</t>
        </is>
      </c>
      <c r="D10818" t="n">
        <v>55.68042</v>
      </c>
      <c r="E10818" t="n">
        <v>37.70483</v>
      </c>
      <c r="F10818" t="inlineStr"/>
      <c r="G10818" t="inlineStr"/>
      <c r="H10818" t="inlineStr"/>
    </row>
    <row r="10819">
      <c r="A10819" t="inlineStr">
        <is>
          <t>1d1e0efe-f73e-41e2-abb9-eec5ae255825.jpg</t>
        </is>
      </c>
      <c r="B10819">
        <f>HYPERLINK("Объекты недвижимости, не соответствующие градостроительным нормам_00-022_Август/1d1e0efe-f73e-41e2-abb9-eec5ae255825.jpg","open")</f>
        <v/>
      </c>
      <c r="C10819" t="inlineStr">
        <is>
          <t>dd22c7c9-0046-46d8-8631-55150dbf8ae5</t>
        </is>
      </c>
      <c r="D10819" t="n">
        <v>55.74819</v>
      </c>
      <c r="E10819" t="n">
        <v>37.7</v>
      </c>
      <c r="F10819" t="inlineStr"/>
      <c r="G10819" t="inlineStr"/>
      <c r="H10819" t="inlineStr"/>
    </row>
    <row r="10820">
      <c r="A10820" t="inlineStr">
        <is>
          <t>0d87454a-c7d1-4782-b8f2-dd6e1a481f95.jpg</t>
        </is>
      </c>
      <c r="B10820">
        <f>HYPERLINK("Объекты недвижимости, не соответствующие градостроительным нормам_00-022_Август/0d87454a-c7d1-4782-b8f2-dd6e1a481f95.jpg","open")</f>
        <v/>
      </c>
      <c r="C10820" t="inlineStr">
        <is>
          <t>b0b7ea82-53be-40d0-b992-e2fd18611d5c</t>
        </is>
      </c>
      <c r="D10820" t="n">
        <v>55.69033</v>
      </c>
      <c r="E10820" t="n">
        <v>37.72194</v>
      </c>
      <c r="F10820" t="inlineStr"/>
      <c r="G10820" t="inlineStr"/>
      <c r="H10820" t="inlineStr"/>
    </row>
    <row r="10821">
      <c r="A10821" t="inlineStr">
        <is>
          <t>eb1897e8-63e7-4f09-b74b-12328e03309e.jpg</t>
        </is>
      </c>
      <c r="B10821">
        <f>HYPERLINK("Объекты недвижимости, не соответствующие градостроительным нормам_00-022_Август/eb1897e8-63e7-4f09-b74b-12328e03309e.jpg","open")</f>
        <v/>
      </c>
      <c r="C10821" t="inlineStr">
        <is>
          <t>797901ad-53b1-41b8-99d1-d59d59c863d5</t>
        </is>
      </c>
      <c r="D10821" t="n">
        <v>55.81785</v>
      </c>
      <c r="E10821" t="n">
        <v>37.77416</v>
      </c>
      <c r="F10821" t="inlineStr"/>
      <c r="G10821" t="inlineStr"/>
      <c r="H10821" t="inlineStr"/>
    </row>
    <row r="10822">
      <c r="A10822" t="inlineStr">
        <is>
          <t>ac03a601-e28f-40b5-b33d-2e87c811fb74.jpg</t>
        </is>
      </c>
      <c r="B10822">
        <f>HYPERLINK("Объекты недвижимости, не соответствующие градостроительным нормам_00-022_Август/ac03a601-e28f-40b5-b33d-2e87c811fb74.jpg","open")</f>
        <v/>
      </c>
      <c r="C10822" t="inlineStr">
        <is>
          <t>31a713a9-b910-424b-b847-e0eaa2f70c70</t>
        </is>
      </c>
      <c r="D10822" t="n">
        <v>55.62728</v>
      </c>
      <c r="E10822" t="n">
        <v>37.51382</v>
      </c>
      <c r="F10822" t="inlineStr"/>
      <c r="G10822" t="inlineStr"/>
      <c r="H10822" t="inlineStr"/>
    </row>
    <row r="10823">
      <c r="A10823" t="inlineStr">
        <is>
          <t>2091ee13-8b56-4746-9db2-e07f1260fea7.jpg</t>
        </is>
      </c>
      <c r="B10823">
        <f>HYPERLINK("Объекты недвижимости, не соответствующие градостроительным нормам_00-022_Август/2091ee13-8b56-4746-9db2-e07f1260fea7.jpg","open")</f>
        <v/>
      </c>
      <c r="C10823" t="inlineStr">
        <is>
          <t>12e795ad-2aa7-49de-b2da-2c6aa35a4559</t>
        </is>
      </c>
      <c r="D10823" t="n">
        <v>55.5471</v>
      </c>
      <c r="E10823" t="n">
        <v>37.54516</v>
      </c>
      <c r="F10823" t="inlineStr"/>
      <c r="G10823" t="inlineStr"/>
      <c r="H10823" t="inlineStr"/>
    </row>
    <row r="10824">
      <c r="A10824" t="inlineStr">
        <is>
          <t>7f3e596b-214a-43b0-a61c-923f5e08b8a8.jpg</t>
        </is>
      </c>
      <c r="B10824">
        <f>HYPERLINK("Объекты недвижимости, не соответствующие градостроительным нормам_00-022_Август/7f3e596b-214a-43b0-a61c-923f5e08b8a8.jpg","open")</f>
        <v/>
      </c>
      <c r="C10824" t="inlineStr">
        <is>
          <t>57aae8a4-582b-4309-8045-c8127a9f86ae</t>
        </is>
      </c>
      <c r="D10824" t="n">
        <v>55.70324</v>
      </c>
      <c r="E10824" t="n">
        <v>37.86377</v>
      </c>
      <c r="F10824" t="inlineStr"/>
      <c r="G10824" t="inlineStr"/>
      <c r="H10824" t="inlineStr"/>
    </row>
    <row r="10825">
      <c r="A10825" t="inlineStr">
        <is>
          <t>f91a6065-4a30-4cf9-ada2-81138f146f27.jpg</t>
        </is>
      </c>
      <c r="B10825">
        <f>HYPERLINK("Объекты недвижимости, не соответствующие градостроительным нормам_00-022_Август/f91a6065-4a30-4cf9-ada2-81138f146f27.jpg","open")</f>
        <v/>
      </c>
      <c r="C10825" t="inlineStr">
        <is>
          <t>f20fbc2b-b369-4734-bb66-92af02fbb0d1</t>
        </is>
      </c>
      <c r="D10825" t="n">
        <v>55.6923</v>
      </c>
      <c r="E10825" t="n">
        <v>37.72565</v>
      </c>
      <c r="F10825" t="inlineStr"/>
      <c r="G10825" t="inlineStr"/>
      <c r="H10825" t="inlineStr"/>
    </row>
    <row r="10826">
      <c r="A10826" t="inlineStr">
        <is>
          <t>e07c94fd-2ea7-4e0b-b2ea-760e2a1bec12.jpg</t>
        </is>
      </c>
      <c r="B10826">
        <f>HYPERLINK("Объекты недвижимости, не соответствующие градостроительным нормам_00-022_Август/e07c94fd-2ea7-4e0b-b2ea-760e2a1bec12.jpg","open")</f>
        <v/>
      </c>
      <c r="C10826" t="inlineStr">
        <is>
          <t>789f6c51-64ee-4078-b7bd-443af8b8b68a</t>
        </is>
      </c>
      <c r="D10826" t="n">
        <v>55.88581</v>
      </c>
      <c r="E10826" t="n">
        <v>37.60574</v>
      </c>
      <c r="F10826" t="inlineStr"/>
      <c r="G10826" t="inlineStr"/>
      <c r="H10826" t="inlineStr"/>
    </row>
    <row r="10827">
      <c r="A10827" t="inlineStr">
        <is>
          <t>98723a62-0632-4bcd-b9b9-4508a10f1c17.jpg</t>
        </is>
      </c>
      <c r="B10827">
        <f>HYPERLINK("Объекты недвижимости, не соответствующие градостроительным нормам_00-022_Август/98723a62-0632-4bcd-b9b9-4508a10f1c17.jpg","open")</f>
        <v/>
      </c>
      <c r="C10827" t="inlineStr">
        <is>
          <t>2acfb2da-e3f6-464c-bd17-4b713522c142</t>
        </is>
      </c>
      <c r="D10827" t="n">
        <v>55.88581</v>
      </c>
      <c r="E10827" t="n">
        <v>37.60571</v>
      </c>
      <c r="F10827" t="inlineStr"/>
      <c r="G10827" t="inlineStr"/>
      <c r="H10827" t="inlineStr"/>
    </row>
    <row r="10828">
      <c r="A10828" t="inlineStr">
        <is>
          <t>0031156c-3913-427e-8d85-3fc2642a924b.jpg</t>
        </is>
      </c>
      <c r="B10828">
        <f>HYPERLINK("Объекты недвижимости, не соответствующие градостроительным нормам_00-022_Август/0031156c-3913-427e-8d85-3fc2642a924b.jpg","open")</f>
        <v/>
      </c>
      <c r="C10828" t="inlineStr">
        <is>
          <t>789f6c51-64ee-4078-b7bd-443af8b8b68a</t>
        </is>
      </c>
      <c r="D10828" t="n">
        <v>55.88566</v>
      </c>
      <c r="E10828" t="n">
        <v>37.60648</v>
      </c>
      <c r="F10828" t="inlineStr"/>
      <c r="G10828" t="inlineStr"/>
      <c r="H10828" t="inlineStr"/>
    </row>
    <row r="10829">
      <c r="A10829" t="inlineStr">
        <is>
          <t>1880734f-a7b7-479b-b285-2829dff1a62c.jpg</t>
        </is>
      </c>
      <c r="B10829">
        <f>HYPERLINK("Объекты недвижимости, не соответствующие градостроительным нормам_00-022_Август/1880734f-a7b7-479b-b285-2829dff1a62c.jpg","open")</f>
        <v/>
      </c>
      <c r="C10829" t="inlineStr">
        <is>
          <t>2acfb2da-e3f6-464c-bd17-4b713522c142</t>
        </is>
      </c>
      <c r="D10829" t="n">
        <v>55.88565</v>
      </c>
      <c r="E10829" t="n">
        <v>37.60649</v>
      </c>
      <c r="F10829" t="inlineStr"/>
      <c r="G10829" t="inlineStr"/>
      <c r="H10829" t="inlineStr"/>
    </row>
    <row r="10830">
      <c r="A10830" t="inlineStr">
        <is>
          <t>d4f63817-aa3d-488a-be1b-45002bbb2511.jpg</t>
        </is>
      </c>
      <c r="B10830">
        <f>HYPERLINK("Объекты недвижимости, не соответствующие градостроительным нормам_00-022_Август/d4f63817-aa3d-488a-be1b-45002bbb2511.jpg","open")</f>
        <v/>
      </c>
      <c r="C10830" t="inlineStr">
        <is>
          <t>caa4772d-6278-4484-a046-ee25514bf521</t>
        </is>
      </c>
      <c r="D10830" t="n">
        <v>55.70398</v>
      </c>
      <c r="E10830" t="n">
        <v>37.49435</v>
      </c>
      <c r="F10830" t="inlineStr"/>
      <c r="G10830" t="inlineStr"/>
      <c r="H10830" t="inlineStr"/>
    </row>
    <row r="10831">
      <c r="A10831" t="inlineStr">
        <is>
          <t>0dbce527-40c4-4496-af17-c22fc7105b08.jpg</t>
        </is>
      </c>
      <c r="B10831">
        <f>HYPERLINK("Объекты недвижимости, не соответствующие градостроительным нормам_00-022_Август/0dbce527-40c4-4496-af17-c22fc7105b08.jpg","open")</f>
        <v/>
      </c>
      <c r="C10831" t="inlineStr">
        <is>
          <t>789f6c51-64ee-4078-b7bd-443af8b8b68a</t>
        </is>
      </c>
      <c r="D10831" t="n">
        <v>55.88746</v>
      </c>
      <c r="E10831" t="n">
        <v>37.60586</v>
      </c>
      <c r="F10831" t="inlineStr"/>
      <c r="G10831" t="inlineStr"/>
      <c r="H10831" t="inlineStr"/>
    </row>
    <row r="10832">
      <c r="A10832" t="inlineStr">
        <is>
          <t>176c53d9-a015-4827-969b-0cd0b4c05144.jpg</t>
        </is>
      </c>
      <c r="B10832">
        <f>HYPERLINK("Объекты недвижимости, не соответствующие градостроительным нормам_00-022_Август/176c53d9-a015-4827-969b-0cd0b4c05144.jpg","open")</f>
        <v/>
      </c>
      <c r="C10832" t="inlineStr">
        <is>
          <t>b23a39fd-838c-435a-bacd-b4d6bb842c62</t>
        </is>
      </c>
      <c r="D10832" t="n">
        <v>55.88589</v>
      </c>
      <c r="E10832" t="n">
        <v>37.50646</v>
      </c>
      <c r="F10832" t="inlineStr"/>
      <c r="G10832" t="inlineStr"/>
      <c r="H10832" t="inlineStr"/>
    </row>
    <row r="10833">
      <c r="A10833" t="inlineStr">
        <is>
          <t>ce484651-a4d4-4322-850c-263e89098269.jpg</t>
        </is>
      </c>
      <c r="B10833">
        <f>HYPERLINK("Объекты недвижимости, не соответствующие градостроительным нормам_00-022_Август/ce484651-a4d4-4322-850c-263e89098269.jpg","open")</f>
        <v/>
      </c>
      <c r="C10833" t="inlineStr">
        <is>
          <t>2acfb2da-e3f6-464c-bd17-4b713522c142</t>
        </is>
      </c>
      <c r="D10833" t="n">
        <v>55.88757</v>
      </c>
      <c r="E10833" t="n">
        <v>37.60563</v>
      </c>
      <c r="F10833" t="inlineStr"/>
      <c r="G10833" t="inlineStr"/>
      <c r="H10833" t="inlineStr"/>
    </row>
    <row r="10834">
      <c r="A10834" t="inlineStr">
        <is>
          <t>cc447c09-92e7-4c43-b245-0b487ad4502b.jpg</t>
        </is>
      </c>
      <c r="B10834">
        <f>HYPERLINK("Объекты недвижимости, не соответствующие градостроительным нормам_00-022_Август/cc447c09-92e7-4c43-b245-0b487ad4502b.jpg","open")</f>
        <v/>
      </c>
      <c r="C10834" t="inlineStr">
        <is>
          <t>9fb3d110-951f-48da-9d90-cfd7e1b5800d</t>
        </is>
      </c>
      <c r="D10834" t="n">
        <v>55.70804</v>
      </c>
      <c r="E10834" t="n">
        <v>37.46347</v>
      </c>
      <c r="F10834" t="inlineStr"/>
      <c r="G10834" t="inlineStr"/>
      <c r="H10834" t="inlineStr"/>
    </row>
    <row r="10835">
      <c r="A10835" t="inlineStr">
        <is>
          <t>c913cac4-8155-4cc8-bd0a-055d2d1cd1ea.jpg</t>
        </is>
      </c>
      <c r="B10835">
        <f>HYPERLINK("Объекты недвижимости, не соответствующие градостроительным нормам_00-022_Август/c913cac4-8155-4cc8-bd0a-055d2d1cd1ea.jpg","open")</f>
        <v/>
      </c>
      <c r="C10835" t="inlineStr">
        <is>
          <t>61936922-4d4b-458e-80ea-6d4c450aa1d5</t>
        </is>
      </c>
      <c r="D10835" t="n">
        <v>55.70801</v>
      </c>
      <c r="E10835" t="n">
        <v>37.46365</v>
      </c>
      <c r="F10835" t="inlineStr"/>
      <c r="G10835" t="inlineStr"/>
      <c r="H10835" t="inlineStr"/>
    </row>
    <row r="10836">
      <c r="A10836" t="inlineStr">
        <is>
          <t>a35855e9-60f3-42bb-a825-553a73f23a73.jpg</t>
        </is>
      </c>
      <c r="B10836">
        <f>HYPERLINK("Объекты недвижимости, не соответствующие градостроительным нормам_00-022_Август/a35855e9-60f3-42bb-a825-553a73f23a73.jpg","open")</f>
        <v/>
      </c>
      <c r="C10836" t="inlineStr">
        <is>
          <t>ffd931da-542f-43e9-979f-5552b17fe3dc</t>
        </is>
      </c>
      <c r="D10836" t="n">
        <v>55.81788</v>
      </c>
      <c r="E10836" t="n">
        <v>37.81679</v>
      </c>
      <c r="F10836" t="inlineStr"/>
      <c r="G10836" t="inlineStr"/>
      <c r="H10836" t="inlineStr"/>
    </row>
    <row r="10837">
      <c r="A10837" t="inlineStr">
        <is>
          <t>d73e42f1-4e62-4ee9-aa0a-334c32e7d3fc.jpg</t>
        </is>
      </c>
      <c r="B10837">
        <f>HYPERLINK("Объекты недвижимости, не соответствующие градостроительным нормам_00-022_Август/d73e42f1-4e62-4ee9-aa0a-334c32e7d3fc.jpg","open")</f>
        <v/>
      </c>
      <c r="C10837" t="inlineStr">
        <is>
          <t>685d9054-b74f-49ab-857b-109fd2cec80d</t>
        </is>
      </c>
      <c r="D10837" t="n">
        <v>55.66651</v>
      </c>
      <c r="E10837" t="n">
        <v>37.57038</v>
      </c>
      <c r="F10837" t="inlineStr"/>
      <c r="G10837" t="inlineStr"/>
      <c r="H10837" t="inlineStr"/>
    </row>
    <row r="10838">
      <c r="A10838" t="inlineStr">
        <is>
          <t>e1a0e386-35a8-4c52-b803-4c79ccf7f32e.jpg</t>
        </is>
      </c>
      <c r="B10838">
        <f>HYPERLINK("Объекты недвижимости, не соответствующие градостроительным нормам_00-022_Август/e1a0e386-35a8-4c52-b803-4c79ccf7f32e.jpg","open")</f>
        <v/>
      </c>
      <c r="C10838" t="inlineStr">
        <is>
          <t>b0429a31-0c70-4b9f-8ea5-73929d82f89e</t>
        </is>
      </c>
      <c r="D10838" t="n">
        <v>55.65549</v>
      </c>
      <c r="E10838" t="n">
        <v>37.61144</v>
      </c>
      <c r="F10838" t="inlineStr"/>
      <c r="G10838" t="inlineStr"/>
      <c r="H10838" t="inlineStr"/>
    </row>
    <row r="10839">
      <c r="A10839" t="inlineStr">
        <is>
          <t>9a8e0c2b-328b-4f92-95c9-b9c790f76fae.jpg</t>
        </is>
      </c>
      <c r="B10839">
        <f>HYPERLINK("Объекты недвижимости, не соответствующие градостроительным нормам_00-022_Август/9a8e0c2b-328b-4f92-95c9-b9c790f76fae.jpg","open")</f>
        <v/>
      </c>
      <c r="C10839" t="inlineStr">
        <is>
          <t>8996eb30-6497-4318-8a0e-b95314b8172e</t>
        </is>
      </c>
      <c r="D10839" t="n">
        <v>55.70596</v>
      </c>
      <c r="E10839" t="n">
        <v>37.67917</v>
      </c>
      <c r="F10839" t="inlineStr"/>
      <c r="G10839" t="inlineStr"/>
      <c r="H10839" t="inlineStr"/>
    </row>
    <row r="10840">
      <c r="A10840" t="inlineStr">
        <is>
          <t>dcb27626-3e6a-47c4-a157-52c8a1cd1b68.jpg</t>
        </is>
      </c>
      <c r="B10840">
        <f>HYPERLINK("Объекты недвижимости, не соответствующие градостроительным нормам_00-022_Август/dcb27626-3e6a-47c4-a157-52c8a1cd1b68.jpg","open")</f>
        <v/>
      </c>
      <c r="C10840" t="inlineStr">
        <is>
          <t>ad64e6b9-1ed5-44d7-a101-4945a1f9dec6</t>
        </is>
      </c>
      <c r="D10840" t="n">
        <v>55.5598</v>
      </c>
      <c r="E10840" t="n">
        <v>37.5862</v>
      </c>
      <c r="F10840" t="inlineStr"/>
      <c r="G10840" t="inlineStr"/>
      <c r="H10840" t="inlineStr"/>
    </row>
    <row r="10841">
      <c r="A10841" t="inlineStr">
        <is>
          <t>69233060-cef3-437e-a0c1-97ebc5891cf1.jpg</t>
        </is>
      </c>
      <c r="B10841">
        <f>HYPERLINK("Объекты недвижимости, не соответствующие градостроительным нормам_00-022_Август/69233060-cef3-437e-a0c1-97ebc5891cf1.jpg","open")</f>
        <v/>
      </c>
      <c r="C10841" t="inlineStr">
        <is>
          <t>685d9054-b74f-49ab-857b-109fd2cec80d</t>
        </is>
      </c>
      <c r="D10841" t="n">
        <v>55.66571</v>
      </c>
      <c r="E10841" t="n">
        <v>37.57402</v>
      </c>
      <c r="F10841" t="inlineStr"/>
      <c r="G10841" t="inlineStr"/>
      <c r="H10841" t="inlineStr"/>
    </row>
    <row r="10842">
      <c r="A10842" t="inlineStr">
        <is>
          <t>efc1424e-7f13-4e43-8ecd-929ac0df7707.jpg</t>
        </is>
      </c>
      <c r="B10842">
        <f>HYPERLINK("Объекты недвижимости, не соответствующие градостроительным нормам_00-022_Август/efc1424e-7f13-4e43-8ecd-929ac0df7707.jpg","open")</f>
        <v/>
      </c>
      <c r="C10842" t="inlineStr">
        <is>
          <t>1c951e11-4940-43c6-a447-394097e5609a</t>
        </is>
      </c>
      <c r="D10842" t="n">
        <v>55.65807</v>
      </c>
      <c r="E10842" t="n">
        <v>37.62841</v>
      </c>
      <c r="F10842" t="inlineStr"/>
      <c r="G10842" t="inlineStr"/>
      <c r="H10842" t="inlineStr"/>
    </row>
    <row r="10843">
      <c r="A10843" t="inlineStr">
        <is>
          <t>151baed5-6232-4fc4-a272-82817983840a.jpg</t>
        </is>
      </c>
      <c r="B10843">
        <f>HYPERLINK("Объекты недвижимости, не соответствующие градостроительным нормам_00-022_Август/151baed5-6232-4fc4-a272-82817983840a.jpg","open")</f>
        <v/>
      </c>
      <c r="C10843" t="inlineStr">
        <is>
          <t>8cde1fd0-eca1-4510-86ab-3c743b65fdfc</t>
        </is>
      </c>
      <c r="D10843" t="n">
        <v>55.65807</v>
      </c>
      <c r="E10843" t="n">
        <v>37.62841</v>
      </c>
      <c r="F10843" t="inlineStr"/>
      <c r="G10843" t="inlineStr"/>
      <c r="H10843" t="inlineStr"/>
    </row>
    <row r="10844">
      <c r="A10844" t="inlineStr">
        <is>
          <t>388bf48c-2e1f-4d16-b72c-4bebf677c410.jpg</t>
        </is>
      </c>
      <c r="B10844">
        <f>HYPERLINK("Объекты недвижимости, не соответствующие градостроительным нормам_00-022_Август/388bf48c-2e1f-4d16-b72c-4bebf677c410.jpg","open")</f>
        <v/>
      </c>
      <c r="C10844" t="inlineStr">
        <is>
          <t>57aae8a4-582b-4309-8045-c8127a9f86ae</t>
        </is>
      </c>
      <c r="D10844" t="n">
        <v>55.74047</v>
      </c>
      <c r="E10844" t="n">
        <v>37.78305</v>
      </c>
      <c r="F10844" t="inlineStr"/>
      <c r="G10844" t="inlineStr"/>
      <c r="H10844" t="inlineStr"/>
    </row>
    <row r="10845">
      <c r="A10845" t="inlineStr">
        <is>
          <t>08a4c74c-a833-4e5a-83d5-3dc1962220cd.jpg</t>
        </is>
      </c>
      <c r="B10845">
        <f>HYPERLINK("Объекты недвижимости, не соответствующие градостроительным нормам_00-022_Август/08a4c74c-a833-4e5a-83d5-3dc1962220cd.jpg","open")</f>
        <v/>
      </c>
      <c r="C10845" t="inlineStr">
        <is>
          <t>acedacc2-0d8b-4fc1-9622-25621a89d071</t>
        </is>
      </c>
      <c r="D10845" t="n">
        <v>55.71272</v>
      </c>
      <c r="E10845" t="n">
        <v>37.71118</v>
      </c>
      <c r="F10845" t="inlineStr"/>
      <c r="G10845" t="inlineStr"/>
      <c r="H10845" t="inlineStr"/>
    </row>
    <row r="10846">
      <c r="A10846" t="inlineStr">
        <is>
          <t>893dd8b8-2403-4265-874c-7a6e6e062774.jpg</t>
        </is>
      </c>
      <c r="B10846">
        <f>HYPERLINK("Объекты недвижимости, не соответствующие градостроительным нормам_00-022_Август/893dd8b8-2403-4265-874c-7a6e6e062774.jpg","open")</f>
        <v/>
      </c>
      <c r="C10846" t="inlineStr">
        <is>
          <t>8cde1fd0-eca1-4510-86ab-3c743b65fdfc</t>
        </is>
      </c>
      <c r="D10846" t="n">
        <v>55.64574</v>
      </c>
      <c r="E10846" t="n">
        <v>37.62467</v>
      </c>
      <c r="F10846" t="inlineStr"/>
      <c r="G10846" t="inlineStr"/>
      <c r="H10846" t="inlineStr"/>
    </row>
    <row r="10847">
      <c r="A10847" t="inlineStr">
        <is>
          <t>6dbd66af-64c1-4987-ac3f-19ea059e8f5b.jpg</t>
        </is>
      </c>
      <c r="B10847">
        <f>HYPERLINK("Объекты недвижимости, не соответствующие градостроительным нормам_00-022_Август/6dbd66af-64c1-4987-ac3f-19ea059e8f5b.jpg","open")</f>
        <v/>
      </c>
      <c r="C10847" t="inlineStr">
        <is>
          <t>e85aff3b-73e8-4856-827e-477ccc0aea77</t>
        </is>
      </c>
      <c r="D10847" t="n">
        <v>55.8666</v>
      </c>
      <c r="E10847" t="n">
        <v>37.64934</v>
      </c>
      <c r="F10847" t="inlineStr"/>
      <c r="G10847" t="inlineStr"/>
      <c r="H10847" t="inlineStr"/>
    </row>
    <row r="10848">
      <c r="A10848" t="inlineStr">
        <is>
          <t>f4458a2d-649e-4e2d-bab3-b801a4d9da60.jpg</t>
        </is>
      </c>
      <c r="B10848">
        <f>HYPERLINK("Объекты недвижимости, не соответствующие градостроительным нормам_00-022_Август/f4458a2d-649e-4e2d-bab3-b801a4d9da60.jpg","open")</f>
        <v/>
      </c>
      <c r="C10848" t="inlineStr">
        <is>
          <t>93848fc8-17e7-4748-9ebc-c7e379e11d2f</t>
        </is>
      </c>
      <c r="D10848" t="n">
        <v>55.82343</v>
      </c>
      <c r="E10848" t="n">
        <v>37.5886</v>
      </c>
      <c r="F10848" t="inlineStr"/>
      <c r="G10848" t="inlineStr"/>
      <c r="H10848" t="inlineStr"/>
    </row>
    <row r="10849">
      <c r="A10849" t="inlineStr">
        <is>
          <t>daf29039-df62-440a-af7f-2a1810ebc221.jpg</t>
        </is>
      </c>
      <c r="B10849">
        <f>HYPERLINK("Объекты недвижимости, не соответствующие градостроительным нормам_00-022_Август/daf29039-df62-440a-af7f-2a1810ebc221.jpg","open")</f>
        <v/>
      </c>
      <c r="C10849" t="inlineStr">
        <is>
          <t>f20fbc2b-b369-4734-bb66-92af02fbb0d1</t>
        </is>
      </c>
      <c r="D10849" t="n">
        <v>55.68671</v>
      </c>
      <c r="E10849" t="n">
        <v>37.72304</v>
      </c>
      <c r="F10849" t="inlineStr"/>
      <c r="G10849" t="inlineStr"/>
      <c r="H10849" t="inlineStr"/>
    </row>
    <row r="10850">
      <c r="A10850" t="inlineStr">
        <is>
          <t>32047241-bdaf-46d8-9675-9a081921d22e.jpg</t>
        </is>
      </c>
      <c r="B10850">
        <f>HYPERLINK("Объекты недвижимости, не соответствующие градостроительным нормам_00-022_Август/32047241-bdaf-46d8-9675-9a081921d22e.jpg","open")</f>
        <v/>
      </c>
      <c r="C10850" t="inlineStr">
        <is>
          <t>e85aff3b-73e8-4856-827e-477ccc0aea77</t>
        </is>
      </c>
      <c r="D10850" t="n">
        <v>55.8666</v>
      </c>
      <c r="E10850" t="n">
        <v>37.64934</v>
      </c>
      <c r="F10850" t="inlineStr"/>
      <c r="G10850" t="inlineStr"/>
      <c r="H10850" t="inlineStr"/>
    </row>
    <row r="10851">
      <c r="A10851" t="inlineStr">
        <is>
          <t>fd5c27a7-f5e5-469d-839b-fa1b837ea20d.jpg</t>
        </is>
      </c>
      <c r="B10851">
        <f>HYPERLINK("Объекты недвижимости, не соответствующие градостроительным нормам_00-022_Август/fd5c27a7-f5e5-469d-839b-fa1b837ea20d.jpg","open")</f>
        <v/>
      </c>
      <c r="C10851" t="inlineStr">
        <is>
          <t>e85aff3b-73e8-4856-827e-477ccc0aea77</t>
        </is>
      </c>
      <c r="D10851" t="n">
        <v>55.8666</v>
      </c>
      <c r="E10851" t="n">
        <v>37.64934</v>
      </c>
      <c r="F10851" t="inlineStr"/>
      <c r="G10851" t="inlineStr"/>
      <c r="H10851" t="inlineStr"/>
    </row>
    <row r="10852">
      <c r="A10852" t="inlineStr">
        <is>
          <t>23eebc00-e0d6-4b02-9c24-4eb95795be90.jpg</t>
        </is>
      </c>
      <c r="B10852">
        <f>HYPERLINK("Объекты недвижимости, не соответствующие градостроительным нормам_00-022_Август/23eebc00-e0d6-4b02-9c24-4eb95795be90.jpg","open")</f>
        <v/>
      </c>
      <c r="C10852" t="inlineStr">
        <is>
          <t>31a713a9-b910-424b-b847-e0eaa2f70c70</t>
        </is>
      </c>
      <c r="D10852" t="n">
        <v>55.74881</v>
      </c>
      <c r="E10852" t="n">
        <v>37.69813</v>
      </c>
      <c r="F10852" t="inlineStr"/>
      <c r="G10852" t="inlineStr"/>
      <c r="H10852" t="inlineStr"/>
    </row>
    <row r="10853">
      <c r="A10853" t="inlineStr">
        <is>
          <t>f891beaa-6133-44e8-ac06-e72e1fce90f6.jpg</t>
        </is>
      </c>
      <c r="B10853">
        <f>HYPERLINK("Объекты недвижимости, не соответствующие градостроительным нормам_00-022_Август/f891beaa-6133-44e8-ac06-e72e1fce90f6.jpg","open")</f>
        <v/>
      </c>
      <c r="C10853" t="inlineStr">
        <is>
          <t>052a5a2b-f222-4b50-b2cc-21612f1f234a</t>
        </is>
      </c>
      <c r="D10853" t="n">
        <v>55.96731</v>
      </c>
      <c r="E10853" t="n">
        <v>37.42669</v>
      </c>
      <c r="F10853" t="inlineStr"/>
      <c r="G10853" t="inlineStr"/>
      <c r="H10853" t="inlineStr"/>
    </row>
    <row r="10854">
      <c r="A10854" t="inlineStr">
        <is>
          <t>a7966ab6-710c-40d8-98b1-c6269024d361.jpg</t>
        </is>
      </c>
      <c r="B10854">
        <f>HYPERLINK("Объекты недвижимости, не соответствующие градостроительным нормам_00-022_Август/a7966ab6-710c-40d8-98b1-c6269024d361.jpg","open")</f>
        <v/>
      </c>
      <c r="C10854" t="inlineStr">
        <is>
          <t>93848fc8-17e7-4748-9ebc-c7e379e11d2f</t>
        </is>
      </c>
      <c r="D10854" t="n">
        <v>55.83266</v>
      </c>
      <c r="E10854" t="n">
        <v>37.57743</v>
      </c>
      <c r="F10854" t="inlineStr"/>
      <c r="G10854" t="inlineStr"/>
      <c r="H10854" t="inlineStr"/>
    </row>
    <row r="10855">
      <c r="A10855" t="inlineStr">
        <is>
          <t>2937e7dd-5690-44f0-8661-9b271528b017.jpg</t>
        </is>
      </c>
      <c r="B10855">
        <f>HYPERLINK("Объекты недвижимости, не соответствующие градостроительным нормам_00-022_Август/2937e7dd-5690-44f0-8661-9b271528b017.jpg","open")</f>
        <v/>
      </c>
      <c r="C10855" t="inlineStr">
        <is>
          <t>b0429a31-0c70-4b9f-8ea5-73929d82f89e</t>
        </is>
      </c>
      <c r="D10855" t="n">
        <v>55.6547</v>
      </c>
      <c r="E10855" t="n">
        <v>37.61675</v>
      </c>
      <c r="F10855" t="inlineStr"/>
      <c r="G10855" t="inlineStr"/>
      <c r="H10855" t="inlineStr"/>
    </row>
    <row r="10856">
      <c r="A10856" t="inlineStr">
        <is>
          <t>ab673ed8-947d-484e-bc1b-38053ed47f63.jpg</t>
        </is>
      </c>
      <c r="B10856">
        <f>HYPERLINK("Объекты недвижимости, не соответствующие градостроительным нормам_00-022_Август/ab673ed8-947d-484e-bc1b-38053ed47f63.jpg","open")</f>
        <v/>
      </c>
      <c r="C10856" t="inlineStr">
        <is>
          <t>2acfb2da-e3f6-464c-bd17-4b713522c142</t>
        </is>
      </c>
      <c r="D10856" t="n">
        <v>55.89001</v>
      </c>
      <c r="E10856" t="n">
        <v>37.61486</v>
      </c>
      <c r="F10856" t="inlineStr"/>
      <c r="G10856" t="inlineStr"/>
      <c r="H10856" t="inlineStr"/>
    </row>
    <row r="10857">
      <c r="A10857" t="inlineStr">
        <is>
          <t>ca7bcedd-8d7b-49c7-8c09-c994ade9f065.jpg</t>
        </is>
      </c>
      <c r="B10857">
        <f>HYPERLINK("Объекты недвижимости, не соответствующие градостроительным нормам_00-022_Август/ca7bcedd-8d7b-49c7-8c09-c994ade9f065.jpg","open")</f>
        <v/>
      </c>
      <c r="C10857" t="inlineStr">
        <is>
          <t>31a713a9-b910-424b-b847-e0eaa2f70c70</t>
        </is>
      </c>
      <c r="D10857" t="n">
        <v>55.75311</v>
      </c>
      <c r="E10857" t="n">
        <v>37.69529</v>
      </c>
      <c r="F10857" t="inlineStr"/>
      <c r="G10857" t="inlineStr"/>
      <c r="H10857" t="inlineStr"/>
    </row>
    <row r="10858">
      <c r="A10858" t="inlineStr">
        <is>
          <t>5a24b7bc-f693-41e2-9319-78f1dbae8e38.jpg</t>
        </is>
      </c>
      <c r="B10858">
        <f>HYPERLINK("Объекты недвижимости, не соответствующие градостроительным нормам_00-022_Август/5a24b7bc-f693-41e2-9319-78f1dbae8e38.jpg","open")</f>
        <v/>
      </c>
      <c r="C10858" t="inlineStr">
        <is>
          <t>8cde1fd0-eca1-4510-86ab-3c743b65fdfc</t>
        </is>
      </c>
      <c r="D10858" t="n">
        <v>55.64182</v>
      </c>
      <c r="E10858" t="n">
        <v>37.62749</v>
      </c>
      <c r="F10858" t="inlineStr"/>
      <c r="G10858" t="inlineStr"/>
      <c r="H10858" t="inlineStr"/>
    </row>
    <row r="10859">
      <c r="A10859" t="inlineStr">
        <is>
          <t>8dc191ca-073e-409e-ab14-ccafc689ae0f.jpg</t>
        </is>
      </c>
      <c r="B10859">
        <f>HYPERLINK("Объекты недвижимости, не соответствующие градостроительным нормам_00-022_Август/8dc191ca-073e-409e-ab14-ccafc689ae0f.jpg","open")</f>
        <v/>
      </c>
      <c r="C10859" t="inlineStr">
        <is>
          <t>b0b7ea82-53be-40d0-b992-e2fd18611d5c</t>
        </is>
      </c>
      <c r="D10859" t="n">
        <v>55.68941</v>
      </c>
      <c r="E10859" t="n">
        <v>37.72737</v>
      </c>
      <c r="F10859" t="inlineStr"/>
      <c r="G10859" t="inlineStr"/>
      <c r="H10859" t="inlineStr"/>
    </row>
    <row r="10860">
      <c r="A10860" t="inlineStr">
        <is>
          <t>05b837cd-2e7e-42e6-bbfb-920dd3792633.jpg</t>
        </is>
      </c>
      <c r="B10860">
        <f>HYPERLINK("Объекты недвижимости, не соответствующие градостроительным нормам_00-022_Август/05b837cd-2e7e-42e6-bbfb-920dd3792633.jpg","open")</f>
        <v/>
      </c>
      <c r="C10860" t="inlineStr">
        <is>
          <t>db8b536c-32f2-4d9a-ae08-679d227e61f1</t>
        </is>
      </c>
      <c r="D10860" t="n">
        <v>55.68215</v>
      </c>
      <c r="E10860" t="n">
        <v>37.56858</v>
      </c>
      <c r="F10860" t="inlineStr"/>
      <c r="G10860" t="inlineStr"/>
      <c r="H10860" t="inlineStr"/>
    </row>
    <row r="10861">
      <c r="A10861" t="inlineStr">
        <is>
          <t>f24f8005-d852-4b34-9cf0-2ce5411ad08c.jpg</t>
        </is>
      </c>
      <c r="B10861">
        <f>HYPERLINK("Объекты недвижимости, не соответствующие градостроительным нормам_00-022_Август/f24f8005-d852-4b34-9cf0-2ce5411ad08c.jpg","open")</f>
        <v/>
      </c>
      <c r="C10861" t="inlineStr">
        <is>
          <t>31a713a9-b910-424b-b847-e0eaa2f70c70</t>
        </is>
      </c>
      <c r="D10861" t="n">
        <v>55.75311</v>
      </c>
      <c r="E10861" t="n">
        <v>37.69529</v>
      </c>
      <c r="F10861" t="inlineStr"/>
      <c r="G10861" t="inlineStr"/>
      <c r="H10861" t="inlineStr"/>
    </row>
    <row r="10862">
      <c r="A10862" t="inlineStr">
        <is>
          <t>99a23527-2774-44b8-a831-74385c218397.jpg</t>
        </is>
      </c>
      <c r="B10862">
        <f>HYPERLINK("Объекты недвижимости, не соответствующие градостроительным нормам_00-022_Август/99a23527-2774-44b8-a831-74385c218397.jpg","open")</f>
        <v/>
      </c>
      <c r="C10862" t="inlineStr">
        <is>
          <t>fb9a37cc-57a6-447c-98bb-0b299f09c809</t>
        </is>
      </c>
      <c r="D10862" t="n">
        <v>55.86946</v>
      </c>
      <c r="E10862" t="n">
        <v>37.53038</v>
      </c>
      <c r="F10862" t="inlineStr"/>
      <c r="G10862" t="inlineStr"/>
      <c r="H10862" t="inlineStr"/>
    </row>
    <row r="10863">
      <c r="A10863" t="inlineStr">
        <is>
          <t>a3ece740-db3d-456f-af83-98adcdfbc595.jpg</t>
        </is>
      </c>
      <c r="B10863">
        <f>HYPERLINK("Объекты недвижимости, не соответствующие градостроительным нормам_00-022_Август/a3ece740-db3d-456f-af83-98adcdfbc595.jpg","open")</f>
        <v/>
      </c>
      <c r="C10863" t="inlineStr">
        <is>
          <t>fb9a37cc-57a6-447c-98bb-0b299f09c809</t>
        </is>
      </c>
      <c r="D10863" t="n">
        <v>55.86592</v>
      </c>
      <c r="E10863" t="n">
        <v>37.53347</v>
      </c>
      <c r="F10863" t="inlineStr"/>
      <c r="G10863" t="inlineStr"/>
      <c r="H10863" t="inlineStr"/>
    </row>
    <row r="10864">
      <c r="A10864" t="inlineStr">
        <is>
          <t>f6c8713c-ac9c-49a2-b703-56d36d3cf9b2.jpg</t>
        </is>
      </c>
      <c r="B10864">
        <f>HYPERLINK("Объекты недвижимости, не соответствующие градостроительным нормам_00-022_Август/f6c8713c-ac9c-49a2-b703-56d36d3cf9b2.jpg","open")</f>
        <v/>
      </c>
      <c r="C10864" t="inlineStr">
        <is>
          <t>b23a39fd-838c-435a-bacd-b4d6bb842c62</t>
        </is>
      </c>
      <c r="D10864" t="n">
        <v>55.86592</v>
      </c>
      <c r="E10864" t="n">
        <v>37.53344</v>
      </c>
      <c r="F10864" t="inlineStr"/>
      <c r="G10864" t="inlineStr"/>
      <c r="H10864" t="inlineStr"/>
    </row>
    <row r="10865">
      <c r="A10865" t="inlineStr">
        <is>
          <t>601e9dbe-a7b4-41aa-9ec9-ed55a896a26f.jpg</t>
        </is>
      </c>
      <c r="B10865">
        <f>HYPERLINK("Объекты недвижимости, не соответствующие градостроительным нормам_00-022_Август/601e9dbe-a7b4-41aa-9ec9-ed55a896a26f.jpg","open")</f>
        <v/>
      </c>
      <c r="C10865" t="inlineStr">
        <is>
          <t>caa4772d-6278-4484-a046-ee25514bf521</t>
        </is>
      </c>
      <c r="D10865" t="n">
        <v>55.68729</v>
      </c>
      <c r="E10865" t="n">
        <v>37.48044</v>
      </c>
      <c r="F10865" t="inlineStr"/>
      <c r="G10865" t="inlineStr"/>
      <c r="H10865" t="inlineStr"/>
    </row>
    <row r="10866">
      <c r="A10866" t="inlineStr">
        <is>
          <t>c534e391-1405-47fd-9c38-389da47678f7.jpg</t>
        </is>
      </c>
      <c r="B10866">
        <f>HYPERLINK("Объекты недвижимости, не соответствующие градостроительным нормам_00-022_Август/c534e391-1405-47fd-9c38-389da47678f7.jpg","open")</f>
        <v/>
      </c>
      <c r="C10866" t="inlineStr">
        <is>
          <t>9ca2abb7-5978-4e19-b2b4-4d185fa6739e</t>
        </is>
      </c>
      <c r="D10866" t="n">
        <v>55.96731</v>
      </c>
      <c r="E10866" t="n">
        <v>37.42669</v>
      </c>
      <c r="F10866" t="inlineStr"/>
      <c r="G10866" t="inlineStr"/>
      <c r="H10866" t="inlineStr"/>
    </row>
    <row r="10867">
      <c r="A10867" t="inlineStr">
        <is>
          <t>925cf71c-def3-40e1-93c6-39a0eac0e137.jpg</t>
        </is>
      </c>
      <c r="B10867">
        <f>HYPERLINK("Объекты недвижимости, не соответствующие градостроительным нормам_00-022_Август/925cf71c-def3-40e1-93c6-39a0eac0e137.jpg","open")</f>
        <v/>
      </c>
      <c r="C10867" t="inlineStr">
        <is>
          <t>052a5a2b-f222-4b50-b2cc-21612f1f234a</t>
        </is>
      </c>
      <c r="D10867" t="n">
        <v>55.96731</v>
      </c>
      <c r="E10867" t="n">
        <v>37.42669</v>
      </c>
      <c r="F10867" t="inlineStr"/>
      <c r="G10867" t="inlineStr"/>
      <c r="H10867" t="inlineStr"/>
    </row>
    <row r="10868">
      <c r="A10868" t="inlineStr">
        <is>
          <t>bceab24f-3078-4424-b438-676c52c49a48.jpg</t>
        </is>
      </c>
      <c r="B10868">
        <f>HYPERLINK("Объекты недвижимости, не соответствующие градостроительным нормам_00-022_Август/bceab24f-3078-4424-b438-676c52c49a48.jpg","open")</f>
        <v/>
      </c>
      <c r="C10868" t="inlineStr">
        <is>
          <t>caa4772d-6278-4484-a046-ee25514bf521</t>
        </is>
      </c>
      <c r="D10868" t="n">
        <v>55.68768</v>
      </c>
      <c r="E10868" t="n">
        <v>37.48457</v>
      </c>
      <c r="F10868" t="inlineStr"/>
      <c r="G10868" t="inlineStr"/>
      <c r="H10868" t="inlineStr"/>
    </row>
    <row r="10869">
      <c r="A10869" t="inlineStr">
        <is>
          <t>2cb5a3da-6e82-48ff-ad2e-e90626146c4e.jpg</t>
        </is>
      </c>
      <c r="B10869">
        <f>HYPERLINK("Объекты недвижимости, не соответствующие градостроительным нормам_00-022_Август/2cb5a3da-6e82-48ff-ad2e-e90626146c4e.jpg","open")</f>
        <v/>
      </c>
      <c r="C10869" t="inlineStr">
        <is>
          <t>1c951e11-4940-43c6-a447-394097e5609a</t>
        </is>
      </c>
      <c r="D10869" t="n">
        <v>55.6436</v>
      </c>
      <c r="E10869" t="n">
        <v>37.64959</v>
      </c>
      <c r="F10869" t="inlineStr"/>
      <c r="G10869" t="inlineStr"/>
      <c r="H10869" t="inlineStr"/>
    </row>
    <row r="10870">
      <c r="A10870" t="inlineStr">
        <is>
          <t>4db9b231-58b2-48e4-8e79-d5e0d988cfa4.jpg</t>
        </is>
      </c>
      <c r="B10870">
        <f>HYPERLINK("Объекты недвижимости, не соответствующие градостроительным нормам_00-022_Август/4db9b231-58b2-48e4-8e79-d5e0d988cfa4.jpg","open")</f>
        <v/>
      </c>
      <c r="C10870" t="inlineStr">
        <is>
          <t>8cde1fd0-eca1-4510-86ab-3c743b65fdfc</t>
        </is>
      </c>
      <c r="D10870" t="n">
        <v>55.64359</v>
      </c>
      <c r="E10870" t="n">
        <v>37.6496</v>
      </c>
      <c r="F10870" t="inlineStr"/>
      <c r="G10870" t="inlineStr"/>
      <c r="H10870" t="inlineStr"/>
    </row>
    <row r="10871">
      <c r="A10871" t="inlineStr">
        <is>
          <t>afddd4be-0872-426e-9b2f-cb1b1e76b96c.jpg</t>
        </is>
      </c>
      <c r="B10871">
        <f>HYPERLINK("Объекты недвижимости, не соответствующие градостроительным нормам_00-022_Август/afddd4be-0872-426e-9b2f-cb1b1e76b96c.jpg","open")</f>
        <v/>
      </c>
      <c r="C10871" t="inlineStr">
        <is>
          <t>57aae8a4-582b-4309-8045-c8127a9f86ae</t>
        </is>
      </c>
      <c r="D10871" t="n">
        <v>55.74426</v>
      </c>
      <c r="E10871" t="n">
        <v>37.75468</v>
      </c>
      <c r="F10871" t="inlineStr"/>
      <c r="G10871" t="inlineStr"/>
      <c r="H10871" t="inlineStr"/>
    </row>
    <row r="10872">
      <c r="A10872" t="inlineStr">
        <is>
          <t>f6f9f0ed-6bb3-44d5-ad8e-4ad4c84394a1.jpg</t>
        </is>
      </c>
      <c r="B10872">
        <f>HYPERLINK("Объекты недвижимости, не соответствующие градостроительным нормам_00-022_Август/f6f9f0ed-6bb3-44d5-ad8e-4ad4c84394a1.jpg","open")</f>
        <v/>
      </c>
      <c r="C10872" t="inlineStr">
        <is>
          <t>12e795ad-2aa7-49de-b2da-2c6aa35a4559</t>
        </is>
      </c>
      <c r="D10872" t="n">
        <v>55.54402</v>
      </c>
      <c r="E10872" t="n">
        <v>37.52048</v>
      </c>
      <c r="F10872" t="inlineStr"/>
      <c r="G10872" t="inlineStr"/>
      <c r="H10872" t="inlineStr"/>
    </row>
    <row r="10873">
      <c r="A10873" t="inlineStr">
        <is>
          <t>77a32b35-6825-4ac3-8363-7b895f09c42b.jpg</t>
        </is>
      </c>
      <c r="B10873">
        <f>HYPERLINK("Объекты недвижимости, не соответствующие градостроительным нормам_00-022_Август/77a32b35-6825-4ac3-8363-7b895f09c42b.jpg","open")</f>
        <v/>
      </c>
      <c r="C10873" t="inlineStr">
        <is>
          <t>9fb3d110-951f-48da-9d90-cfd7e1b5800d</t>
        </is>
      </c>
      <c r="D10873" t="n">
        <v>55.70681</v>
      </c>
      <c r="E10873" t="n">
        <v>37.47554</v>
      </c>
      <c r="F10873" t="inlineStr"/>
      <c r="G10873" t="inlineStr"/>
      <c r="H10873" t="inlineStr"/>
    </row>
    <row r="10874">
      <c r="A10874" t="inlineStr">
        <is>
          <t>103edb32-7e30-45b5-b27a-11469a5ec2d7.jpg</t>
        </is>
      </c>
      <c r="B10874">
        <f>HYPERLINK("Объекты недвижимости, не соответствующие градостроительным нормам_00-022_Август/103edb32-7e30-45b5-b27a-11469a5ec2d7.jpg","open")</f>
        <v/>
      </c>
      <c r="C10874" t="inlineStr">
        <is>
          <t>caa4772d-6278-4484-a046-ee25514bf521</t>
        </is>
      </c>
      <c r="D10874" t="n">
        <v>55.68584</v>
      </c>
      <c r="E10874" t="n">
        <v>37.5159</v>
      </c>
      <c r="F10874" t="inlineStr"/>
      <c r="G10874" t="inlineStr"/>
      <c r="H10874" t="inlineStr"/>
    </row>
    <row r="10875">
      <c r="A10875" t="inlineStr">
        <is>
          <t>18975496-a492-4515-a50a-9ba3afc15daa.jpg</t>
        </is>
      </c>
      <c r="B10875">
        <f>HYPERLINK("Объекты недвижимости, не соответствующие градостроительным нормам_00-022_Август/18975496-a492-4515-a50a-9ba3afc15daa.jpg","open")</f>
        <v/>
      </c>
      <c r="C10875" t="inlineStr">
        <is>
          <t>fb40ed24-21ef-458a-a239-038ab19932cc</t>
        </is>
      </c>
      <c r="D10875" t="n">
        <v>55.80157</v>
      </c>
      <c r="E10875" t="n">
        <v>37.74553</v>
      </c>
      <c r="F10875" t="inlineStr"/>
      <c r="G10875" t="inlineStr"/>
      <c r="H10875" t="inlineStr"/>
    </row>
    <row r="10876">
      <c r="A10876" t="inlineStr">
        <is>
          <t>f78a450d-057b-4fc2-8401-05d03555061d.jpg</t>
        </is>
      </c>
      <c r="B10876">
        <f>HYPERLINK("Объекты недвижимости, не соответствующие градостроительным нормам_00-022_Август/f78a450d-057b-4fc2-8401-05d03555061d.jpg","open")</f>
        <v/>
      </c>
      <c r="C10876" t="inlineStr">
        <is>
          <t>acedacc2-0d8b-4fc1-9622-25621a89d071</t>
        </is>
      </c>
      <c r="D10876" t="n">
        <v>55.74064</v>
      </c>
      <c r="E10876" t="n">
        <v>37.76202</v>
      </c>
      <c r="F10876" t="inlineStr"/>
      <c r="G10876" t="inlineStr"/>
      <c r="H10876" t="inlineStr"/>
    </row>
    <row r="10877">
      <c r="A10877" t="inlineStr">
        <is>
          <t>daae4f9b-5bb2-4408-9f5b-ffb3339d79b4.jpg</t>
        </is>
      </c>
      <c r="B10877">
        <f>HYPERLINK("Объекты недвижимости, не соответствующие градостроительным нормам_00-022_Август/daae4f9b-5bb2-4408-9f5b-ffb3339d79b4.jpg","open")</f>
        <v/>
      </c>
      <c r="C10877" t="inlineStr">
        <is>
          <t>f60286ac-55e7-4099-85bd-cc599a7a0c65</t>
        </is>
      </c>
      <c r="D10877" t="n">
        <v>55.82107</v>
      </c>
      <c r="E10877" t="n">
        <v>37.78682</v>
      </c>
      <c r="F10877" t="inlineStr"/>
      <c r="G10877" t="inlineStr"/>
      <c r="H10877" t="inlineStr"/>
    </row>
    <row r="10878">
      <c r="A10878" t="inlineStr">
        <is>
          <t>03602d25-6a23-4abf-a043-35628322cdf8.jpg</t>
        </is>
      </c>
      <c r="B10878">
        <f>HYPERLINK("Объекты недвижимости, не соответствующие градостроительным нормам_00-022_Август/03602d25-6a23-4abf-a043-35628322cdf8.jpg","open")</f>
        <v/>
      </c>
      <c r="C10878" t="inlineStr">
        <is>
          <t>8996eb30-6497-4318-8a0e-b95314b8172e</t>
        </is>
      </c>
      <c r="D10878" t="n">
        <v>55.7479</v>
      </c>
      <c r="E10878" t="n">
        <v>37.70079</v>
      </c>
      <c r="F10878" t="inlineStr"/>
      <c r="G10878" t="inlineStr"/>
      <c r="H10878" t="inlineStr"/>
    </row>
    <row r="10879">
      <c r="A10879" t="inlineStr">
        <is>
          <t>3c634071-45a5-47e0-a6f7-0b36c2cbb2b5.jpg</t>
        </is>
      </c>
      <c r="B10879">
        <f>HYPERLINK("Объекты недвижимости, не соответствующие градостроительным нормам_00-022_Август/3c634071-45a5-47e0-a6f7-0b36c2cbb2b5.jpg","open")</f>
        <v/>
      </c>
      <c r="C10879" t="inlineStr">
        <is>
          <t>b0b7ea82-53be-40d0-b992-e2fd18611d5c</t>
        </is>
      </c>
      <c r="D10879" t="n">
        <v>55.68584</v>
      </c>
      <c r="E10879" t="n">
        <v>37.72457</v>
      </c>
      <c r="F10879" t="inlineStr"/>
      <c r="G10879" t="inlineStr"/>
      <c r="H10879" t="inlineStr"/>
    </row>
    <row r="10880">
      <c r="A10880" t="inlineStr">
        <is>
          <t>b8c2db3e-0b36-4cf5-a142-43725a609d3e.jpg</t>
        </is>
      </c>
      <c r="B10880">
        <f>HYPERLINK("Объекты недвижимости, не соответствующие градостроительным нормам_00-022_Август/b8c2db3e-0b36-4cf5-a142-43725a609d3e.jpg","open")</f>
        <v/>
      </c>
      <c r="C10880" t="inlineStr">
        <is>
          <t>caa4772d-6278-4484-a046-ee25514bf521</t>
        </is>
      </c>
      <c r="D10880" t="n">
        <v>55.68435</v>
      </c>
      <c r="E10880" t="n">
        <v>37.51943</v>
      </c>
      <c r="F10880" t="inlineStr"/>
      <c r="G10880" t="inlineStr"/>
      <c r="H10880" t="inlineStr"/>
    </row>
    <row r="10881">
      <c r="A10881" t="inlineStr">
        <is>
          <t>f9c5f43c-283d-4af2-9f1d-32c7ccdf0fc4.jpg</t>
        </is>
      </c>
      <c r="B10881">
        <f>HYPERLINK("Объекты недвижимости, не соответствующие градостроительным нормам_00-022_Август/f9c5f43c-283d-4af2-9f1d-32c7ccdf0fc4.jpg","open")</f>
        <v/>
      </c>
      <c r="C10881" t="inlineStr">
        <is>
          <t>685d9054-b74f-49ab-857b-109fd2cec80d</t>
        </is>
      </c>
      <c r="D10881" t="n">
        <v>55.74223</v>
      </c>
      <c r="E10881" t="n">
        <v>37.69758</v>
      </c>
      <c r="F10881" t="inlineStr"/>
      <c r="G10881" t="inlineStr"/>
      <c r="H10881" t="inlineStr"/>
    </row>
    <row r="10882">
      <c r="A10882" t="inlineStr">
        <is>
          <t>2270441e-d4a7-4740-a0a6-c1294999a452.jpg</t>
        </is>
      </c>
      <c r="B10882">
        <f>HYPERLINK("Объекты недвижимости, не соответствующие градостроительным нормам_00-022_Август/2270441e-d4a7-4740-a0a6-c1294999a452.jpg","open")</f>
        <v/>
      </c>
      <c r="C10882" t="inlineStr">
        <is>
          <t>685d9054-b74f-49ab-857b-109fd2cec80d</t>
        </is>
      </c>
      <c r="D10882" t="n">
        <v>55.7427</v>
      </c>
      <c r="E10882" t="n">
        <v>37.69829</v>
      </c>
      <c r="F10882" t="inlineStr"/>
      <c r="G10882" t="inlineStr"/>
      <c r="H10882" t="inlineStr"/>
    </row>
    <row r="10883">
      <c r="A10883" t="inlineStr">
        <is>
          <t>c6beb425-3fb4-4b66-ae79-83defb51393c.jpg</t>
        </is>
      </c>
      <c r="B10883">
        <f>HYPERLINK("Объекты недвижимости, не соответствующие градостроительным нормам_00-022_Август/c6beb425-3fb4-4b66-ae79-83defb51393c.jpg","open")</f>
        <v/>
      </c>
      <c r="C10883" t="inlineStr">
        <is>
          <t>fb9a37cc-57a6-447c-98bb-0b299f09c809</t>
        </is>
      </c>
      <c r="D10883" t="n">
        <v>55.75797</v>
      </c>
      <c r="E10883" t="n">
        <v>37.68519</v>
      </c>
      <c r="F10883" t="inlineStr"/>
      <c r="G10883" t="inlineStr"/>
      <c r="H10883" t="inlineStr"/>
    </row>
    <row r="10884">
      <c r="A10884" t="inlineStr">
        <is>
          <t>bbd22237-ba41-40a8-89d0-f140cb004db4.jpg</t>
        </is>
      </c>
      <c r="B10884">
        <f>HYPERLINK("Объекты недвижимости, не соответствующие градостроительным нормам_00-022_Август/bbd22237-ba41-40a8-89d0-f140cb004db4.jpg","open")</f>
        <v/>
      </c>
      <c r="C10884" t="inlineStr">
        <is>
          <t>b0429a31-0c70-4b9f-8ea5-73929d82f89e</t>
        </is>
      </c>
      <c r="D10884" t="n">
        <v>55.65121</v>
      </c>
      <c r="E10884" t="n">
        <v>37.61215</v>
      </c>
      <c r="F10884" t="inlineStr"/>
      <c r="G10884" t="inlineStr"/>
      <c r="H10884" t="inlineStr"/>
    </row>
    <row r="10885">
      <c r="A10885" t="inlineStr">
        <is>
          <t>bf4fdf6c-6825-4ac4-b97c-9eb1a0a95018.jpg</t>
        </is>
      </c>
      <c r="B10885">
        <f>HYPERLINK("Объекты недвижимости, не соответствующие градостроительным нормам_00-022_Август/bf4fdf6c-6825-4ac4-b97c-9eb1a0a95018.jpg","open")</f>
        <v/>
      </c>
      <c r="C10885" t="inlineStr">
        <is>
          <t>99f3abba-c55b-49f0-9de5-9f88e9597cc0</t>
        </is>
      </c>
      <c r="D10885" t="n">
        <v>55.65125</v>
      </c>
      <c r="E10885" t="n">
        <v>37.61198</v>
      </c>
      <c r="F10885" t="inlineStr"/>
      <c r="G10885" t="inlineStr"/>
      <c r="H10885" t="inlineStr"/>
    </row>
    <row r="10886">
      <c r="A10886" t="inlineStr">
        <is>
          <t>3be3d285-cb53-4703-a0a3-986afd8dc826.jpg</t>
        </is>
      </c>
      <c r="B10886">
        <f>HYPERLINK("Объекты недвижимости, не соответствующие градостроительным нормам_00-022_Август/3be3d285-cb53-4703-a0a3-986afd8dc826.jpg","open")</f>
        <v/>
      </c>
      <c r="C10886" t="inlineStr">
        <is>
          <t>57aae8a4-582b-4309-8045-c8127a9f86ae</t>
        </is>
      </c>
      <c r="D10886" t="n">
        <v>55.74278</v>
      </c>
      <c r="E10886" t="n">
        <v>37.76476</v>
      </c>
      <c r="F10886" t="inlineStr"/>
      <c r="G10886" t="inlineStr"/>
      <c r="H10886" t="inlineStr"/>
    </row>
    <row r="10887">
      <c r="A10887" t="inlineStr">
        <is>
          <t>f1bebdc0-1bfc-40c6-b889-e39ae23ce691.jpg</t>
        </is>
      </c>
      <c r="B10887">
        <f>HYPERLINK("Объекты недвижимости, не соответствующие градостроительным нормам_00-022_Август/f1bebdc0-1bfc-40c6-b889-e39ae23ce691.jpg","open")</f>
        <v/>
      </c>
      <c r="C10887" t="inlineStr">
        <is>
          <t>acedacc2-0d8b-4fc1-9622-25621a89d071</t>
        </is>
      </c>
      <c r="D10887" t="n">
        <v>55.74277</v>
      </c>
      <c r="E10887" t="n">
        <v>37.76477</v>
      </c>
      <c r="F10887" t="inlineStr"/>
      <c r="G10887" t="inlineStr"/>
      <c r="H10887" t="inlineStr"/>
    </row>
    <row r="10888">
      <c r="A10888" t="inlineStr">
        <is>
          <t>53dd4855-13e7-44fd-bded-89fb4456206b.jpg</t>
        </is>
      </c>
      <c r="B10888">
        <f>HYPERLINK("Объекты недвижимости, не соответствующие градостроительным нормам_00-022_Август/53dd4855-13e7-44fd-bded-89fb4456206b.jpg","open")</f>
        <v/>
      </c>
      <c r="C10888" t="inlineStr">
        <is>
          <t>789f6c51-64ee-4078-b7bd-443af8b8b68a</t>
        </is>
      </c>
      <c r="D10888" t="n">
        <v>55.88566</v>
      </c>
      <c r="E10888" t="n">
        <v>37.60654</v>
      </c>
      <c r="F10888" t="inlineStr"/>
      <c r="G10888" t="inlineStr"/>
      <c r="H10888" t="inlineStr"/>
    </row>
    <row r="10889">
      <c r="A10889" t="inlineStr">
        <is>
          <t>46b4f092-048f-4dd0-8239-769737a0307b.jpg</t>
        </is>
      </c>
      <c r="B10889">
        <f>HYPERLINK("Объекты недвижимости, не соответствующие градостроительным нормам_00-022_Август/46b4f092-048f-4dd0-8239-769737a0307b.jpg","open")</f>
        <v/>
      </c>
      <c r="C10889" t="inlineStr">
        <is>
          <t>2acfb2da-e3f6-464c-bd17-4b713522c142</t>
        </is>
      </c>
      <c r="D10889" t="n">
        <v>55.88567</v>
      </c>
      <c r="E10889" t="n">
        <v>37.60653</v>
      </c>
      <c r="F10889" t="inlineStr"/>
      <c r="G10889" t="inlineStr"/>
      <c r="H10889" t="inlineStr"/>
    </row>
    <row r="10890">
      <c r="A10890" t="inlineStr">
        <is>
          <t>1b2907df-7fca-46a6-baf0-85485d3549ae.jpg</t>
        </is>
      </c>
      <c r="B10890">
        <f>HYPERLINK("Объекты недвижимости, не соответствующие градостроительным нормам_00-022_Август/1b2907df-7fca-46a6-baf0-85485d3549ae.jpg","open")</f>
        <v/>
      </c>
      <c r="C10890" t="inlineStr">
        <is>
          <t>93848fc8-17e7-4748-9ebc-c7e379e11d2f</t>
        </is>
      </c>
      <c r="D10890" t="n">
        <v>55.75367</v>
      </c>
      <c r="E10890" t="n">
        <v>37.70123</v>
      </c>
      <c r="F10890" t="inlineStr"/>
      <c r="G10890" t="inlineStr"/>
      <c r="H10890" t="inlineStr"/>
    </row>
    <row r="10891">
      <c r="A10891" t="inlineStr">
        <is>
          <t>b04ea65b-2631-4b60-93fe-53be07f44ffa.jpg</t>
        </is>
      </c>
      <c r="B10891">
        <f>HYPERLINK("Объекты недвижимости, не соответствующие градостроительным нормам_00-022_Август/b04ea65b-2631-4b60-93fe-53be07f44ffa.jpg","open")</f>
        <v/>
      </c>
      <c r="C10891" t="inlineStr">
        <is>
          <t>99f3abba-c55b-49f0-9de5-9f88e9597cc0</t>
        </is>
      </c>
      <c r="D10891" t="n">
        <v>55.65018</v>
      </c>
      <c r="E10891" t="n">
        <v>37.61185</v>
      </c>
      <c r="F10891" t="inlineStr"/>
      <c r="G10891" t="inlineStr"/>
      <c r="H10891" t="inlineStr"/>
    </row>
    <row r="10892">
      <c r="A10892" t="inlineStr">
        <is>
          <t>d34ffd57-2647-4fd4-8cf5-2d8ad507a85e.jpg</t>
        </is>
      </c>
      <c r="B10892">
        <f>HYPERLINK("Объекты недвижимости, не соответствующие градостроительным нормам_00-022_Август/d34ffd57-2647-4fd4-8cf5-2d8ad507a85e.jpg","open")</f>
        <v/>
      </c>
      <c r="C10892" t="inlineStr">
        <is>
          <t>b0429a31-0c70-4b9f-8ea5-73929d82f89e</t>
        </is>
      </c>
      <c r="D10892" t="n">
        <v>55.65015</v>
      </c>
      <c r="E10892" t="n">
        <v>37.61176</v>
      </c>
      <c r="F10892" t="inlineStr"/>
      <c r="G10892" t="inlineStr"/>
      <c r="H10892" t="inlineStr"/>
    </row>
    <row r="10893">
      <c r="A10893" t="inlineStr">
        <is>
          <t>c8bd0764-ac16-4f04-9a9d-f612cb21d86f.jpg</t>
        </is>
      </c>
      <c r="B10893">
        <f>HYPERLINK("Объекты недвижимости, не соответствующие градостроительным нормам_00-022_Август/c8bd0764-ac16-4f04-9a9d-f612cb21d86f.jpg","open")</f>
        <v/>
      </c>
      <c r="C10893" t="inlineStr">
        <is>
          <t>936502dd-24a4-4256-9fdf-0d8fb72af3ed</t>
        </is>
      </c>
      <c r="D10893" t="n">
        <v>55.6786</v>
      </c>
      <c r="E10893" t="n">
        <v>37.68537</v>
      </c>
      <c r="F10893" t="inlineStr"/>
      <c r="G10893" t="inlineStr"/>
      <c r="H10893" t="inlineStr"/>
    </row>
    <row r="10894">
      <c r="A10894" t="inlineStr">
        <is>
          <t>432a97d3-760d-444d-94e9-49efb0fdf3e4.jpg</t>
        </is>
      </c>
      <c r="B10894">
        <f>HYPERLINK("Объекты недвижимости, не соответствующие градостроительным нормам_00-022_Август/432a97d3-760d-444d-94e9-49efb0fdf3e4.jpg","open")</f>
        <v/>
      </c>
      <c r="C10894" t="inlineStr">
        <is>
          <t>8cde1fd0-eca1-4510-86ab-3c743b65fdfc</t>
        </is>
      </c>
      <c r="D10894" t="n">
        <v>55.74186</v>
      </c>
      <c r="E10894" t="n">
        <v>37.69793</v>
      </c>
      <c r="F10894" t="inlineStr"/>
      <c r="G10894" t="inlineStr"/>
      <c r="H10894" t="inlineStr"/>
    </row>
    <row r="10895">
      <c r="A10895" t="inlineStr">
        <is>
          <t>0b1fd017-9200-4e71-83db-f8523e0ccaee.jpg</t>
        </is>
      </c>
      <c r="B10895">
        <f>HYPERLINK("Объекты недвижимости, не соответствующие градостроительным нормам_00-022_Август/0b1fd017-9200-4e71-83db-f8523e0ccaee.jpg","open")</f>
        <v/>
      </c>
      <c r="C10895" t="inlineStr">
        <is>
          <t>b0b7ea82-53be-40d0-b992-e2fd18611d5c</t>
        </is>
      </c>
      <c r="D10895" t="n">
        <v>55.68276</v>
      </c>
      <c r="E10895" t="n">
        <v>37.73044</v>
      </c>
      <c r="F10895" t="inlineStr"/>
      <c r="G10895" t="inlineStr"/>
      <c r="H10895" t="inlineStr"/>
    </row>
    <row r="10896">
      <c r="A10896" t="inlineStr">
        <is>
          <t>83973ad6-17ab-4d1b-8e6b-8adfa15ce44b.jpg</t>
        </is>
      </c>
      <c r="B10896">
        <f>HYPERLINK("Объекты недвижимости, не соответствующие градостроительным нормам_00-022_Август/83973ad6-17ab-4d1b-8e6b-8adfa15ce44b.jpg","open")</f>
        <v/>
      </c>
      <c r="C10896" t="inlineStr">
        <is>
          <t>8cde1fd0-eca1-4510-86ab-3c743b65fdfc</t>
        </is>
      </c>
      <c r="D10896" t="n">
        <v>55.74806</v>
      </c>
      <c r="E10896" t="n">
        <v>37.70133</v>
      </c>
      <c r="F10896" t="inlineStr"/>
      <c r="G10896" t="inlineStr"/>
      <c r="H10896" t="inlineStr"/>
    </row>
    <row r="10897">
      <c r="A10897" t="inlineStr">
        <is>
          <t>d248d202-0836-430e-870f-c7e0000f386c.jpg</t>
        </is>
      </c>
      <c r="B10897">
        <f>HYPERLINK("Объекты недвижимости, не соответствующие градостроительным нормам_00-022_Август/d248d202-0836-430e-870f-c7e0000f386c.jpg","open")</f>
        <v/>
      </c>
      <c r="C10897" t="inlineStr">
        <is>
          <t>dd48f742-b338-42e2-bbaf-b3a9701b437c</t>
        </is>
      </c>
      <c r="D10897" t="n">
        <v>55.84768</v>
      </c>
      <c r="E10897" t="n">
        <v>37.60553</v>
      </c>
      <c r="F10897" t="inlineStr"/>
      <c r="G10897" t="inlineStr"/>
      <c r="H10897" t="inlineStr"/>
    </row>
    <row r="10898">
      <c r="A10898" t="inlineStr">
        <is>
          <t>92cbd2ef-ad65-441a-873f-a82d4b52eb7a.jpg</t>
        </is>
      </c>
      <c r="B10898">
        <f>HYPERLINK("Объекты недвижимости, не соответствующие градостроительным нормам_00-022_Август/92cbd2ef-ad65-441a-873f-a82d4b52eb7a.jpg","open")</f>
        <v/>
      </c>
      <c r="C10898" t="inlineStr">
        <is>
          <t>caa4772d-6278-4484-a046-ee25514bf521</t>
        </is>
      </c>
      <c r="D10898" t="n">
        <v>55.74486</v>
      </c>
      <c r="E10898" t="n">
        <v>37.70002</v>
      </c>
      <c r="F10898" t="inlineStr"/>
      <c r="G10898" t="inlineStr"/>
      <c r="H10898" t="inlineStr"/>
    </row>
    <row r="10899">
      <c r="A10899" t="inlineStr">
        <is>
          <t>e7981e8a-10b1-4269-b116-6b5df8dd11dc.jpg</t>
        </is>
      </c>
      <c r="B10899">
        <f>HYPERLINK("Объекты недвижимости, не соответствующие градостроительным нормам_00-022_Август/e7981e8a-10b1-4269-b116-6b5df8dd11dc.jpg","open")</f>
        <v/>
      </c>
      <c r="C10899" t="inlineStr">
        <is>
          <t>936502dd-24a4-4256-9fdf-0d8fb72af3ed</t>
        </is>
      </c>
      <c r="D10899" t="n">
        <v>55.75125</v>
      </c>
      <c r="E10899" t="n">
        <v>37.70115</v>
      </c>
      <c r="F10899" t="inlineStr"/>
      <c r="G10899" t="inlineStr"/>
      <c r="H10899" t="inlineStr"/>
    </row>
    <row r="10900">
      <c r="A10900" t="inlineStr">
        <is>
          <t>cea30766-3510-44c1-856c-1b6667520292.jpg</t>
        </is>
      </c>
      <c r="B10900">
        <f>HYPERLINK("Объекты недвижимости, не соответствующие градостроительным нормам_00-022_Август/cea30766-3510-44c1-856c-1b6667520292.jpg","open")</f>
        <v/>
      </c>
      <c r="C10900" t="inlineStr">
        <is>
          <t>b0b7ea82-53be-40d0-b992-e2fd18611d5c</t>
        </is>
      </c>
      <c r="D10900" t="n">
        <v>55.70998</v>
      </c>
      <c r="E10900" t="n">
        <v>37.72657</v>
      </c>
      <c r="F10900" t="inlineStr"/>
      <c r="G10900" t="inlineStr"/>
      <c r="H10900" t="inlineStr"/>
    </row>
    <row r="10901">
      <c r="A10901" t="inlineStr">
        <is>
          <t>87b7bf91-04e6-42de-85b4-9fa9be0f0c58.jpg</t>
        </is>
      </c>
      <c r="B10901">
        <f>HYPERLINK("Объекты недвижимости, не соответствующие градостроительным нормам_00-022_Август/87b7bf91-04e6-42de-85b4-9fa9be0f0c58.jpg","open")</f>
        <v/>
      </c>
      <c r="C10901" t="inlineStr">
        <is>
          <t>b0429a31-0c70-4b9f-8ea5-73929d82f89e</t>
        </is>
      </c>
      <c r="D10901" t="n">
        <v>55.70195</v>
      </c>
      <c r="E10901" t="n">
        <v>37.62186</v>
      </c>
      <c r="F10901" t="inlineStr"/>
      <c r="G10901" t="inlineStr"/>
      <c r="H10901" t="inlineStr"/>
    </row>
    <row r="10902">
      <c r="A10902" t="inlineStr">
        <is>
          <t>b5933b7a-2471-471a-b45c-d88e6ba8ce58.jpg</t>
        </is>
      </c>
      <c r="B10902">
        <f>HYPERLINK("Объекты недвижимости, не соответствующие градостроительным нормам_00-022_Август/b5933b7a-2471-471a-b45c-d88e6ba8ce58.jpg","open")</f>
        <v/>
      </c>
      <c r="C10902" t="inlineStr">
        <is>
          <t>b0b7ea82-53be-40d0-b992-e2fd18611d5c</t>
        </is>
      </c>
      <c r="D10902" t="n">
        <v>55.72474</v>
      </c>
      <c r="E10902" t="n">
        <v>37.78828</v>
      </c>
      <c r="F10902" t="inlineStr"/>
      <c r="G10902" t="inlineStr"/>
      <c r="H10902" t="inlineStr"/>
    </row>
    <row r="10903">
      <c r="A10903" t="inlineStr">
        <is>
          <t>22c7a84b-6403-4e69-96e5-11585303f7da.jpg</t>
        </is>
      </c>
      <c r="B10903">
        <f>HYPERLINK("Объекты недвижимости, не соответствующие градостроительным нормам_00-022_Август/22c7a84b-6403-4e69-96e5-11585303f7da.jpg","open")</f>
        <v/>
      </c>
      <c r="C10903" t="inlineStr">
        <is>
          <t>61936922-4d4b-458e-80ea-6d4c450aa1d5</t>
        </is>
      </c>
      <c r="D10903" t="n">
        <v>55.24674</v>
      </c>
      <c r="E10903" t="n">
        <v>38.02633</v>
      </c>
      <c r="F10903" t="inlineStr"/>
      <c r="G10903" t="inlineStr"/>
      <c r="H10903" t="inlineStr"/>
    </row>
    <row r="10904">
      <c r="A10904" t="inlineStr">
        <is>
          <t>9832d210-c1d6-49b5-b8bd-2d8365d295fd.jpg</t>
        </is>
      </c>
      <c r="B10904">
        <f>HYPERLINK("Объекты недвижимости, не соответствующие градостроительным нормам_00-022_Август/9832d210-c1d6-49b5-b8bd-2d8365d295fd.jpg","open")</f>
        <v/>
      </c>
      <c r="C10904" t="inlineStr">
        <is>
          <t>9c930d0e-e445-452d-a046-325646b21ab7</t>
        </is>
      </c>
      <c r="D10904" t="n">
        <v>55.70306</v>
      </c>
      <c r="E10904" t="n">
        <v>37.45785</v>
      </c>
      <c r="F10904" t="inlineStr"/>
      <c r="G10904" t="inlineStr"/>
      <c r="H10904" t="inlineStr"/>
    </row>
    <row r="10905">
      <c r="A10905" t="inlineStr">
        <is>
          <t>793d5698-5762-4094-a7b2-a88442d2b5c0.jpg</t>
        </is>
      </c>
      <c r="B10905">
        <f>HYPERLINK("Объекты недвижимости, не соответствующие градостроительным нормам_00-022_Август/793d5698-5762-4094-a7b2-a88442d2b5c0.jpg","open")</f>
        <v/>
      </c>
      <c r="C10905" t="inlineStr">
        <is>
          <t>61936922-4d4b-458e-80ea-6d4c450aa1d5</t>
        </is>
      </c>
      <c r="D10905" t="n">
        <v>55.75912</v>
      </c>
      <c r="E10905" t="n">
        <v>37.6823</v>
      </c>
      <c r="F10905" t="inlineStr"/>
      <c r="G10905" t="inlineStr"/>
      <c r="H10905" t="inlineStr"/>
    </row>
    <row r="10906">
      <c r="A10906" t="inlineStr">
        <is>
          <t>5a83bbbd-10ee-483b-a61d-02d2136eb4aa.jpg</t>
        </is>
      </c>
      <c r="B10906">
        <f>HYPERLINK("Объекты недвижимости, не соответствующие градостроительным нормам_00-022_Август/5a83bbbd-10ee-483b-a61d-02d2136eb4aa.jpg","open")</f>
        <v/>
      </c>
      <c r="C10906" t="inlineStr">
        <is>
          <t>b0429a31-0c70-4b9f-8ea5-73929d82f89e</t>
        </is>
      </c>
      <c r="D10906" t="n">
        <v>55.74457</v>
      </c>
      <c r="E10906" t="n">
        <v>37.69876</v>
      </c>
      <c r="F10906" t="inlineStr"/>
      <c r="G10906" t="inlineStr"/>
      <c r="H10906" t="inlineStr"/>
    </row>
    <row r="10907">
      <c r="A10907" t="inlineStr">
        <is>
          <t>b6701e4e-97dc-4517-ad52-e0cc27004fb9.jpg</t>
        </is>
      </c>
      <c r="B10907">
        <f>HYPERLINK("Объекты недвижимости, не соответствующие градостроительным нормам_00-022_Август/b6701e4e-97dc-4517-ad52-e0cc27004fb9.jpg","open")</f>
        <v/>
      </c>
      <c r="C10907" t="inlineStr">
        <is>
          <t>12e795ad-2aa7-49de-b2da-2c6aa35a4559</t>
        </is>
      </c>
      <c r="D10907" t="n">
        <v>55.75035</v>
      </c>
      <c r="E10907" t="n">
        <v>37.70847</v>
      </c>
      <c r="F10907" t="inlineStr"/>
      <c r="G10907" t="inlineStr"/>
      <c r="H10907" t="inlineStr"/>
    </row>
    <row r="10908">
      <c r="A10908" t="inlineStr">
        <is>
          <t>23bec1a5-ef4d-432e-b849-9a42846da869.jpg</t>
        </is>
      </c>
      <c r="B10908">
        <f>HYPERLINK("Объекты недвижимости, не соответствующие градостроительным нормам_00-022_Август/23bec1a5-ef4d-432e-b849-9a42846da869.jpg","open")</f>
        <v/>
      </c>
      <c r="C10908" t="inlineStr">
        <is>
          <t>dd22c7c9-0046-46d8-8631-55150dbf8ae5</t>
        </is>
      </c>
      <c r="D10908" t="n">
        <v>55.73577</v>
      </c>
      <c r="E10908" t="n">
        <v>37.51367</v>
      </c>
      <c r="F10908" t="inlineStr"/>
      <c r="G10908" t="inlineStr"/>
      <c r="H10908" t="inlineStr"/>
    </row>
    <row r="10909">
      <c r="A10909" t="inlineStr">
        <is>
          <t>664d5960-c964-4ae2-88a4-b954a1aa373e.jpg</t>
        </is>
      </c>
      <c r="B10909">
        <f>HYPERLINK("Объекты недвижимости, не соответствующие градостроительным нормам_00-022_Август/664d5960-c964-4ae2-88a4-b954a1aa373e.jpg","open")</f>
        <v/>
      </c>
      <c r="C10909" t="inlineStr">
        <is>
          <t>dd48f742-b338-42e2-bbaf-b3a9701b437c</t>
        </is>
      </c>
      <c r="D10909" t="n">
        <v>55.7996</v>
      </c>
      <c r="E10909" t="n">
        <v>37.38229</v>
      </c>
      <c r="F10909" t="inlineStr"/>
      <c r="G10909" t="inlineStr"/>
      <c r="H10909" t="inlineStr"/>
    </row>
    <row r="10910">
      <c r="A10910" t="inlineStr">
        <is>
          <t>601fd437-2c2a-4067-bc68-ff5a8ba68fa1.jpg</t>
        </is>
      </c>
      <c r="B10910">
        <f>HYPERLINK("Объекты недвижимости, не соответствующие градостроительным нормам_00-022_Август/601fd437-2c2a-4067-bc68-ff5a8ba68fa1.jpg","open")</f>
        <v/>
      </c>
      <c r="C10910" t="inlineStr">
        <is>
          <t>dd22c7c9-0046-46d8-8631-55150dbf8ae5</t>
        </is>
      </c>
      <c r="D10910" t="n">
        <v>55.73577</v>
      </c>
      <c r="E10910" t="n">
        <v>37.51367</v>
      </c>
      <c r="F10910" t="inlineStr"/>
      <c r="G10910" t="inlineStr"/>
      <c r="H10910" t="inlineStr"/>
    </row>
    <row r="10911">
      <c r="A10911" t="inlineStr">
        <is>
          <t>c9d252c7-5a20-4676-b479-5d04324808af.jpg</t>
        </is>
      </c>
      <c r="B10911">
        <f>HYPERLINK("Объекты недвижимости, не соответствующие градостроительным нормам_00-022_Август/c9d252c7-5a20-4676-b479-5d04324808af.jpg","open")</f>
        <v/>
      </c>
      <c r="C10911" t="inlineStr">
        <is>
          <t>af173c70-3716-4040-aa0b-1be99e78abe8</t>
        </is>
      </c>
      <c r="D10911" t="n">
        <v>55.73577</v>
      </c>
      <c r="E10911" t="n">
        <v>37.51367</v>
      </c>
      <c r="F10911" t="inlineStr"/>
      <c r="G10911" t="inlineStr"/>
      <c r="H10911" t="inlineStr"/>
    </row>
    <row r="10912">
      <c r="A10912" t="inlineStr">
        <is>
          <t>a792d771-36cd-49f3-9961-16fabd8ef097.jpg</t>
        </is>
      </c>
      <c r="B10912">
        <f>HYPERLINK("Объекты недвижимости, не соответствующие градостроительным нормам_00-022_Август/a792d771-36cd-49f3-9961-16fabd8ef097.jpg","open")</f>
        <v/>
      </c>
      <c r="C10912" t="inlineStr">
        <is>
          <t>8996eb30-6497-4318-8a0e-b95314b8172e</t>
        </is>
      </c>
      <c r="D10912" t="n">
        <v>55.7479</v>
      </c>
      <c r="E10912" t="n">
        <v>37.70079</v>
      </c>
      <c r="F10912" t="inlineStr"/>
      <c r="G10912" t="inlineStr"/>
      <c r="H10912" t="inlineStr"/>
    </row>
    <row r="10913">
      <c r="A10913" t="inlineStr">
        <is>
          <t>a396a17b-8a3f-4389-8211-273dafe830c3.jpg</t>
        </is>
      </c>
      <c r="B10913">
        <f>HYPERLINK("Объекты недвижимости, не соответствующие градостроительным нормам_00-022_Август/a396a17b-8a3f-4389-8211-273dafe830c3.jpg","open")</f>
        <v/>
      </c>
      <c r="C10913" t="inlineStr">
        <is>
          <t>9c930d0e-e445-452d-a046-325646b21ab7</t>
        </is>
      </c>
      <c r="D10913" t="n">
        <v>55.88121</v>
      </c>
      <c r="E10913" t="n">
        <v>37.62896</v>
      </c>
      <c r="F10913" t="inlineStr"/>
      <c r="G10913" t="inlineStr"/>
      <c r="H10913" t="inlineStr"/>
    </row>
    <row r="10914">
      <c r="A10914" t="inlineStr">
        <is>
          <t>c60092d2-8645-422f-9a5f-547b0b5d0bf7.jpg</t>
        </is>
      </c>
      <c r="B10914">
        <f>HYPERLINK("Объекты недвижимости, не соответствующие градостроительным нормам_00-022_Август/c60092d2-8645-422f-9a5f-547b0b5d0bf7.jpg","open")</f>
        <v/>
      </c>
      <c r="C10914" t="inlineStr">
        <is>
          <t>af173c70-3716-4040-aa0b-1be99e78abe8</t>
        </is>
      </c>
      <c r="D10914" t="n">
        <v>55.77148</v>
      </c>
      <c r="E10914" t="n">
        <v>37.58747</v>
      </c>
      <c r="F10914" t="inlineStr"/>
      <c r="G10914" t="inlineStr"/>
      <c r="H10914" t="inlineStr"/>
    </row>
    <row r="10915">
      <c r="A10915" t="inlineStr">
        <is>
          <t>6eedb6e7-f64e-49dd-9fbb-1ee4ffc65a43.jpg</t>
        </is>
      </c>
      <c r="B10915">
        <f>HYPERLINK("Объекты недвижимости, не соответствующие градостроительным нормам_00-022_Август/6eedb6e7-f64e-49dd-9fbb-1ee4ffc65a43.jpg","open")</f>
        <v/>
      </c>
      <c r="C10915" t="inlineStr">
        <is>
          <t>8cde1fd0-eca1-4510-86ab-3c743b65fdfc</t>
        </is>
      </c>
      <c r="D10915" t="n">
        <v>55.7365</v>
      </c>
      <c r="E10915" t="n">
        <v>37.76802</v>
      </c>
      <c r="F10915" t="inlineStr"/>
      <c r="G10915" t="inlineStr"/>
      <c r="H10915" t="inlineStr"/>
    </row>
    <row r="10916">
      <c r="A10916" t="inlineStr">
        <is>
          <t>09a01872-22de-437e-b6f8-b0750e94c94d.jpg</t>
        </is>
      </c>
      <c r="B10916">
        <f>HYPERLINK("Объекты недвижимости, не соответствующие градостроительным нормам_00-022_Август/09a01872-22de-437e-b6f8-b0750e94c94d.jpg","open")</f>
        <v/>
      </c>
      <c r="C10916" t="inlineStr">
        <is>
          <t>dd22c7c9-0046-46d8-8631-55150dbf8ae5</t>
        </is>
      </c>
      <c r="D10916" t="n">
        <v>55.96764</v>
      </c>
      <c r="E10916" t="n">
        <v>37.42818</v>
      </c>
      <c r="F10916" t="inlineStr"/>
      <c r="G10916" t="inlineStr"/>
      <c r="H10916" t="inlineStr"/>
    </row>
    <row r="10917">
      <c r="A10917" t="inlineStr">
        <is>
          <t>6a4c856b-eb07-4ce3-ac19-99c38d29e9ac.jpg</t>
        </is>
      </c>
      <c r="B10917">
        <f>HYPERLINK("Объекты недвижимости, не соответствующие градостроительным нормам_00-022_Август/6a4c856b-eb07-4ce3-ac19-99c38d29e9ac.jpg","open")</f>
        <v/>
      </c>
      <c r="C10917" t="inlineStr">
        <is>
          <t>af173c70-3716-4040-aa0b-1be99e78abe8</t>
        </is>
      </c>
      <c r="D10917" t="n">
        <v>55.96627</v>
      </c>
      <c r="E10917" t="n">
        <v>37.4045</v>
      </c>
      <c r="F10917" t="inlineStr"/>
      <c r="G10917" t="inlineStr"/>
      <c r="H10917" t="inlineStr"/>
    </row>
    <row r="10918">
      <c r="A10918" t="inlineStr">
        <is>
          <t>65ba43b5-8033-4f58-a08b-c47ce19bcb25.jpg</t>
        </is>
      </c>
      <c r="B10918">
        <f>HYPERLINK("Объекты недвижимости, не соответствующие градостроительным нормам_00-022_Август/65ba43b5-8033-4f58-a08b-c47ce19bcb25.jpg","open")</f>
        <v/>
      </c>
      <c r="C10918" t="inlineStr">
        <is>
          <t>ed2bf0f1-3a66-4913-896e-4420a9796c0b</t>
        </is>
      </c>
      <c r="D10918" t="n">
        <v>55.85162</v>
      </c>
      <c r="E10918" t="n">
        <v>37.68554</v>
      </c>
      <c r="F10918" t="inlineStr"/>
      <c r="G10918" t="inlineStr"/>
      <c r="H10918" t="inlineStr"/>
    </row>
    <row r="10919">
      <c r="A10919" t="inlineStr">
        <is>
          <t>a21f71be-030a-4065-b7da-0f140cbb2698.jpg</t>
        </is>
      </c>
      <c r="B10919">
        <f>HYPERLINK("Объекты недвижимости, не соответствующие градостроительным нормам_00-022_Август/a21f71be-030a-4065-b7da-0f140cbb2698.jpg","open")</f>
        <v/>
      </c>
      <c r="C10919" t="inlineStr">
        <is>
          <t>caa4772d-6278-4484-a046-ee25514bf521</t>
        </is>
      </c>
      <c r="D10919" t="n">
        <v>55.98195</v>
      </c>
      <c r="E10919" t="n">
        <v>37.4085</v>
      </c>
      <c r="F10919" t="inlineStr"/>
      <c r="G10919" t="inlineStr"/>
      <c r="H10919" t="inlineStr"/>
    </row>
    <row r="10920">
      <c r="A10920" t="inlineStr">
        <is>
          <t>458ee41f-7800-4619-b6eb-ed8471627336.jpg</t>
        </is>
      </c>
      <c r="B10920">
        <f>HYPERLINK("Объекты недвижимости, не соответствующие градостроительным нормам_00-022_Август/458ee41f-7800-4619-b6eb-ed8471627336.jpg","open")</f>
        <v/>
      </c>
      <c r="C10920" t="inlineStr">
        <is>
          <t>dd22c7c9-0046-46d8-8631-55150dbf8ae5</t>
        </is>
      </c>
      <c r="D10920" t="n">
        <v>55.99806</v>
      </c>
      <c r="E10920" t="n">
        <v>37.40696</v>
      </c>
      <c r="F10920" t="inlineStr"/>
      <c r="G10920" t="inlineStr"/>
      <c r="H10920" t="inlineStr"/>
    </row>
    <row r="10921">
      <c r="A10921" t="inlineStr">
        <is>
          <t>6f8f7566-bbc9-4754-a78c-bb259af9d67f.jpg</t>
        </is>
      </c>
      <c r="B10921">
        <f>HYPERLINK("Объекты недвижимости, не соответствующие градостроительным нормам_00-022_Август/6f8f7566-bbc9-4754-a78c-bb259af9d67f.jpg","open")</f>
        <v/>
      </c>
      <c r="C10921" t="inlineStr">
        <is>
          <t>48b533d5-d106-4175-ac9b-d5ce8d90cccf</t>
        </is>
      </c>
      <c r="D10921" t="n">
        <v>55.68806</v>
      </c>
      <c r="E10921" t="n">
        <v>37.52053</v>
      </c>
      <c r="F10921" t="inlineStr"/>
      <c r="G10921" t="inlineStr"/>
      <c r="H10921" t="inlineStr"/>
    </row>
    <row r="10922">
      <c r="A10922" t="inlineStr">
        <is>
          <t>a54d3464-64b7-45eb-b1e0-e279e408b7d8.jpg</t>
        </is>
      </c>
      <c r="B10922">
        <f>HYPERLINK("Объекты недвижимости, не соответствующие градостроительным нормам_00-022_Август/a54d3464-64b7-45eb-b1e0-e279e408b7d8.jpg","open")</f>
        <v/>
      </c>
      <c r="C10922" t="inlineStr">
        <is>
          <t>dd22c7c9-0046-46d8-8631-55150dbf8ae5</t>
        </is>
      </c>
      <c r="D10922" t="n">
        <v>55.98157</v>
      </c>
      <c r="E10922" t="n">
        <v>37.40731</v>
      </c>
      <c r="F10922" t="inlineStr"/>
      <c r="G10922" t="inlineStr"/>
      <c r="H10922" t="inlineStr"/>
    </row>
    <row r="10923">
      <c r="A10923" t="inlineStr">
        <is>
          <t>0a8a3580-35d7-4813-9b6f-7a436f7cce0f.jpg</t>
        </is>
      </c>
      <c r="B10923">
        <f>HYPERLINK("Объекты недвижимости, не соответствующие градостроительным нормам_00-022_Август/0a8a3580-35d7-4813-9b6f-7a436f7cce0f.jpg","open")</f>
        <v/>
      </c>
      <c r="C10923" t="inlineStr">
        <is>
          <t>caa4772d-6278-4484-a046-ee25514bf521</t>
        </is>
      </c>
      <c r="D10923" t="n">
        <v>55.98235</v>
      </c>
      <c r="E10923" t="n">
        <v>37.41612</v>
      </c>
      <c r="F10923" t="inlineStr"/>
      <c r="G10923" t="inlineStr"/>
      <c r="H10923" t="inlineStr"/>
    </row>
    <row r="10924">
      <c r="A10924" t="inlineStr">
        <is>
          <t>c4da9bd7-5c5d-413a-ae9a-db19b925cea5.jpg</t>
        </is>
      </c>
      <c r="B10924">
        <f>HYPERLINK("Объекты недвижимости, не соответствующие градостроительным нормам_00-022_Август/c4da9bd7-5c5d-413a-ae9a-db19b925cea5.jpg","open")</f>
        <v/>
      </c>
      <c r="C10924" t="inlineStr">
        <is>
          <t>8996eb30-6497-4318-8a0e-b95314b8172e</t>
        </is>
      </c>
      <c r="D10924" t="n">
        <v>55.68809</v>
      </c>
      <c r="E10924" t="n">
        <v>37.52048</v>
      </c>
      <c r="F10924" t="inlineStr"/>
      <c r="G10924" t="inlineStr"/>
      <c r="H10924" t="inlineStr"/>
    </row>
    <row r="10925">
      <c r="A10925" t="inlineStr">
        <is>
          <t>8b8e9440-00f9-40b9-a128-bebb94bfa5ea.jpg</t>
        </is>
      </c>
      <c r="B10925">
        <f>HYPERLINK("Объекты недвижимости, не соответствующие градостроительным нормам_00-022_Август/8b8e9440-00f9-40b9-a128-bebb94bfa5ea.jpg","open")</f>
        <v/>
      </c>
      <c r="C10925" t="inlineStr">
        <is>
          <t>1a55986c-2c3f-40c0-b3d1-014dce77832e</t>
        </is>
      </c>
      <c r="D10925" t="n">
        <v>55.8604</v>
      </c>
      <c r="E10925" t="n">
        <v>37.69547</v>
      </c>
      <c r="F10925" t="inlineStr"/>
      <c r="G10925" t="inlineStr"/>
      <c r="H10925" t="inlineStr"/>
    </row>
    <row r="10926">
      <c r="A10926" t="inlineStr">
        <is>
          <t>02459f65-25b4-4fb8-a6aa-9cfa3dd219a6.jpg</t>
        </is>
      </c>
      <c r="B10926">
        <f>HYPERLINK("Объекты недвижимости, не соответствующие градостроительным нормам_00-022_Август/02459f65-25b4-4fb8-a6aa-9cfa3dd219a6.jpg","open")</f>
        <v/>
      </c>
      <c r="C10926" t="inlineStr">
        <is>
          <t>1c951e11-4940-43c6-a447-394097e5609a</t>
        </is>
      </c>
      <c r="D10926" t="n">
        <v>55.75823</v>
      </c>
      <c r="E10926" t="n">
        <v>37.77435</v>
      </c>
      <c r="F10926" t="inlineStr"/>
      <c r="G10926" t="inlineStr"/>
      <c r="H10926" t="inlineStr"/>
    </row>
    <row r="10927">
      <c r="A10927" t="inlineStr">
        <is>
          <t>07d37d67-05fd-4cfe-b5bf-5a5fc2bea196.jpg</t>
        </is>
      </c>
      <c r="B10927">
        <f>HYPERLINK("Объекты недвижимости, не соответствующие градостроительным нормам_00-022_Август/07d37d67-05fd-4cfe-b5bf-5a5fc2bea196.jpg","open")</f>
        <v/>
      </c>
      <c r="C10927" t="inlineStr">
        <is>
          <t>93848fc8-17e7-4748-9ebc-c7e379e11d2f</t>
        </is>
      </c>
      <c r="D10927" t="n">
        <v>55.50996</v>
      </c>
      <c r="E10927" t="n">
        <v>37.30292</v>
      </c>
      <c r="F10927" t="inlineStr"/>
      <c r="G10927" t="inlineStr"/>
      <c r="H10927" t="inlineStr"/>
    </row>
    <row r="10928">
      <c r="A10928" t="inlineStr">
        <is>
          <t>39030fd4-da24-4bf8-be9b-e5663f3c8b93.jpg</t>
        </is>
      </c>
      <c r="B10928">
        <f>HYPERLINK("Объекты недвижимости, не соответствующие градостроительным нормам_00-022_Август/39030fd4-da24-4bf8-be9b-e5663f3c8b93.jpg","open")</f>
        <v/>
      </c>
      <c r="C10928" t="inlineStr">
        <is>
          <t>93848fc8-17e7-4748-9ebc-c7e379e11d2f</t>
        </is>
      </c>
      <c r="D10928" t="n">
        <v>55.52028</v>
      </c>
      <c r="E10928" t="n">
        <v>37.30843</v>
      </c>
      <c r="F10928" t="inlineStr"/>
      <c r="G10928" t="inlineStr"/>
      <c r="H10928" t="inlineStr"/>
    </row>
    <row r="10929">
      <c r="A10929" t="inlineStr">
        <is>
          <t>042734ac-a3ef-4aaa-b1f2-0c0c7cc3d3f4.jpg</t>
        </is>
      </c>
      <c r="B10929">
        <f>HYPERLINK("Объекты недвижимости, не соответствующие градостроительным нормам_00-022_Август/042734ac-a3ef-4aaa-b1f2-0c0c7cc3d3f4.jpg","open")</f>
        <v/>
      </c>
      <c r="C10929" t="inlineStr">
        <is>
          <t>1a55986c-2c3f-40c0-b3d1-014dce77832e</t>
        </is>
      </c>
      <c r="D10929" t="n">
        <v>55.86091</v>
      </c>
      <c r="E10929" t="n">
        <v>37.70119</v>
      </c>
      <c r="F10929" t="inlineStr"/>
      <c r="G10929" t="inlineStr"/>
      <c r="H10929" t="inlineStr"/>
    </row>
    <row r="10930">
      <c r="A10930" t="inlineStr">
        <is>
          <t>53d4faec-ccdc-41fb-a5d5-ecc725d6a218.jpg</t>
        </is>
      </c>
      <c r="B10930">
        <f>HYPERLINK("Объекты недвижимости, не соответствующие градостроительным нормам_00-022_Август/53d4faec-ccdc-41fb-a5d5-ecc725d6a218.jpg","open")</f>
        <v/>
      </c>
      <c r="C10930" t="inlineStr">
        <is>
          <t>caa4772d-6278-4484-a046-ee25514bf521</t>
        </is>
      </c>
      <c r="D10930" t="n">
        <v>55.96978</v>
      </c>
      <c r="E10930" t="n">
        <v>37.42955</v>
      </c>
      <c r="F10930" t="inlineStr"/>
      <c r="G10930" t="inlineStr"/>
      <c r="H10930" t="inlineStr"/>
    </row>
    <row r="10931">
      <c r="A10931" t="inlineStr">
        <is>
          <t>fac8efa8-12d9-4a98-921b-86796202f6da.jpg</t>
        </is>
      </c>
      <c r="B10931">
        <f>HYPERLINK("Объекты недвижимости, не соответствующие градостроительным нормам_00-022_Август/fac8efa8-12d9-4a98-921b-86796202f6da.jpg","open")</f>
        <v/>
      </c>
      <c r="C10931" t="inlineStr">
        <is>
          <t>ed2bf0f1-3a66-4913-896e-4420a9796c0b</t>
        </is>
      </c>
      <c r="D10931" t="n">
        <v>55.86745</v>
      </c>
      <c r="E10931" t="n">
        <v>37.70689</v>
      </c>
      <c r="F10931" t="inlineStr"/>
      <c r="G10931" t="inlineStr"/>
      <c r="H10931" t="inlineStr"/>
    </row>
    <row r="10932">
      <c r="A10932" t="inlineStr">
        <is>
          <t>23b083a7-67df-411f-a39d-0a6705940fc8.jpg</t>
        </is>
      </c>
      <c r="B10932">
        <f>HYPERLINK("Объекты недвижимости, не соответствующие градостроительным нормам_00-022_Август/23b083a7-67df-411f-a39d-0a6705940fc8.jpg","open")</f>
        <v/>
      </c>
      <c r="C10932" t="inlineStr">
        <is>
          <t>8cde1fd0-eca1-4510-86ab-3c743b65fdfc</t>
        </is>
      </c>
      <c r="D10932" t="n">
        <v>55.75449</v>
      </c>
      <c r="E10932" t="n">
        <v>37.77712</v>
      </c>
      <c r="F10932" t="inlineStr"/>
      <c r="G10932" t="inlineStr"/>
      <c r="H10932" t="inlineStr"/>
    </row>
    <row r="10933">
      <c r="A10933" t="inlineStr">
        <is>
          <t>4a2064a7-b724-4dfe-8d9a-8657d2227499.jpg</t>
        </is>
      </c>
      <c r="B10933">
        <f>HYPERLINK("Объекты недвижимости, не соответствующие градостроительным нормам_00-022_Август/4a2064a7-b724-4dfe-8d9a-8657d2227499.jpg","open")</f>
        <v/>
      </c>
      <c r="C10933" t="inlineStr">
        <is>
          <t>dd22c7c9-0046-46d8-8631-55150dbf8ae5</t>
        </is>
      </c>
      <c r="D10933" t="n">
        <v>55.97541</v>
      </c>
      <c r="E10933" t="n">
        <v>37.43079</v>
      </c>
      <c r="F10933" t="inlineStr"/>
      <c r="G10933" t="inlineStr"/>
      <c r="H10933" t="inlineStr"/>
    </row>
    <row r="10934">
      <c r="A10934" t="inlineStr">
        <is>
          <t>1352175a-2c47-45ca-b579-1bf0ac58c080.jpg</t>
        </is>
      </c>
      <c r="B10934">
        <f>HYPERLINK("Объекты недвижимости, не соответствующие градостроительным нормам_00-022_Август/1352175a-2c47-45ca-b579-1bf0ac58c080.jpg","open")</f>
        <v/>
      </c>
      <c r="C10934" t="inlineStr">
        <is>
          <t>1c951e11-4940-43c6-a447-394097e5609a</t>
        </is>
      </c>
      <c r="D10934" t="n">
        <v>55.75853</v>
      </c>
      <c r="E10934" t="n">
        <v>37.78752</v>
      </c>
      <c r="F10934" t="inlineStr"/>
      <c r="G10934" t="inlineStr"/>
      <c r="H10934" t="inlineStr"/>
    </row>
    <row r="10935">
      <c r="A10935" t="inlineStr">
        <is>
          <t>5f87bf37-9f96-4b8e-9064-401420c73430.jpg</t>
        </is>
      </c>
      <c r="B10935">
        <f>HYPERLINK("Объекты недвижимости, не соответствующие градостроительным нормам_00-022_Август/5f87bf37-9f96-4b8e-9064-401420c73430.jpg","open")</f>
        <v/>
      </c>
      <c r="C10935" t="inlineStr">
        <is>
          <t>8cde1fd0-eca1-4510-86ab-3c743b65fdfc</t>
        </is>
      </c>
      <c r="D10935" t="n">
        <v>55.75851</v>
      </c>
      <c r="E10935" t="n">
        <v>37.78749</v>
      </c>
      <c r="F10935" t="inlineStr"/>
      <c r="G10935" t="inlineStr"/>
      <c r="H10935" t="inlineStr"/>
    </row>
    <row r="10936">
      <c r="A10936" t="inlineStr">
        <is>
          <t>8a3c2d2d-ac24-461d-b13d-1fa848becd96.jpg</t>
        </is>
      </c>
      <c r="B10936">
        <f>HYPERLINK("Объекты недвижимости, не соответствующие градостроительным нормам_00-022_Август/8a3c2d2d-ac24-461d-b13d-1fa848becd96.jpg","open")</f>
        <v/>
      </c>
      <c r="C10936" t="inlineStr">
        <is>
          <t>8cde1fd0-eca1-4510-86ab-3c743b65fdfc</t>
        </is>
      </c>
      <c r="D10936" t="n">
        <v>55.75862</v>
      </c>
      <c r="E10936" t="n">
        <v>37.7879</v>
      </c>
      <c r="F10936" t="inlineStr"/>
      <c r="G10936" t="inlineStr"/>
      <c r="H10936" t="inlineStr"/>
    </row>
    <row r="10937">
      <c r="A10937" t="inlineStr">
        <is>
          <t>ef8fbf9d-bb9f-436a-aa06-dd9c850ca928.jpg</t>
        </is>
      </c>
      <c r="B10937">
        <f>HYPERLINK("Объекты недвижимости, не соответствующие градостроительным нормам_00-022_Август/ef8fbf9d-bb9f-436a-aa06-dd9c850ca928.jpg","open")</f>
        <v/>
      </c>
      <c r="C10937" t="inlineStr">
        <is>
          <t>1c951e11-4940-43c6-a447-394097e5609a</t>
        </is>
      </c>
      <c r="D10937" t="n">
        <v>55.76084</v>
      </c>
      <c r="E10937" t="n">
        <v>37.78722</v>
      </c>
      <c r="F10937" t="inlineStr"/>
      <c r="G10937" t="inlineStr"/>
      <c r="H10937" t="inlineStr"/>
    </row>
    <row r="10938">
      <c r="A10938" t="inlineStr">
        <is>
          <t>0bb807fe-2068-4924-b2b0-8439d5c197d2.jpg</t>
        </is>
      </c>
      <c r="B10938">
        <f>HYPERLINK("Объекты недвижимости, не соответствующие градостроительным нормам_00-022_Август/0bb807fe-2068-4924-b2b0-8439d5c197d2.jpg","open")</f>
        <v/>
      </c>
      <c r="C10938" t="inlineStr">
        <is>
          <t>8cde1fd0-eca1-4510-86ab-3c743b65fdfc</t>
        </is>
      </c>
      <c r="D10938" t="n">
        <v>55.7608</v>
      </c>
      <c r="E10938" t="n">
        <v>37.78704</v>
      </c>
      <c r="F10938" t="inlineStr"/>
      <c r="G10938" t="inlineStr"/>
      <c r="H10938" t="inlineStr"/>
    </row>
    <row r="10939">
      <c r="A10939" t="inlineStr">
        <is>
          <t>a4a31c44-0185-4cdc-9241-4d2597af5251.jpg</t>
        </is>
      </c>
      <c r="B10939">
        <f>HYPERLINK("Объекты недвижимости, не соответствующие градостроительным нормам_00-022_Август/a4a31c44-0185-4cdc-9241-4d2597af5251.jpg","open")</f>
        <v/>
      </c>
      <c r="C10939" t="inlineStr">
        <is>
          <t>8cde1fd0-eca1-4510-86ab-3c743b65fdfc</t>
        </is>
      </c>
      <c r="D10939" t="n">
        <v>55.75945</v>
      </c>
      <c r="E10939" t="n">
        <v>37.77965</v>
      </c>
      <c r="F10939" t="inlineStr"/>
      <c r="G10939" t="inlineStr"/>
      <c r="H10939" t="inlineStr"/>
    </row>
    <row r="10940">
      <c r="A10940" t="inlineStr">
        <is>
          <t>85f9ec7a-f5d7-4a38-a926-397eae9186be.jpg</t>
        </is>
      </c>
      <c r="B10940">
        <f>HYPERLINK("Объекты недвижимости, не соответствующие градостроительным нормам_00-022_Август/85f9ec7a-f5d7-4a38-a926-397eae9186be.jpg","open")</f>
        <v/>
      </c>
      <c r="C10940" t="inlineStr">
        <is>
          <t>8996eb30-6497-4318-8a0e-b95314b8172e</t>
        </is>
      </c>
      <c r="D10940" t="n">
        <v>55.71314</v>
      </c>
      <c r="E10940" t="n">
        <v>37.50498</v>
      </c>
      <c r="F10940" t="inlineStr"/>
      <c r="G10940" t="inlineStr"/>
      <c r="H10940" t="inlineStr"/>
    </row>
    <row r="10941">
      <c r="A10941" t="inlineStr">
        <is>
          <t>747d5214-32fe-457f-9869-e2258e238de0.jpg</t>
        </is>
      </c>
      <c r="B10941">
        <f>HYPERLINK("Объекты недвижимости, не соответствующие градостроительным нормам_00-022_Август/747d5214-32fe-457f-9869-e2258e238de0.jpg","open")</f>
        <v/>
      </c>
      <c r="C10941" t="inlineStr">
        <is>
          <t>48b533d5-d106-4175-ac9b-d5ce8d90cccf</t>
        </is>
      </c>
      <c r="D10941" t="n">
        <v>55.71486</v>
      </c>
      <c r="E10941" t="n">
        <v>37.5052</v>
      </c>
      <c r="F10941" t="inlineStr"/>
      <c r="G10941" t="inlineStr"/>
      <c r="H10941" t="inlineStr"/>
    </row>
    <row r="10942">
      <c r="A10942" t="inlineStr">
        <is>
          <t>a39842f4-f0ce-44f1-9311-8d8dc867d52e.jpg</t>
        </is>
      </c>
      <c r="B10942">
        <f>HYPERLINK("Объекты недвижимости, не соответствующие градостроительным нормам_00-022_Август/a39842f4-f0ce-44f1-9311-8d8dc867d52e.jpg","open")</f>
        <v/>
      </c>
      <c r="C10942" t="inlineStr">
        <is>
          <t>797901ad-53b1-41b8-99d1-d59d59c863d5</t>
        </is>
      </c>
      <c r="D10942" t="n">
        <v>55.79334</v>
      </c>
      <c r="E10942" t="n">
        <v>37.7999</v>
      </c>
      <c r="F10942" t="inlineStr"/>
      <c r="G10942" t="inlineStr"/>
      <c r="H10942" t="inlineStr"/>
    </row>
    <row r="10943">
      <c r="A10943" t="inlineStr">
        <is>
          <t>b28b69e8-ff26-43a7-97d5-f5e41f9cba58.jpg</t>
        </is>
      </c>
      <c r="B10943">
        <f>HYPERLINK("Объекты недвижимости, не соответствующие градостроительным нормам_00-022_Август/b28b69e8-ff26-43a7-97d5-f5e41f9cba58.jpg","open")</f>
        <v/>
      </c>
      <c r="C10943" t="inlineStr">
        <is>
          <t>f6f80c84-5569-48fd-b627-6f41ce4c61c4</t>
        </is>
      </c>
      <c r="D10943" t="n">
        <v>55.97145</v>
      </c>
      <c r="E10943" t="n">
        <v>37.39928</v>
      </c>
      <c r="F10943" t="inlineStr"/>
      <c r="G10943" t="inlineStr"/>
      <c r="H10943" t="inlineStr"/>
    </row>
    <row r="10944">
      <c r="A10944" t="inlineStr">
        <is>
          <t>23b13a85-3cb5-4a97-ae05-50eb82e8ccce.jpg</t>
        </is>
      </c>
      <c r="B10944">
        <f>HYPERLINK("Объекты недвижимости, не соответствующие градостроительным нормам_00-022_Август/23b13a85-3cb5-4a97-ae05-50eb82e8ccce.jpg","open")</f>
        <v/>
      </c>
      <c r="C10944" t="inlineStr">
        <is>
          <t>dd22c7c9-0046-46d8-8631-55150dbf8ae5</t>
        </is>
      </c>
      <c r="D10944" t="n">
        <v>55.98249</v>
      </c>
      <c r="E10944" t="n">
        <v>37.41501</v>
      </c>
      <c r="F10944" t="inlineStr"/>
      <c r="G10944" t="inlineStr"/>
      <c r="H10944" t="inlineStr"/>
    </row>
    <row r="10945">
      <c r="A10945" t="inlineStr">
        <is>
          <t>3a4303d1-d985-412c-8e74-a03ed02b25c9.jpg</t>
        </is>
      </c>
      <c r="B10945">
        <f>HYPERLINK("Объекты недвижимости, не соответствующие градостроительным нормам_00-022_Август/3a4303d1-d985-412c-8e74-a03ed02b25c9.jpg","open")</f>
        <v/>
      </c>
      <c r="C10945" t="inlineStr">
        <is>
          <t>1c951e11-4940-43c6-a447-394097e5609a</t>
        </is>
      </c>
      <c r="D10945" t="n">
        <v>55.76447</v>
      </c>
      <c r="E10945" t="n">
        <v>37.78409</v>
      </c>
      <c r="F10945" t="inlineStr"/>
      <c r="G10945" t="inlineStr"/>
      <c r="H10945" t="inlineStr"/>
    </row>
    <row r="10946">
      <c r="A10946" t="inlineStr">
        <is>
          <t>a93fe2a9-bfb2-4470-9649-17cf63c59ac9.jpg</t>
        </is>
      </c>
      <c r="B10946">
        <f>HYPERLINK("Объекты недвижимости, не соответствующие градостроительным нормам_00-022_Август/a93fe2a9-bfb2-4470-9649-17cf63c59ac9.jpg","open")</f>
        <v/>
      </c>
      <c r="C10946" t="inlineStr">
        <is>
          <t>fb40ed24-21ef-458a-a239-038ab19932cc</t>
        </is>
      </c>
      <c r="D10946" t="n">
        <v>55.80301</v>
      </c>
      <c r="E10946" t="n">
        <v>37.78484</v>
      </c>
      <c r="F10946" t="inlineStr"/>
      <c r="G10946" t="inlineStr"/>
      <c r="H10946" t="inlineStr"/>
    </row>
    <row r="10947">
      <c r="A10947" t="inlineStr">
        <is>
          <t>d8209882-d3fe-431d-9b3f-7e6ab2e37f7a.jpg</t>
        </is>
      </c>
      <c r="B10947">
        <f>HYPERLINK("Объекты недвижимости, не соответствующие градостроительным нормам_00-022_Август/d8209882-d3fe-431d-9b3f-7e6ab2e37f7a.jpg","open")</f>
        <v/>
      </c>
      <c r="C10947" t="inlineStr">
        <is>
          <t>8cde1fd0-eca1-4510-86ab-3c743b65fdfc</t>
        </is>
      </c>
      <c r="D10947" t="n">
        <v>55.7547</v>
      </c>
      <c r="E10947" t="n">
        <v>37.78252</v>
      </c>
      <c r="F10947" t="inlineStr"/>
      <c r="G10947" t="inlineStr"/>
      <c r="H10947" t="inlineStr"/>
    </row>
    <row r="10948">
      <c r="A10948" t="inlineStr">
        <is>
          <t>f2bc79d7-eb09-427e-a60c-e46f57384db5.jpg</t>
        </is>
      </c>
      <c r="B10948">
        <f>HYPERLINK("Объекты недвижимости, не соответствующие градостроительным нормам_00-022_Август/f2bc79d7-eb09-427e-a60c-e46f57384db5.jpg","open")</f>
        <v/>
      </c>
      <c r="C10948" t="inlineStr">
        <is>
          <t>8cde1fd0-eca1-4510-86ab-3c743b65fdfc</t>
        </is>
      </c>
      <c r="D10948" t="n">
        <v>55.76444</v>
      </c>
      <c r="E10948" t="n">
        <v>37.78395</v>
      </c>
      <c r="F10948" t="inlineStr"/>
      <c r="G10948" t="inlineStr"/>
      <c r="H10948" t="inlineStr"/>
    </row>
    <row r="10949">
      <c r="A10949" t="inlineStr">
        <is>
          <t>c8bc69a0-84ec-4e61-9115-449914f889d0.jpg</t>
        </is>
      </c>
      <c r="B10949">
        <f>HYPERLINK("Объекты недвижимости, не соответствующие градостроительным нормам_00-022_Август/c8bc69a0-84ec-4e61-9115-449914f889d0.jpg","open")</f>
        <v/>
      </c>
      <c r="C10949" t="inlineStr">
        <is>
          <t>dd22c7c9-0046-46d8-8631-55150dbf8ae5</t>
        </is>
      </c>
      <c r="D10949" t="n">
        <v>55.98186</v>
      </c>
      <c r="E10949" t="n">
        <v>37.40961</v>
      </c>
      <c r="F10949" t="inlineStr"/>
      <c r="G10949" t="inlineStr"/>
      <c r="H10949" t="inlineStr"/>
    </row>
    <row r="10950">
      <c r="A10950" t="inlineStr">
        <is>
          <t>1aee4e4e-3413-453e-94e9-e708f8de8765.jpg</t>
        </is>
      </c>
      <c r="B10950">
        <f>HYPERLINK("Объекты недвижимости, не соответствующие градостроительным нормам_00-022_Август/1aee4e4e-3413-453e-94e9-e708f8de8765.jpg","open")</f>
        <v/>
      </c>
      <c r="C10950" t="inlineStr">
        <is>
          <t>93848fc8-17e7-4748-9ebc-c7e379e11d2f</t>
        </is>
      </c>
      <c r="D10950" t="n">
        <v>55.52018</v>
      </c>
      <c r="E10950" t="n">
        <v>37.22801</v>
      </c>
      <c r="F10950" t="inlineStr"/>
      <c r="G10950" t="inlineStr"/>
      <c r="H10950" t="inlineStr"/>
    </row>
    <row r="10951">
      <c r="A10951" t="inlineStr">
        <is>
          <t>f7fd31cd-7c41-4cf1-a046-5a67de431713.jpg</t>
        </is>
      </c>
      <c r="B10951">
        <f>HYPERLINK("Объекты недвижимости, не соответствующие градостроительным нормам_00-022_Август/f7fd31cd-7c41-4cf1-a046-5a67de431713.jpg","open")</f>
        <v/>
      </c>
      <c r="C10951" t="inlineStr">
        <is>
          <t>912d4e49-7c68-4b5e-ad2f-962fa54bfbba</t>
        </is>
      </c>
      <c r="D10951" t="n">
        <v>56.14933</v>
      </c>
      <c r="E10951" t="n">
        <v>37.29868</v>
      </c>
      <c r="F10951" t="inlineStr"/>
      <c r="G10951" t="inlineStr"/>
      <c r="H10951" t="inlineStr"/>
    </row>
    <row r="10952">
      <c r="A10952" t="inlineStr">
        <is>
          <t>b57b37cf-2b55-4f30-9364-81920ca96f3b.jpg</t>
        </is>
      </c>
      <c r="B10952">
        <f>HYPERLINK("Объекты недвижимости, не соответствующие градостроительным нормам_00-022_Август/b57b37cf-2b55-4f30-9364-81920ca96f3b.jpg","open")</f>
        <v/>
      </c>
      <c r="C10952" t="inlineStr">
        <is>
          <t>0dd30d74-4dbc-46a8-b638-91e1431bb398</t>
        </is>
      </c>
      <c r="D10952" t="n">
        <v>55.52048</v>
      </c>
      <c r="E10952" t="n">
        <v>37.25117</v>
      </c>
      <c r="F10952" t="inlineStr"/>
      <c r="G10952" t="inlineStr"/>
      <c r="H10952" t="inlineStr"/>
    </row>
    <row r="10953">
      <c r="A10953" t="inlineStr">
        <is>
          <t>e88fa732-5902-45d8-904c-273545264d40.jpg</t>
        </is>
      </c>
      <c r="B10953">
        <f>HYPERLINK("Объекты недвижимости, не соответствующие градостроительным нормам_00-022_Август/e88fa732-5902-45d8-904c-273545264d40.jpg","open")</f>
        <v/>
      </c>
      <c r="C10953" t="inlineStr">
        <is>
          <t>48b533d5-d106-4175-ac9b-d5ce8d90cccf</t>
        </is>
      </c>
      <c r="D10953" t="n">
        <v>55.57198</v>
      </c>
      <c r="E10953" t="n">
        <v>36.82916</v>
      </c>
      <c r="F10953" t="inlineStr"/>
      <c r="G10953" t="inlineStr"/>
      <c r="H10953" t="inlineStr"/>
    </row>
    <row r="10954">
      <c r="A10954" t="inlineStr">
        <is>
          <t>d1b61781-09a6-4dcf-9f41-097895158396.jpg</t>
        </is>
      </c>
      <c r="B10954">
        <f>HYPERLINK("Объекты недвижимости, не соответствующие градостроительным нормам_00-022_Август/d1b61781-09a6-4dcf-9f41-097895158396.jpg","open")</f>
        <v/>
      </c>
      <c r="C10954" t="inlineStr">
        <is>
          <t>48b533d5-d106-4175-ac9b-d5ce8d90cccf</t>
        </is>
      </c>
      <c r="D10954" t="n">
        <v>55.73152</v>
      </c>
      <c r="E10954" t="n">
        <v>37.58356</v>
      </c>
      <c r="F10954" t="inlineStr"/>
      <c r="G10954" t="inlineStr"/>
      <c r="H10954" t="inlineStr"/>
    </row>
    <row r="10955">
      <c r="A10955" t="inlineStr">
        <is>
          <t>7b917870-af87-4cb4-8f63-8a993294d6c6.jpg</t>
        </is>
      </c>
      <c r="B10955">
        <f>HYPERLINK("Объекты недвижимости, не соответствующие градостроительным нормам_00-022_Август/7b917870-af87-4cb4-8f63-8a993294d6c6.jpg","open")</f>
        <v/>
      </c>
      <c r="C10955" t="inlineStr">
        <is>
          <t>912d4e49-7c68-4b5e-ad2f-962fa54bfbba</t>
        </is>
      </c>
      <c r="D10955" t="n">
        <v>55.73661</v>
      </c>
      <c r="E10955" t="n">
        <v>37.58434</v>
      </c>
      <c r="F10955" t="inlineStr"/>
      <c r="G10955" t="inlineStr"/>
      <c r="H10955" t="inlineStr"/>
    </row>
    <row r="10956">
      <c r="A10956" t="inlineStr">
        <is>
          <t>f2085234-3d0c-4d96-b40b-f722cbcabaa6.jpg</t>
        </is>
      </c>
      <c r="B10956">
        <f>HYPERLINK("Объекты недвижимости, не соответствующие градостроительным нормам_00-022_Август/f2085234-3d0c-4d96-b40b-f722cbcabaa6.jpg","open")</f>
        <v/>
      </c>
      <c r="C10956" t="inlineStr">
        <is>
          <t>e55a5b38-145c-46e6-bb86-c37bad8c10ca</t>
        </is>
      </c>
      <c r="D10956" t="n">
        <v>55.73661</v>
      </c>
      <c r="E10956" t="n">
        <v>37.58434</v>
      </c>
      <c r="F10956" t="inlineStr"/>
      <c r="G10956" t="inlineStr"/>
      <c r="H10956" t="inlineStr"/>
    </row>
    <row r="10957">
      <c r="A10957" t="inlineStr">
        <is>
          <t>fc07c566-aadb-4f2a-b9fb-d75949c54fcd.jpg</t>
        </is>
      </c>
      <c r="B10957">
        <f>HYPERLINK("Объекты недвижимости, не соответствующие градостроительным нормам_00-022_Август/fc07c566-aadb-4f2a-b9fb-d75949c54fcd.jpg","open")</f>
        <v/>
      </c>
      <c r="C10957" t="inlineStr">
        <is>
          <t>dd22c7c9-0046-46d8-8631-55150dbf8ae5</t>
        </is>
      </c>
      <c r="D10957" t="n">
        <v>55.73936</v>
      </c>
      <c r="E10957" t="n">
        <v>37.41188</v>
      </c>
      <c r="F10957" t="inlineStr"/>
      <c r="G10957" t="inlineStr"/>
      <c r="H10957" t="inlineStr"/>
    </row>
    <row r="10958">
      <c r="A10958" t="inlineStr">
        <is>
          <t>6e9dc8de-adcc-47ff-9710-8f46c04281f5.jpg</t>
        </is>
      </c>
      <c r="B10958">
        <f>HYPERLINK("Объекты недвижимости, не соответствующие градостроительным нормам_00-022_Август/6e9dc8de-adcc-47ff-9710-8f46c04281f5.jpg","open")</f>
        <v/>
      </c>
      <c r="C10958" t="inlineStr">
        <is>
          <t>ed2bf0f1-3a66-4913-896e-4420a9796c0b</t>
        </is>
      </c>
      <c r="D10958" t="n">
        <v>55.86242</v>
      </c>
      <c r="E10958" t="n">
        <v>37.69444</v>
      </c>
      <c r="F10958" t="inlineStr"/>
      <c r="G10958" t="inlineStr"/>
      <c r="H10958" t="inlineStr"/>
    </row>
    <row r="10959">
      <c r="A10959" t="inlineStr">
        <is>
          <t>41f854c4-d813-4a7b-b6c4-0aa4ac8045c5.jpg</t>
        </is>
      </c>
      <c r="B10959">
        <f>HYPERLINK("Объекты недвижимости, не соответствующие градостроительным нормам_00-022_Август/41f854c4-d813-4a7b-b6c4-0aa4ac8045c5.jpg","open")</f>
        <v/>
      </c>
      <c r="C10959" t="inlineStr">
        <is>
          <t>1a55986c-2c3f-40c0-b3d1-014dce77832e</t>
        </is>
      </c>
      <c r="D10959" t="n">
        <v>55.86241</v>
      </c>
      <c r="E10959" t="n">
        <v>37.69435</v>
      </c>
      <c r="F10959" t="inlineStr"/>
      <c r="G10959" t="inlineStr"/>
      <c r="H10959" t="inlineStr"/>
    </row>
    <row r="10960">
      <c r="A10960" t="inlineStr">
        <is>
          <t>40a0d0ff-266c-48c9-9f4b-01e2be646261.jpg</t>
        </is>
      </c>
      <c r="B10960">
        <f>HYPERLINK("Объекты недвижимости, не соответствующие градостроительным нормам_00-022_Август/40a0d0ff-266c-48c9-9f4b-01e2be646261.jpg","open")</f>
        <v/>
      </c>
      <c r="C10960" t="inlineStr">
        <is>
          <t>dd22c7c9-0046-46d8-8631-55150dbf8ae5</t>
        </is>
      </c>
      <c r="D10960" t="n">
        <v>55.73374</v>
      </c>
      <c r="E10960" t="n">
        <v>37.45702</v>
      </c>
      <c r="F10960" t="inlineStr"/>
      <c r="G10960" t="inlineStr"/>
      <c r="H10960" t="inlineStr"/>
    </row>
    <row r="10961">
      <c r="A10961" t="inlineStr">
        <is>
          <t>488799b1-821f-4d47-9c65-fd756e96ead6.jpg</t>
        </is>
      </c>
      <c r="B10961">
        <f>HYPERLINK("Объекты недвижимости, не соответствующие градостроительным нормам_00-022_Август/488799b1-821f-4d47-9c65-fd756e96ead6.jpg","open")</f>
        <v/>
      </c>
      <c r="C10961" t="inlineStr">
        <is>
          <t>dd22c7c9-0046-46d8-8631-55150dbf8ae5</t>
        </is>
      </c>
      <c r="D10961" t="n">
        <v>55.75237</v>
      </c>
      <c r="E10961" t="n">
        <v>37.5126</v>
      </c>
      <c r="F10961" t="inlineStr"/>
      <c r="G10961" t="inlineStr"/>
      <c r="H10961" t="inlineStr"/>
    </row>
    <row r="10962">
      <c r="A10962" t="inlineStr">
        <is>
          <t>46ea6f87-dd87-48a6-a808-aea1357e5f77.jpg</t>
        </is>
      </c>
      <c r="B10962">
        <f>HYPERLINK("Объекты недвижимости, не соответствующие градостроительным нормам_00-022_Август/46ea6f87-dd87-48a6-a808-aea1357e5f77.jpg","open")</f>
        <v/>
      </c>
      <c r="C10962" t="inlineStr">
        <is>
          <t>dd22c7c9-0046-46d8-8631-55150dbf8ae5</t>
        </is>
      </c>
      <c r="D10962" t="n">
        <v>55.75237</v>
      </c>
      <c r="E10962" t="n">
        <v>37.5126</v>
      </c>
      <c r="F10962" t="inlineStr"/>
      <c r="G10962" t="inlineStr"/>
      <c r="H10962" t="inlineStr"/>
    </row>
    <row r="10963">
      <c r="A10963" t="inlineStr">
        <is>
          <t>a27784e2-8feb-433d-892d-70ff57ce3b62.jpg</t>
        </is>
      </c>
      <c r="B10963">
        <f>HYPERLINK("Объекты недвижимости, не соответствующие градостроительным нормам_00-022_Август/a27784e2-8feb-433d-892d-70ff57ce3b62.jpg","open")</f>
        <v/>
      </c>
      <c r="C10963" t="inlineStr">
        <is>
          <t>dd22c7c9-0046-46d8-8631-55150dbf8ae5</t>
        </is>
      </c>
      <c r="D10963" t="n">
        <v>55.75237</v>
      </c>
      <c r="E10963" t="n">
        <v>37.5126</v>
      </c>
      <c r="F10963" t="inlineStr"/>
      <c r="G10963" t="inlineStr"/>
      <c r="H10963" t="inlineStr"/>
    </row>
    <row r="10964">
      <c r="A10964" t="inlineStr">
        <is>
          <t>a2396f86-9cf1-49d7-9437-47aee6d7c091.jpg</t>
        </is>
      </c>
      <c r="B10964">
        <f>HYPERLINK("Объекты недвижимости, не соответствующие градостроительным нормам_00-022_Август/a2396f86-9cf1-49d7-9437-47aee6d7c091.jpg","open")</f>
        <v/>
      </c>
      <c r="C10964" t="inlineStr">
        <is>
          <t>af173c70-3716-4040-aa0b-1be99e78abe8</t>
        </is>
      </c>
      <c r="D10964" t="n">
        <v>55.75237</v>
      </c>
      <c r="E10964" t="n">
        <v>37.5126</v>
      </c>
      <c r="F10964" t="inlineStr"/>
      <c r="G10964" t="inlineStr"/>
      <c r="H10964" t="inlineStr"/>
    </row>
    <row r="10965">
      <c r="A10965" t="inlineStr">
        <is>
          <t>d673783d-4ba4-418c-b386-ab3e187e86fa.jpg</t>
        </is>
      </c>
      <c r="B10965">
        <f>HYPERLINK("Объекты недвижимости, не соответствующие градостроительным нормам_00-022_Август/d673783d-4ba4-418c-b386-ab3e187e86fa.jpg","open")</f>
        <v/>
      </c>
      <c r="C10965" t="inlineStr">
        <is>
          <t>0dd30d74-4dbc-46a8-b638-91e1431bb398</t>
        </is>
      </c>
      <c r="D10965" t="n">
        <v>55.52646</v>
      </c>
      <c r="E10965" t="n">
        <v>37.22586</v>
      </c>
      <c r="F10965" t="inlineStr"/>
      <c r="G10965" t="inlineStr"/>
      <c r="H10965" t="inlineStr"/>
    </row>
    <row r="10966">
      <c r="A10966" t="inlineStr">
        <is>
          <t>8386ff29-de48-43eb-a50b-bc9c349cac3c.jpg</t>
        </is>
      </c>
      <c r="B10966">
        <f>HYPERLINK("Объекты недвижимости, не соответствующие градостроительным нормам_00-022_Август/8386ff29-de48-43eb-a50b-bc9c349cac3c.jpg","open")</f>
        <v/>
      </c>
      <c r="C10966" t="inlineStr">
        <is>
          <t>0dd30d74-4dbc-46a8-b638-91e1431bb398</t>
        </is>
      </c>
      <c r="D10966" t="n">
        <v>55.53144</v>
      </c>
      <c r="E10966" t="n">
        <v>37.22276</v>
      </c>
      <c r="F10966" t="inlineStr"/>
      <c r="G10966" t="inlineStr"/>
      <c r="H10966" t="inlineStr"/>
    </row>
    <row r="10967">
      <c r="A10967" t="inlineStr">
        <is>
          <t>137132a2-15e7-4171-8e06-3e61cfde7a54.jpg</t>
        </is>
      </c>
      <c r="B10967">
        <f>HYPERLINK("Объекты недвижимости, не соответствующие градостроительным нормам_00-022_Август/137132a2-15e7-4171-8e06-3e61cfde7a54.jpg","open")</f>
        <v/>
      </c>
      <c r="C10967" t="inlineStr">
        <is>
          <t>1a55986c-2c3f-40c0-b3d1-014dce77832e</t>
        </is>
      </c>
      <c r="D10967" t="n">
        <v>55.86309</v>
      </c>
      <c r="E10967" t="n">
        <v>37.68818</v>
      </c>
      <c r="F10967" t="inlineStr"/>
      <c r="G10967" t="inlineStr"/>
      <c r="H10967" t="inlineStr"/>
    </row>
    <row r="10968">
      <c r="A10968" t="inlineStr">
        <is>
          <t>a78655c6-3646-4cdf-b142-d2d17885410e.jpg</t>
        </is>
      </c>
      <c r="B10968">
        <f>HYPERLINK("Объекты недвижимости, не соответствующие градостроительным нормам_00-022_Август/a78655c6-3646-4cdf-b142-d2d17885410e.jpg","open")</f>
        <v/>
      </c>
      <c r="C10968" t="inlineStr">
        <is>
          <t>f6f80c84-5569-48fd-b627-6f41ce4c61c4</t>
        </is>
      </c>
      <c r="D10968" t="n">
        <v>55.97156</v>
      </c>
      <c r="E10968" t="n">
        <v>37.39991</v>
      </c>
      <c r="F10968" t="inlineStr"/>
      <c r="G10968" t="inlineStr"/>
      <c r="H10968" t="inlineStr"/>
    </row>
    <row r="10969">
      <c r="A10969" t="inlineStr">
        <is>
          <t>22bdba4a-8e35-4a64-a2ae-b80a7747143f.jpg</t>
        </is>
      </c>
      <c r="B10969">
        <f>HYPERLINK("Объекты недвижимости, не соответствующие градостроительным нормам_00-022_Август/22bdba4a-8e35-4a64-a2ae-b80a7747143f.jpg","open")</f>
        <v/>
      </c>
      <c r="C10969" t="inlineStr">
        <is>
          <t>1c951e11-4940-43c6-a447-394097e5609a</t>
        </is>
      </c>
      <c r="D10969" t="n">
        <v>55.72499</v>
      </c>
      <c r="E10969" t="n">
        <v>37.80023</v>
      </c>
      <c r="F10969" t="inlineStr"/>
      <c r="G10969" t="inlineStr"/>
      <c r="H10969" t="inlineStr"/>
    </row>
    <row r="10970">
      <c r="A10970" t="inlineStr">
        <is>
          <t>4289136c-5a07-4c48-8ea6-8961bd63a086.jpg</t>
        </is>
      </c>
      <c r="B10970">
        <f>HYPERLINK("Объекты недвижимости, не соответствующие градостроительным нормам_00-022_Август/4289136c-5a07-4c48-8ea6-8961bd63a086.jpg","open")</f>
        <v/>
      </c>
      <c r="C10970" t="inlineStr">
        <is>
          <t>912d4e49-7c68-4b5e-ad2f-962fa54bfbba</t>
        </is>
      </c>
      <c r="D10970" t="n">
        <v>55.98232</v>
      </c>
      <c r="E10970" t="n">
        <v>37.74107</v>
      </c>
      <c r="F10970" t="inlineStr"/>
      <c r="G10970" t="inlineStr"/>
      <c r="H10970" t="inlineStr"/>
    </row>
    <row r="10971">
      <c r="A10971" t="inlineStr">
        <is>
          <t>f532960a-60c1-429e-94b0-b2066449e85a.jpg</t>
        </is>
      </c>
      <c r="B10971">
        <f>HYPERLINK("Объекты недвижимости, не соответствующие градостроительным нормам_00-022_Август/f532960a-60c1-429e-94b0-b2066449e85a.jpg","open")</f>
        <v/>
      </c>
      <c r="C10971" t="inlineStr">
        <is>
          <t>1a55986c-2c3f-40c0-b3d1-014dce77832e</t>
        </is>
      </c>
      <c r="D10971" t="n">
        <v>55.84951</v>
      </c>
      <c r="E10971" t="n">
        <v>37.6736</v>
      </c>
      <c r="F10971" t="inlineStr"/>
      <c r="G10971" t="inlineStr"/>
      <c r="H10971" t="inlineStr"/>
    </row>
    <row r="10972">
      <c r="A10972" t="inlineStr">
        <is>
          <t>c483bafb-bd6c-4f43-ae09-67f4b3feaab3.jpg</t>
        </is>
      </c>
      <c r="B10972">
        <f>HYPERLINK("Объекты недвижимости, не соответствующие градостроительным нормам_00-022_Август/c483bafb-bd6c-4f43-ae09-67f4b3feaab3.jpg","open")</f>
        <v/>
      </c>
      <c r="C10972" t="inlineStr">
        <is>
          <t>ed2bf0f1-3a66-4913-896e-4420a9796c0b</t>
        </is>
      </c>
      <c r="D10972" t="n">
        <v>55.83932</v>
      </c>
      <c r="E10972" t="n">
        <v>37.67387</v>
      </c>
      <c r="F10972" t="inlineStr"/>
      <c r="G10972" t="inlineStr"/>
      <c r="H10972" t="inlineStr"/>
    </row>
    <row r="10973">
      <c r="A10973" t="inlineStr">
        <is>
          <t>400fcfcb-4d2d-4545-bd22-62a4fa32fda8.jpg</t>
        </is>
      </c>
      <c r="B10973">
        <f>HYPERLINK("Объекты недвижимости, не соответствующие градостроительным нормам_00-022_Август/400fcfcb-4d2d-4545-bd22-62a4fa32fda8.jpg","open")</f>
        <v/>
      </c>
      <c r="C10973" t="inlineStr">
        <is>
          <t>1a55986c-2c3f-40c0-b3d1-014dce77832e</t>
        </is>
      </c>
      <c r="D10973" t="n">
        <v>55.8393</v>
      </c>
      <c r="E10973" t="n">
        <v>37.67381</v>
      </c>
      <c r="F10973" t="inlineStr"/>
      <c r="G10973" t="inlineStr"/>
      <c r="H10973" t="inlineStr"/>
    </row>
    <row r="10974">
      <c r="A10974" t="inlineStr">
        <is>
          <t>26f7a9fe-e56b-4791-b289-e33014c295fb.jpg</t>
        </is>
      </c>
      <c r="B10974">
        <f>HYPERLINK("Объекты недвижимости, не соответствующие градостроительным нормам_00-022_Август/26f7a9fe-e56b-4791-b289-e33014c295fb.jpg","open")</f>
        <v/>
      </c>
      <c r="C10974" t="inlineStr">
        <is>
          <t>caa4772d-6278-4484-a046-ee25514bf521</t>
        </is>
      </c>
      <c r="D10974" t="n">
        <v>55.84247</v>
      </c>
      <c r="E10974" t="n">
        <v>37.42554</v>
      </c>
      <c r="F10974" t="inlineStr"/>
      <c r="G10974" t="inlineStr"/>
      <c r="H10974" t="inlineStr"/>
    </row>
    <row r="10975">
      <c r="A10975" t="inlineStr">
        <is>
          <t>92d2059a-f5a2-4574-ae06-6491c9d6c5f3.jpg</t>
        </is>
      </c>
      <c r="B10975">
        <f>HYPERLINK("Объекты недвижимости, не соответствующие градостроительным нормам_00-022_Август/92d2059a-f5a2-4574-ae06-6491c9d6c5f3.jpg","open")</f>
        <v/>
      </c>
      <c r="C10975" t="inlineStr">
        <is>
          <t>caa4772d-6278-4484-a046-ee25514bf521</t>
        </is>
      </c>
      <c r="D10975" t="n">
        <v>55.83788</v>
      </c>
      <c r="E10975" t="n">
        <v>37.43583</v>
      </c>
      <c r="F10975" t="inlineStr"/>
      <c r="G10975" t="inlineStr"/>
      <c r="H10975" t="inlineStr"/>
    </row>
    <row r="10976">
      <c r="A10976" t="inlineStr">
        <is>
          <t>14b91716-4745-4901-ad59-f8e76ee23af8.jpg</t>
        </is>
      </c>
      <c r="B10976">
        <f>HYPERLINK("Объекты недвижимости, не соответствующие градостроительным нормам_00-022_Август/14b91716-4745-4901-ad59-f8e76ee23af8.jpg","open")</f>
        <v/>
      </c>
      <c r="C10976" t="inlineStr">
        <is>
          <t>dd22c7c9-0046-46d8-8631-55150dbf8ae5</t>
        </is>
      </c>
      <c r="D10976" t="n">
        <v>55.75237</v>
      </c>
      <c r="E10976" t="n">
        <v>37.5126</v>
      </c>
      <c r="F10976" t="inlineStr"/>
      <c r="G10976" t="inlineStr"/>
      <c r="H10976" t="inlineStr"/>
    </row>
    <row r="10977">
      <c r="A10977" t="inlineStr">
        <is>
          <t>08dbab23-2565-4288-b684-6505146df9fd.jpg</t>
        </is>
      </c>
      <c r="B10977">
        <f>HYPERLINK("Объекты недвижимости, не соответствующие градостроительным нормам_00-022_Август/08dbab23-2565-4288-b684-6505146df9fd.jpg","open")</f>
        <v/>
      </c>
      <c r="C10977" t="inlineStr">
        <is>
          <t>1c951e11-4940-43c6-a447-394097e5609a</t>
        </is>
      </c>
      <c r="D10977" t="n">
        <v>55.80963</v>
      </c>
      <c r="E10977" t="n">
        <v>37.78793</v>
      </c>
      <c r="F10977" t="inlineStr"/>
      <c r="G10977" t="inlineStr"/>
      <c r="H10977" t="inlineStr"/>
    </row>
    <row r="10978">
      <c r="A10978" t="inlineStr">
        <is>
          <t>1650a881-32d6-41fb-862a-f1953e142bbb.jpg</t>
        </is>
      </c>
      <c r="B10978">
        <f>HYPERLINK("Объекты недвижимости, не соответствующие градостроительным нормам_00-022_Август/1650a881-32d6-41fb-862a-f1953e142bbb.jpg","open")</f>
        <v/>
      </c>
      <c r="C10978" t="inlineStr">
        <is>
          <t>8cde1fd0-eca1-4510-86ab-3c743b65fdfc</t>
        </is>
      </c>
      <c r="D10978" t="n">
        <v>55.80962</v>
      </c>
      <c r="E10978" t="n">
        <v>37.78809</v>
      </c>
      <c r="F10978" t="inlineStr"/>
      <c r="G10978" t="inlineStr"/>
      <c r="H10978" t="inlineStr"/>
    </row>
    <row r="10979">
      <c r="A10979" t="inlineStr">
        <is>
          <t>00ffc442-2e19-4b2d-a2db-e6905cd72186.jpg</t>
        </is>
      </c>
      <c r="B10979">
        <f>HYPERLINK("Объекты недвижимости, не соответствующие градостроительным нормам_00-022_Август/00ffc442-2e19-4b2d-a2db-e6905cd72186.jpg","open")</f>
        <v/>
      </c>
      <c r="C10979" t="inlineStr">
        <is>
          <t>8cde1fd0-eca1-4510-86ab-3c743b65fdfc</t>
        </is>
      </c>
      <c r="D10979" t="n">
        <v>55.80975</v>
      </c>
      <c r="E10979" t="n">
        <v>37.79188</v>
      </c>
      <c r="F10979" t="inlineStr"/>
      <c r="G10979" t="inlineStr"/>
      <c r="H10979" t="inlineStr"/>
    </row>
    <row r="10980">
      <c r="A10980" t="inlineStr">
        <is>
          <t>d9b860a4-8bd0-4fc6-8553-109c2ef9ba70.jpg</t>
        </is>
      </c>
      <c r="B10980">
        <f>HYPERLINK("Объекты недвижимости, не соответствующие градостроительным нормам_00-022_Август/d9b860a4-8bd0-4fc6-8553-109c2ef9ba70.jpg","open")</f>
        <v/>
      </c>
      <c r="C10980" t="inlineStr">
        <is>
          <t>dd22c7c9-0046-46d8-8631-55150dbf8ae5</t>
        </is>
      </c>
      <c r="D10980" t="n">
        <v>55.6908</v>
      </c>
      <c r="E10980" t="n">
        <v>37.53934</v>
      </c>
      <c r="F10980" t="inlineStr"/>
      <c r="G10980" t="inlineStr"/>
      <c r="H10980" t="inlineStr"/>
    </row>
    <row r="10981">
      <c r="A10981" t="inlineStr">
        <is>
          <t>1b344242-ec9f-43de-93da-0455d299a0fe.jpg</t>
        </is>
      </c>
      <c r="B10981">
        <f>HYPERLINK("Объекты недвижимости, не соответствующие градостроительным нормам_00-022_Август/1b344242-ec9f-43de-93da-0455d299a0fe.jpg","open")</f>
        <v/>
      </c>
      <c r="C10981" t="inlineStr">
        <is>
          <t>93848fc8-17e7-4748-9ebc-c7e379e11d2f</t>
        </is>
      </c>
      <c r="D10981" t="n">
        <v>55.53506</v>
      </c>
      <c r="E10981" t="n">
        <v>37.45673</v>
      </c>
      <c r="F10981" t="inlineStr"/>
      <c r="G10981" t="inlineStr"/>
      <c r="H10981" t="inlineStr"/>
    </row>
    <row r="10982">
      <c r="A10982" t="inlineStr">
        <is>
          <t>4e1b818d-63a7-47cb-83f1-a24a69e56802.jpg</t>
        </is>
      </c>
      <c r="B10982">
        <f>HYPERLINK("Объекты недвижимости, не соответствующие градостроительным нормам_00-022_Август/4e1b818d-63a7-47cb-83f1-a24a69e56802.jpg","open")</f>
        <v/>
      </c>
      <c r="C10982" t="inlineStr">
        <is>
          <t>1a55986c-2c3f-40c0-b3d1-014dce77832e</t>
        </is>
      </c>
      <c r="D10982" t="n">
        <v>55.86224</v>
      </c>
      <c r="E10982" t="n">
        <v>37.68132</v>
      </c>
      <c r="F10982" t="inlineStr"/>
      <c r="G10982" t="inlineStr"/>
      <c r="H10982" t="inlineStr"/>
    </row>
    <row r="10983">
      <c r="A10983" t="inlineStr">
        <is>
          <t>b16cf212-2823-4853-8178-e40a80284055.jpg</t>
        </is>
      </c>
      <c r="B10983">
        <f>HYPERLINK("Объекты недвижимости, не соответствующие градостроительным нормам_00-022_Август/b16cf212-2823-4853-8178-e40a80284055.jpg","open")</f>
        <v/>
      </c>
      <c r="C10983" t="inlineStr">
        <is>
          <t>93848fc8-17e7-4748-9ebc-c7e379e11d2f</t>
        </is>
      </c>
      <c r="D10983" t="n">
        <v>55.53145</v>
      </c>
      <c r="E10983" t="n">
        <v>37.44907</v>
      </c>
      <c r="F10983" t="inlineStr"/>
      <c r="G10983" t="inlineStr"/>
      <c r="H10983" t="inlineStr"/>
    </row>
    <row r="10984">
      <c r="A10984" t="inlineStr">
        <is>
          <t>6f694536-5ee5-444b-bbaf-9d0dd8dc06e0.jpg</t>
        </is>
      </c>
      <c r="B10984">
        <f>HYPERLINK("Объекты недвижимости, не соответствующие градостроительным нормам_00-022_Август/6f694536-5ee5-444b-bbaf-9d0dd8dc06e0.jpg","open")</f>
        <v/>
      </c>
      <c r="C10984" t="inlineStr">
        <is>
          <t>8996eb30-6497-4318-8a0e-b95314b8172e</t>
        </is>
      </c>
      <c r="D10984" t="n">
        <v>55.81747</v>
      </c>
      <c r="E10984" t="n">
        <v>37.57423</v>
      </c>
      <c r="F10984" t="inlineStr"/>
      <c r="G10984" t="inlineStr"/>
      <c r="H10984" t="inlineStr"/>
    </row>
    <row r="10985">
      <c r="A10985" t="inlineStr">
        <is>
          <t>73c2de4a-9069-4c4a-a9d5-7db92e9c14c6.jpg</t>
        </is>
      </c>
      <c r="B10985">
        <f>HYPERLINK("Объекты недвижимости, не соответствующие градостроительным нормам_00-022_Август/73c2de4a-9069-4c4a-a9d5-7db92e9c14c6.jpg","open")</f>
        <v/>
      </c>
      <c r="C10985" t="inlineStr">
        <is>
          <t>dd22c7c9-0046-46d8-8631-55150dbf8ae5</t>
        </is>
      </c>
      <c r="D10985" t="n">
        <v>55.6908</v>
      </c>
      <c r="E10985" t="n">
        <v>37.53934</v>
      </c>
      <c r="F10985" t="inlineStr"/>
      <c r="G10985" t="inlineStr"/>
      <c r="H10985" t="inlineStr"/>
    </row>
    <row r="10986">
      <c r="A10986" t="inlineStr">
        <is>
          <t>3f73f59e-2e45-4532-9389-eb979145d4bf.jpg</t>
        </is>
      </c>
      <c r="B10986">
        <f>HYPERLINK("Объекты недвижимости, не соответствующие градостроительным нормам_00-022_Август/3f73f59e-2e45-4532-9389-eb979145d4bf.jpg","open")</f>
        <v/>
      </c>
      <c r="C10986" t="inlineStr">
        <is>
          <t>dd22c7c9-0046-46d8-8631-55150dbf8ae5</t>
        </is>
      </c>
      <c r="D10986" t="n">
        <v>55.6908</v>
      </c>
      <c r="E10986" t="n">
        <v>37.53934</v>
      </c>
      <c r="F10986" t="inlineStr"/>
      <c r="G10986" t="inlineStr"/>
      <c r="H10986" t="inlineStr"/>
    </row>
    <row r="10987">
      <c r="A10987" t="inlineStr">
        <is>
          <t>94c12bfe-522c-448c-b5b1-156cec4d3589.jpg</t>
        </is>
      </c>
      <c r="B10987">
        <f>HYPERLINK("Объекты недвижимости, не соответствующие градостроительным нормам_00-022_Август/94c12bfe-522c-448c-b5b1-156cec4d3589.jpg","open")</f>
        <v/>
      </c>
      <c r="C10987" t="inlineStr">
        <is>
          <t>0dd30d74-4dbc-46a8-b638-91e1431bb398</t>
        </is>
      </c>
      <c r="D10987" t="n">
        <v>55.51885</v>
      </c>
      <c r="E10987" t="n">
        <v>37.49237</v>
      </c>
      <c r="F10987" t="inlineStr"/>
      <c r="G10987" t="inlineStr"/>
      <c r="H10987" t="inlineStr"/>
    </row>
    <row r="10988">
      <c r="A10988" t="inlineStr">
        <is>
          <t>3ba0ef56-eb25-4fcc-ba4e-ad4375e266e8.jpg</t>
        </is>
      </c>
      <c r="B10988">
        <f>HYPERLINK("Объекты недвижимости, не соответствующие градостроительным нормам_00-022_Август/3ba0ef56-eb25-4fcc-ba4e-ad4375e266e8.jpg","open")</f>
        <v/>
      </c>
      <c r="C10988" t="inlineStr">
        <is>
          <t>caa4772d-6278-4484-a046-ee25514bf521</t>
        </is>
      </c>
      <c r="D10988" t="n">
        <v>55.8385</v>
      </c>
      <c r="E10988" t="n">
        <v>37.40754</v>
      </c>
      <c r="F10988" t="inlineStr"/>
      <c r="G10988" t="inlineStr"/>
      <c r="H10988" t="inlineStr"/>
    </row>
    <row r="10989">
      <c r="A10989" t="inlineStr">
        <is>
          <t>c2530836-717d-4677-acec-bf805bcc82b0.jpg</t>
        </is>
      </c>
      <c r="B10989">
        <f>HYPERLINK("Объекты недвижимости, не соответствующие градостроительным нормам_00-022_Август/c2530836-717d-4677-acec-bf805bcc82b0.jpg","open")</f>
        <v/>
      </c>
      <c r="C10989" t="inlineStr">
        <is>
          <t>93848fc8-17e7-4748-9ebc-c7e379e11d2f</t>
        </is>
      </c>
      <c r="D10989" t="n">
        <v>55.52361</v>
      </c>
      <c r="E10989" t="n">
        <v>37.48209</v>
      </c>
      <c r="F10989" t="inlineStr"/>
      <c r="G10989" t="inlineStr"/>
      <c r="H10989" t="inlineStr"/>
    </row>
    <row r="10990">
      <c r="A10990" t="inlineStr">
        <is>
          <t>453e331d-94a3-4401-b4b7-dfd917699f20.jpg</t>
        </is>
      </c>
      <c r="B10990">
        <f>HYPERLINK("Объекты недвижимости, не соответствующие градостроительным нормам_00-022_Август/453e331d-94a3-4401-b4b7-dfd917699f20.jpg","open")</f>
        <v/>
      </c>
      <c r="C10990" t="inlineStr">
        <is>
          <t>8996eb30-6497-4318-8a0e-b95314b8172e</t>
        </is>
      </c>
      <c r="D10990" t="n">
        <v>55.66856</v>
      </c>
      <c r="E10990" t="n">
        <v>37.42383</v>
      </c>
      <c r="F10990" t="inlineStr"/>
      <c r="G10990" t="inlineStr"/>
      <c r="H10990" t="inlineStr"/>
    </row>
    <row r="10991">
      <c r="A10991" t="inlineStr">
        <is>
          <t>dc07089d-3118-43c1-87dd-23ca47abbdf8.jpg</t>
        </is>
      </c>
      <c r="B10991">
        <f>HYPERLINK("Объекты недвижимости, не соответствующие градостроительным нормам_00-022_Август/dc07089d-3118-43c1-87dd-23ca47abbdf8.jpg","open")</f>
        <v/>
      </c>
      <c r="C10991" t="inlineStr">
        <is>
          <t>93848fc8-17e7-4748-9ebc-c7e379e11d2f</t>
        </is>
      </c>
      <c r="D10991" t="n">
        <v>55.55231</v>
      </c>
      <c r="E10991" t="n">
        <v>37.56168</v>
      </c>
      <c r="F10991" t="inlineStr"/>
      <c r="G10991" t="inlineStr"/>
      <c r="H10991" t="inlineStr"/>
    </row>
    <row r="10992">
      <c r="A10992" t="inlineStr">
        <is>
          <t>9108ec4d-e1bc-46ab-9341-cb5a76eb0afe.jpg</t>
        </is>
      </c>
      <c r="B10992">
        <f>HYPERLINK("Объекты недвижимости, не соответствующие градостроительным нормам_00-022_Август/9108ec4d-e1bc-46ab-9341-cb5a76eb0afe.jpg","open")</f>
        <v/>
      </c>
      <c r="C10992" t="inlineStr">
        <is>
          <t>0dd30d74-4dbc-46a8-b638-91e1431bb398</t>
        </is>
      </c>
      <c r="D10992" t="n">
        <v>55.5533</v>
      </c>
      <c r="E10992" t="n">
        <v>37.55917</v>
      </c>
      <c r="F10992" t="inlineStr"/>
      <c r="G10992" t="inlineStr"/>
      <c r="H10992" t="inlineStr"/>
    </row>
    <row r="10993">
      <c r="A10993" t="inlineStr">
        <is>
          <t>567875d6-8ba1-4911-a36e-4d26d551e773.jpg</t>
        </is>
      </c>
      <c r="B10993">
        <f>HYPERLINK("Объекты недвижимости, не соответствующие градостроительным нормам_00-022_Август/567875d6-8ba1-4911-a36e-4d26d551e773.jpg","open")</f>
        <v/>
      </c>
      <c r="C10993" t="inlineStr">
        <is>
          <t>1a55986c-2c3f-40c0-b3d1-014dce77832e</t>
        </is>
      </c>
      <c r="D10993" t="n">
        <v>55.88239</v>
      </c>
      <c r="E10993" t="n">
        <v>37.70598</v>
      </c>
      <c r="F10993" t="inlineStr"/>
      <c r="G10993" t="inlineStr"/>
      <c r="H10993" t="inlineStr"/>
    </row>
    <row r="10994">
      <c r="A10994" t="inlineStr">
        <is>
          <t>f33776ea-d5be-4086-9a4d-8d4bdb4fe515.jpg</t>
        </is>
      </c>
      <c r="B10994">
        <f>HYPERLINK("Объекты недвижимости, не соответствующие градостроительным нормам_00-022_Август/f33776ea-d5be-4086-9a4d-8d4bdb4fe515.jpg","open")</f>
        <v/>
      </c>
      <c r="C10994" t="inlineStr">
        <is>
          <t>ed2bf0f1-3a66-4913-896e-4420a9796c0b</t>
        </is>
      </c>
      <c r="D10994" t="n">
        <v>55.88221</v>
      </c>
      <c r="E10994" t="n">
        <v>37.69625</v>
      </c>
      <c r="F10994" t="inlineStr"/>
      <c r="G10994" t="inlineStr"/>
      <c r="H10994" t="inlineStr"/>
    </row>
    <row r="10995">
      <c r="A10995" t="inlineStr">
        <is>
          <t>e15949d7-933d-42cb-8ab9-acc0820d9124.jpg</t>
        </is>
      </c>
      <c r="B10995">
        <f>HYPERLINK("Объекты недвижимости, не соответствующие градостроительным нормам_00-022_Август/e15949d7-933d-42cb-8ab9-acc0820d9124.jpg","open")</f>
        <v/>
      </c>
      <c r="C10995" t="inlineStr">
        <is>
          <t>ed2bf0f1-3a66-4913-896e-4420a9796c0b</t>
        </is>
      </c>
      <c r="D10995" t="n">
        <v>55.87949</v>
      </c>
      <c r="E10995" t="n">
        <v>37.70156</v>
      </c>
      <c r="F10995" t="inlineStr"/>
      <c r="G10995" t="inlineStr"/>
      <c r="H10995" t="inlineStr"/>
    </row>
    <row r="10996">
      <c r="A10996" t="inlineStr">
        <is>
          <t>d40d5917-9b86-4589-a549-2111fc7daf0f.jpg</t>
        </is>
      </c>
      <c r="B10996">
        <f>HYPERLINK("Объекты недвижимости, не соответствующие градостроительным нормам_00-022_Август/d40d5917-9b86-4589-a549-2111fc7daf0f.jpg","open")</f>
        <v/>
      </c>
      <c r="C10996" t="inlineStr">
        <is>
          <t>ed2bf0f1-3a66-4913-896e-4420a9796c0b</t>
        </is>
      </c>
      <c r="D10996" t="n">
        <v>55.87992</v>
      </c>
      <c r="E10996" t="n">
        <v>37.70843</v>
      </c>
      <c r="F10996" t="inlineStr"/>
      <c r="G10996" t="inlineStr"/>
      <c r="H10996" t="inlineStr"/>
    </row>
    <row r="10997">
      <c r="A10997" t="inlineStr">
        <is>
          <t>9e65f579-f94f-49e4-aa0e-59e3c2b762f6.jpg</t>
        </is>
      </c>
      <c r="B10997">
        <f>HYPERLINK("Объекты недвижимости, не соответствующие градостроительным нормам_00-022_Август/9e65f579-f94f-49e4-aa0e-59e3c2b762f6.jpg","open")</f>
        <v/>
      </c>
      <c r="C10997" t="inlineStr">
        <is>
          <t>ed2bf0f1-3a66-4913-896e-4420a9796c0b</t>
        </is>
      </c>
      <c r="D10997" t="n">
        <v>55.87996</v>
      </c>
      <c r="E10997" t="n">
        <v>37.70847</v>
      </c>
      <c r="F10997" t="inlineStr"/>
      <c r="G10997" t="inlineStr"/>
      <c r="H10997" t="inlineStr"/>
    </row>
    <row r="10998">
      <c r="A10998" t="inlineStr">
        <is>
          <t>97909615-520c-4248-a78c-ed51d605fe27.jpg</t>
        </is>
      </c>
      <c r="B10998">
        <f>HYPERLINK("Объекты недвижимости, не соответствующие градостроительным нормам_00-022_Август/97909615-520c-4248-a78c-ed51d605fe27.jpg","open")</f>
        <v/>
      </c>
      <c r="C10998" t="inlineStr">
        <is>
          <t>1a55986c-2c3f-40c0-b3d1-014dce77832e</t>
        </is>
      </c>
      <c r="D10998" t="n">
        <v>55.87997</v>
      </c>
      <c r="E10998" t="n">
        <v>37.70849</v>
      </c>
      <c r="F10998" t="inlineStr"/>
      <c r="G10998" t="inlineStr"/>
      <c r="H10998" t="inlineStr"/>
    </row>
    <row r="10999">
      <c r="A10999" t="inlineStr">
        <is>
          <t>f5d3b19d-7215-4605-a659-de4ad5383b42.jpg</t>
        </is>
      </c>
      <c r="B10999">
        <f>HYPERLINK("Объекты недвижимости, не соответствующие градостроительным нормам_00-022_Август/f5d3b19d-7215-4605-a659-de4ad5383b42.jpg","open")</f>
        <v/>
      </c>
      <c r="C10999" t="inlineStr">
        <is>
          <t>ed2bf0f1-3a66-4913-896e-4420a9796c0b</t>
        </is>
      </c>
      <c r="D10999" t="n">
        <v>55.87996</v>
      </c>
      <c r="E10999" t="n">
        <v>37.70849</v>
      </c>
      <c r="F10999" t="inlineStr"/>
      <c r="G10999" t="inlineStr"/>
      <c r="H10999" t="inlineStr"/>
    </row>
    <row r="11000">
      <c r="A11000" t="inlineStr">
        <is>
          <t>092d8607-8e20-41ad-b2c4-df9285af196f.jpg</t>
        </is>
      </c>
      <c r="B11000">
        <f>HYPERLINK("Объекты недвижимости, не соответствующие градостроительным нормам_00-022_Август/092d8607-8e20-41ad-b2c4-df9285af196f.jpg","open")</f>
        <v/>
      </c>
      <c r="C11000" t="inlineStr">
        <is>
          <t>0dd30d74-4dbc-46a8-b638-91e1431bb398</t>
        </is>
      </c>
      <c r="D11000" t="n">
        <v>55.74574</v>
      </c>
      <c r="E11000" t="n">
        <v>37.70036</v>
      </c>
      <c r="F11000" t="inlineStr"/>
      <c r="G11000" t="inlineStr"/>
      <c r="H11000" t="inlineStr"/>
    </row>
    <row r="11001">
      <c r="A11001" t="inlineStr">
        <is>
          <t>7ab7a0a7-99d8-4b50-be3c-5af88fa30b9a.jpg</t>
        </is>
      </c>
      <c r="B11001">
        <f>HYPERLINK("Объекты недвижимости, не соответствующие градостроительным нормам_00-022_Август/7ab7a0a7-99d8-4b50-be3c-5af88fa30b9a.jpg","open")</f>
        <v/>
      </c>
      <c r="C11001" t="inlineStr">
        <is>
          <t>ed2bf0f1-3a66-4913-896e-4420a9796c0b</t>
        </is>
      </c>
      <c r="D11001" t="n">
        <v>55.87957</v>
      </c>
      <c r="E11001" t="n">
        <v>37.70148</v>
      </c>
      <c r="F11001" t="inlineStr"/>
      <c r="G11001" t="inlineStr"/>
      <c r="H11001" t="inlineStr"/>
    </row>
    <row r="11002">
      <c r="A11002" t="inlineStr">
        <is>
          <t>06a50c0c-42a1-4117-aa34-654ff02832ef.jpg</t>
        </is>
      </c>
      <c r="B11002">
        <f>HYPERLINK("Объекты недвижимости, не соответствующие градостроительным нормам_00-022_Август/06a50c0c-42a1-4117-aa34-654ff02832ef.jpg","open")</f>
        <v/>
      </c>
      <c r="C11002" t="inlineStr">
        <is>
          <t>ed2bf0f1-3a66-4913-896e-4420a9796c0b</t>
        </is>
      </c>
      <c r="D11002" t="n">
        <v>55.86872</v>
      </c>
      <c r="E11002" t="n">
        <v>37.69209</v>
      </c>
      <c r="F11002" t="inlineStr"/>
      <c r="G11002" t="inlineStr"/>
      <c r="H11002" t="inlineStr"/>
    </row>
    <row r="11003">
      <c r="A11003" t="inlineStr">
        <is>
          <t>dd7b145e-96a5-488b-8fa7-ade7a6e9d6a3.jpg</t>
        </is>
      </c>
      <c r="B11003">
        <f>HYPERLINK("Объекты недвижимости, не соответствующие градостроительным нормам_00-022_Август/dd7b145e-96a5-488b-8fa7-ade7a6e9d6a3.jpg","open")</f>
        <v/>
      </c>
      <c r="C11003" t="inlineStr">
        <is>
          <t>48b533d5-d106-4175-ac9b-d5ce8d90cccf</t>
        </is>
      </c>
      <c r="D11003" t="n">
        <v>55.67614</v>
      </c>
      <c r="E11003" t="n">
        <v>37.41096</v>
      </c>
      <c r="F11003" t="inlineStr"/>
      <c r="G11003" t="inlineStr"/>
      <c r="H11003" t="inlineStr"/>
    </row>
    <row r="11004">
      <c r="A11004" t="inlineStr">
        <is>
          <t>61a41faa-2087-4e4e-8af7-97168f41440b.jpg</t>
        </is>
      </c>
      <c r="B11004">
        <f>HYPERLINK("Объекты недвижимости, не соответствующие градостроительным нормам_00-022_Август/61a41faa-2087-4e4e-8af7-97168f41440b.jpg","open")</f>
        <v/>
      </c>
      <c r="C11004" t="inlineStr">
        <is>
          <t>48b533d5-d106-4175-ac9b-d5ce8d90cccf</t>
        </is>
      </c>
      <c r="D11004" t="n">
        <v>55.67611</v>
      </c>
      <c r="E11004" t="n">
        <v>37.41093</v>
      </c>
      <c r="F11004" t="inlineStr"/>
      <c r="G11004" t="inlineStr"/>
      <c r="H11004" t="inlineStr"/>
    </row>
    <row r="11005">
      <c r="A11005" t="inlineStr">
        <is>
          <t>a6ad0983-c77e-47c6-99c8-c866feb59adc.jpg</t>
        </is>
      </c>
      <c r="B11005">
        <f>HYPERLINK("Объекты недвижимости, не соответствующие градостроительным нормам_00-022_Август/a6ad0983-c77e-47c6-99c8-c866feb59adc.jpg","open")</f>
        <v/>
      </c>
      <c r="C11005" t="inlineStr">
        <is>
          <t>caa4772d-6278-4484-a046-ee25514bf521</t>
        </is>
      </c>
      <c r="D11005" t="n">
        <v>55.77034</v>
      </c>
      <c r="E11005" t="n">
        <v>37.68262</v>
      </c>
      <c r="F11005" t="inlineStr"/>
      <c r="G11005" t="inlineStr"/>
      <c r="H11005" t="inlineStr"/>
    </row>
    <row r="11006">
      <c r="A11006" t="inlineStr">
        <is>
          <t>89938e1a-6e60-476e-b47c-1a1a7eb69c0f.jpg</t>
        </is>
      </c>
      <c r="B11006">
        <f>HYPERLINK("Объекты недвижимости, не соответствующие градостроительным нормам_00-022_Август/89938e1a-6e60-476e-b47c-1a1a7eb69c0f.jpg","open")</f>
        <v/>
      </c>
      <c r="C11006" t="inlineStr">
        <is>
          <t>caa4772d-6278-4484-a046-ee25514bf521</t>
        </is>
      </c>
      <c r="D11006" t="n">
        <v>55.77034</v>
      </c>
      <c r="E11006" t="n">
        <v>37.68262</v>
      </c>
      <c r="F11006" t="inlineStr"/>
      <c r="G11006" t="inlineStr"/>
      <c r="H11006" t="inlineStr"/>
    </row>
    <row r="11007">
      <c r="A11007" t="inlineStr">
        <is>
          <t>59aee44f-ef62-46b4-b593-4c910f858260.jpg</t>
        </is>
      </c>
      <c r="B11007">
        <f>HYPERLINK("Объекты недвижимости, не соответствующие градостроительным нормам_00-022_Август/59aee44f-ef62-46b4-b593-4c910f858260.jpg","open")</f>
        <v/>
      </c>
      <c r="C11007" t="inlineStr">
        <is>
          <t>8beacb4f-617e-4b34-8030-60c4dff5f8d1</t>
        </is>
      </c>
      <c r="D11007" t="n">
        <v>55.81849</v>
      </c>
      <c r="E11007" t="n">
        <v>37.57581</v>
      </c>
      <c r="F11007" t="inlineStr"/>
      <c r="G11007" t="inlineStr"/>
      <c r="H11007" t="inlineStr"/>
    </row>
    <row r="11008">
      <c r="A11008" t="inlineStr">
        <is>
          <t>ef778252-8742-4a51-acd9-c4b9e9c10af1.jpg</t>
        </is>
      </c>
      <c r="B11008">
        <f>HYPERLINK("Объекты недвижимости, не соответствующие градостроительным нормам_00-022_Август/ef778252-8742-4a51-acd9-c4b9e9c10af1.jpg","open")</f>
        <v/>
      </c>
      <c r="C11008" t="inlineStr">
        <is>
          <t>db8b536c-32f2-4d9a-ae08-679d227e61f1</t>
        </is>
      </c>
      <c r="D11008" t="n">
        <v>55.97533</v>
      </c>
      <c r="E11008" t="n">
        <v>37.39872</v>
      </c>
      <c r="F11008" t="inlineStr"/>
      <c r="G11008" t="inlineStr"/>
      <c r="H11008" t="inlineStr"/>
    </row>
    <row r="11009">
      <c r="A11009" t="inlineStr">
        <is>
          <t>37037c6d-883b-43d1-8de9-c6d47f8aa309.jpg</t>
        </is>
      </c>
      <c r="B11009">
        <f>HYPERLINK("Объекты недвижимости, не соответствующие градостроительным нормам_00-022_Август/37037c6d-883b-43d1-8de9-c6d47f8aa309.jpg","open")</f>
        <v/>
      </c>
      <c r="C11009" t="inlineStr">
        <is>
          <t>91248771-2c4d-44f3-b3cf-d536bd4ae73c</t>
        </is>
      </c>
      <c r="D11009" t="n">
        <v>55.79966</v>
      </c>
      <c r="E11009" t="n">
        <v>37.09208</v>
      </c>
      <c r="F11009" t="inlineStr"/>
      <c r="G11009" t="inlineStr"/>
      <c r="H11009" t="inlineStr"/>
    </row>
    <row r="11010">
      <c r="A11010" t="inlineStr">
        <is>
          <t>88debbd7-65ef-4fe6-b1d2-0f941f845819.jpg</t>
        </is>
      </c>
      <c r="B11010">
        <f>HYPERLINK("Объекты недвижимости, не соответствующие градостроительным нормам_00-022_Август/88debbd7-65ef-4fe6-b1d2-0f941f845819.jpg","open")</f>
        <v/>
      </c>
      <c r="C11010" t="inlineStr">
        <is>
          <t>dd22c7c9-0046-46d8-8631-55150dbf8ae5</t>
        </is>
      </c>
      <c r="D11010" t="n">
        <v>55.96181</v>
      </c>
      <c r="E11010" t="n">
        <v>37.38605</v>
      </c>
      <c r="F11010" t="inlineStr"/>
      <c r="G11010" t="inlineStr"/>
      <c r="H11010" t="inlineStr"/>
    </row>
    <row r="11011">
      <c r="A11011" t="inlineStr">
        <is>
          <t>8187f8ee-798f-4fdf-b29d-572aa53e3cd2.jpg</t>
        </is>
      </c>
      <c r="B11011">
        <f>HYPERLINK("Объекты недвижимости, не соответствующие градостроительным нормам_00-022_Август/8187f8ee-798f-4fdf-b29d-572aa53e3cd2.jpg","open")</f>
        <v/>
      </c>
      <c r="C11011" t="inlineStr">
        <is>
          <t>dd22c7c9-0046-46d8-8631-55150dbf8ae5</t>
        </is>
      </c>
      <c r="D11011" t="n">
        <v>55.96181</v>
      </c>
      <c r="E11011" t="n">
        <v>37.38605</v>
      </c>
      <c r="F11011" t="inlineStr"/>
      <c r="G11011" t="inlineStr"/>
      <c r="H11011" t="inlineStr"/>
    </row>
    <row r="11012">
      <c r="A11012" t="inlineStr">
        <is>
          <t>f37c4863-87e2-4f6c-8627-794be4fd7354.jpg</t>
        </is>
      </c>
      <c r="B11012">
        <f>HYPERLINK("Объекты недвижимости, не соответствующие градостроительным нормам_00-022_Август/f37c4863-87e2-4f6c-8627-794be4fd7354.jpg","open")</f>
        <v/>
      </c>
      <c r="C11012" t="inlineStr">
        <is>
          <t>91248771-2c4d-44f3-b3cf-d536bd4ae73c</t>
        </is>
      </c>
      <c r="D11012" t="n">
        <v>55.79966</v>
      </c>
      <c r="E11012" t="n">
        <v>37.09208</v>
      </c>
      <c r="F11012" t="inlineStr"/>
      <c r="G11012" t="inlineStr"/>
      <c r="H11012" t="inlineStr"/>
    </row>
    <row r="11013">
      <c r="A11013" t="inlineStr">
        <is>
          <t>9d4a4d91-390e-4bf4-8efb-bf4ffc7b67a6.jpg</t>
        </is>
      </c>
      <c r="B11013">
        <f>HYPERLINK("Объекты недвижимости, не соответствующие градостроительным нормам_00-022_Август/9d4a4d91-390e-4bf4-8efb-bf4ffc7b67a6.jpg","open")</f>
        <v/>
      </c>
      <c r="C11013" t="inlineStr">
        <is>
          <t>dd22c7c9-0046-46d8-8631-55150dbf8ae5</t>
        </is>
      </c>
      <c r="D11013" t="n">
        <v>55.96181</v>
      </c>
      <c r="E11013" t="n">
        <v>37.38605</v>
      </c>
      <c r="F11013" t="inlineStr"/>
      <c r="G11013" t="inlineStr"/>
      <c r="H11013" t="inlineStr"/>
    </row>
    <row r="11014">
      <c r="A11014" t="inlineStr">
        <is>
          <t>66e95654-de3e-44fa-923c-f923020f3f55.jpg</t>
        </is>
      </c>
      <c r="B11014">
        <f>HYPERLINK("Объекты недвижимости, не соответствующие градостроительным нормам_00-022_Август/66e95654-de3e-44fa-923c-f923020f3f55.jpg","open")</f>
        <v/>
      </c>
      <c r="C11014" t="inlineStr">
        <is>
          <t>48b533d5-d106-4175-ac9b-d5ce8d90cccf</t>
        </is>
      </c>
      <c r="D11014" t="n">
        <v>55.96769</v>
      </c>
      <c r="E11014" t="n">
        <v>37.42455</v>
      </c>
      <c r="F11014" t="inlineStr"/>
      <c r="G11014" t="inlineStr"/>
      <c r="H11014" t="inlineStr"/>
    </row>
    <row r="11015">
      <c r="A11015" t="inlineStr">
        <is>
          <t>0f2a8c45-c305-47c7-9bfa-b6c693da63be.jpg</t>
        </is>
      </c>
      <c r="B11015">
        <f>HYPERLINK("Объекты недвижимости, не соответствующие градостроительным нормам_00-022_Август/0f2a8c45-c305-47c7-9bfa-b6c693da63be.jpg","open")</f>
        <v/>
      </c>
      <c r="C11015" t="inlineStr">
        <is>
          <t>8cde1fd0-eca1-4510-86ab-3c743b65fdfc</t>
        </is>
      </c>
      <c r="D11015" t="n">
        <v>55.85065</v>
      </c>
      <c r="E11015" t="n">
        <v>37.53473</v>
      </c>
      <c r="F11015" t="inlineStr"/>
      <c r="G11015" t="inlineStr"/>
      <c r="H11015" t="inlineStr"/>
    </row>
    <row r="11016">
      <c r="A11016" t="inlineStr">
        <is>
          <t>ee047db4-51d7-4c17-af76-746193956175.jpg</t>
        </is>
      </c>
      <c r="B11016">
        <f>HYPERLINK("Объекты недвижимости, не соответствующие градостроительным нормам_00-022_Август/ee047db4-51d7-4c17-af76-746193956175.jpg","open")</f>
        <v/>
      </c>
      <c r="C11016" t="inlineStr">
        <is>
          <t>8996eb30-6497-4318-8a0e-b95314b8172e</t>
        </is>
      </c>
      <c r="D11016" t="n">
        <v>55.83678</v>
      </c>
      <c r="E11016" t="n">
        <v>37.43773</v>
      </c>
      <c r="F11016" t="inlineStr"/>
      <c r="G11016" t="inlineStr"/>
      <c r="H11016" t="inlineStr"/>
    </row>
    <row r="11017">
      <c r="A11017" t="inlineStr">
        <is>
          <t>1c6a2e40-805e-46d6-b4d4-e88918252fdc.jpg</t>
        </is>
      </c>
      <c r="B11017">
        <f>HYPERLINK("Объекты недвижимости, не соответствующие градостроительным нормам_00-022_Август/1c6a2e40-805e-46d6-b4d4-e88918252fdc.jpg","open")</f>
        <v/>
      </c>
      <c r="C11017" t="inlineStr">
        <is>
          <t>8cde1fd0-eca1-4510-86ab-3c743b65fdfc</t>
        </is>
      </c>
      <c r="D11017" t="n">
        <v>55.84531</v>
      </c>
      <c r="E11017" t="n">
        <v>37.53258</v>
      </c>
      <c r="F11017" t="inlineStr"/>
      <c r="G11017" t="inlineStr"/>
      <c r="H11017" t="inlineStr"/>
    </row>
    <row r="11018">
      <c r="A11018" t="inlineStr">
        <is>
          <t>ec4db102-505a-466e-ab18-40a550dfea6a.jpg</t>
        </is>
      </c>
      <c r="B11018">
        <f>HYPERLINK("Объекты недвижимости, не соответствующие градостроительным нормам_00-022_Август/ec4db102-505a-466e-ab18-40a550dfea6a.jpg","open")</f>
        <v/>
      </c>
      <c r="C11018" t="inlineStr">
        <is>
          <t>1c951e11-4940-43c6-a447-394097e5609a</t>
        </is>
      </c>
      <c r="D11018" t="n">
        <v>55.84515</v>
      </c>
      <c r="E11018" t="n">
        <v>37.52546</v>
      </c>
      <c r="F11018" t="inlineStr"/>
      <c r="G11018" t="inlineStr"/>
      <c r="H11018" t="inlineStr"/>
    </row>
    <row r="11019">
      <c r="A11019" t="inlineStr">
        <is>
          <t>34dd480d-7997-4297-9c3f-e957047d0d46.jpg</t>
        </is>
      </c>
      <c r="B11019">
        <f>HYPERLINK("Объекты недвижимости, не соответствующие градостроительным нормам_00-022_Август/34dd480d-7997-4297-9c3f-e957047d0d46.jpg","open")</f>
        <v/>
      </c>
      <c r="C11019" t="inlineStr">
        <is>
          <t>dd22c7c9-0046-46d8-8631-55150dbf8ae5</t>
        </is>
      </c>
      <c r="D11019" t="n">
        <v>55.78133</v>
      </c>
      <c r="E11019" t="n">
        <v>37.67294</v>
      </c>
      <c r="F11019" t="inlineStr"/>
      <c r="G11019" t="inlineStr"/>
      <c r="H11019" t="inlineStr"/>
    </row>
    <row r="11020">
      <c r="A11020" t="inlineStr">
        <is>
          <t>d4bab9d2-b069-4ff8-8934-9ad5d2a781a3.jpg</t>
        </is>
      </c>
      <c r="B11020">
        <f>HYPERLINK("Объекты недвижимости, не соответствующие градостроительным нормам_00-022_Август/d4bab9d2-b069-4ff8-8934-9ad5d2a781a3.jpg","open")</f>
        <v/>
      </c>
      <c r="C11020" t="inlineStr">
        <is>
          <t>8996eb30-6497-4318-8a0e-b95314b8172e</t>
        </is>
      </c>
      <c r="D11020" t="n">
        <v>55.8389</v>
      </c>
      <c r="E11020" t="n">
        <v>37.42456</v>
      </c>
      <c r="F11020" t="inlineStr"/>
      <c r="G11020" t="inlineStr"/>
      <c r="H11020" t="inlineStr"/>
    </row>
    <row r="11021">
      <c r="A11021" t="inlineStr">
        <is>
          <t>e0f19d75-5b59-4a0f-a57b-db5492195ba8.jpg</t>
        </is>
      </c>
      <c r="B11021">
        <f>HYPERLINK("Объекты недвижимости, не соответствующие градостроительным нормам_00-022_Август/e0f19d75-5b59-4a0f-a57b-db5492195ba8.jpg","open")</f>
        <v/>
      </c>
      <c r="C11021" t="inlineStr">
        <is>
          <t>1c951e11-4940-43c6-a447-394097e5609a</t>
        </is>
      </c>
      <c r="D11021" t="n">
        <v>55.85876</v>
      </c>
      <c r="E11021" t="n">
        <v>37.52913</v>
      </c>
      <c r="F11021" t="inlineStr"/>
      <c r="G11021" t="inlineStr"/>
      <c r="H11021" t="inlineStr"/>
    </row>
    <row r="11022">
      <c r="A11022" t="inlineStr">
        <is>
          <t>c841f61f-83d1-4846-9f93-0e378e367360.jpg</t>
        </is>
      </c>
      <c r="B11022">
        <f>HYPERLINK("Объекты недвижимости, не соответствующие градостроительным нормам_00-022_Август/c841f61f-83d1-4846-9f93-0e378e367360.jpg","open")</f>
        <v/>
      </c>
      <c r="C11022" t="inlineStr">
        <is>
          <t>db8b536c-32f2-4d9a-ae08-679d227e61f1</t>
        </is>
      </c>
      <c r="D11022" t="n">
        <v>55.97533</v>
      </c>
      <c r="E11022" t="n">
        <v>37.39872</v>
      </c>
      <c r="F11022" t="inlineStr"/>
      <c r="G11022" t="inlineStr"/>
      <c r="H11022" t="inlineStr"/>
    </row>
    <row r="11023">
      <c r="A11023" t="inlineStr">
        <is>
          <t>c462398a-8e2f-4bf9-b7fb-4657652a9023.jpg</t>
        </is>
      </c>
      <c r="B11023">
        <f>HYPERLINK("Объекты недвижимости, не соответствующие градостроительным нормам_00-022_Август/c462398a-8e2f-4bf9-b7fb-4657652a9023.jpg","open")</f>
        <v/>
      </c>
      <c r="C11023" t="inlineStr">
        <is>
          <t>93848fc8-17e7-4748-9ebc-c7e379e11d2f</t>
        </is>
      </c>
      <c r="D11023" t="n">
        <v>55.67894</v>
      </c>
      <c r="E11023" t="n">
        <v>37.58542</v>
      </c>
      <c r="F11023" t="inlineStr"/>
      <c r="G11023" t="inlineStr"/>
      <c r="H11023" t="inlineStr"/>
    </row>
    <row r="11024">
      <c r="A11024" t="inlineStr">
        <is>
          <t>f2586670-0328-417d-b323-387971d3f2e7.jpg</t>
        </is>
      </c>
      <c r="B11024">
        <f>HYPERLINK("Объекты недвижимости, не соответствующие градостроительным нормам_00-022_Август/f2586670-0328-417d-b323-387971d3f2e7.jpg","open")</f>
        <v/>
      </c>
      <c r="C11024" t="inlineStr">
        <is>
          <t>8cde1fd0-eca1-4510-86ab-3c743b65fdfc</t>
        </is>
      </c>
      <c r="D11024" t="n">
        <v>55.85292</v>
      </c>
      <c r="E11024" t="n">
        <v>37.52959</v>
      </c>
      <c r="F11024" t="inlineStr"/>
      <c r="G11024" t="inlineStr"/>
      <c r="H11024" t="inlineStr"/>
    </row>
    <row r="11025">
      <c r="A11025" t="inlineStr">
        <is>
          <t>8298d4b0-915b-4b9c-a893-21ffe3529adf.jpg</t>
        </is>
      </c>
      <c r="B11025">
        <f>HYPERLINK("Объекты недвижимости, не соответствующие градостроительным нормам_00-022_Август/8298d4b0-915b-4b9c-a893-21ffe3529adf.jpg","open")</f>
        <v/>
      </c>
      <c r="C11025" t="inlineStr">
        <is>
          <t>8cde1fd0-eca1-4510-86ab-3c743b65fdfc</t>
        </is>
      </c>
      <c r="D11025" t="n">
        <v>55.85522</v>
      </c>
      <c r="E11025" t="n">
        <v>37.51696</v>
      </c>
      <c r="F11025" t="inlineStr"/>
      <c r="G11025" t="inlineStr"/>
      <c r="H11025" t="inlineStr"/>
    </row>
    <row r="11026">
      <c r="A11026" t="inlineStr">
        <is>
          <t>63c5fbbd-18f4-4b0c-8bd0-a6d1c70da925.jpg</t>
        </is>
      </c>
      <c r="B11026">
        <f>HYPERLINK("Объекты недвижимости, не соответствующие градостроительным нормам_00-022_Август/63c5fbbd-18f4-4b0c-8bd0-a6d1c70da925.jpg","open")</f>
        <v/>
      </c>
      <c r="C11026" t="inlineStr">
        <is>
          <t>8cde1fd0-eca1-4510-86ab-3c743b65fdfc</t>
        </is>
      </c>
      <c r="D11026" t="n">
        <v>55.84401</v>
      </c>
      <c r="E11026" t="n">
        <v>37.52186</v>
      </c>
      <c r="F11026" t="inlineStr"/>
      <c r="G11026" t="inlineStr"/>
      <c r="H11026" t="inlineStr"/>
    </row>
    <row r="11027">
      <c r="A11027" t="inlineStr">
        <is>
          <t>3c2f97ec-dfb9-4c0f-baf6-305f4e5d5837.jpg</t>
        </is>
      </c>
      <c r="B11027">
        <f>HYPERLINK("Объекты недвижимости, не соответствующие градостроительным нормам_00-022_Август/3c2f97ec-dfb9-4c0f-baf6-305f4e5d5837.jpg","open")</f>
        <v/>
      </c>
      <c r="C11027" t="inlineStr">
        <is>
          <t>1c951e11-4940-43c6-a447-394097e5609a</t>
        </is>
      </c>
      <c r="D11027" t="n">
        <v>55.84401</v>
      </c>
      <c r="E11027" t="n">
        <v>37.52187</v>
      </c>
      <c r="F11027" t="inlineStr"/>
      <c r="G11027" t="inlineStr"/>
      <c r="H11027" t="inlineStr"/>
    </row>
    <row r="11028">
      <c r="A11028" t="inlineStr">
        <is>
          <t>31b31fb1-910a-4ffc-b46a-2bce3ce7801f.jpg</t>
        </is>
      </c>
      <c r="B11028">
        <f>HYPERLINK("Объекты недвижимости, не соответствующие градостроительным нормам_00-022_Август/31b31fb1-910a-4ffc-b46a-2bce3ce7801f.jpg","open")</f>
        <v/>
      </c>
      <c r="C11028" t="inlineStr">
        <is>
          <t>8996eb30-6497-4318-8a0e-b95314b8172e</t>
        </is>
      </c>
      <c r="D11028" t="n">
        <v>55.85023</v>
      </c>
      <c r="E11028" t="n">
        <v>37.43757</v>
      </c>
      <c r="F11028" t="inlineStr"/>
      <c r="G11028" t="inlineStr"/>
      <c r="H11028" t="inlineStr"/>
    </row>
    <row r="11029">
      <c r="A11029" t="inlineStr">
        <is>
          <t>8a9a31be-cdc1-4b95-ad4e-fa16f890cd81.jpg</t>
        </is>
      </c>
      <c r="B11029">
        <f>HYPERLINK("Объекты недвижимости, не соответствующие градостроительным нормам_00-022_Август/8a9a31be-cdc1-4b95-ad4e-fa16f890cd81.jpg","open")</f>
        <v/>
      </c>
      <c r="C11029" t="inlineStr">
        <is>
          <t>0dd30d74-4dbc-46a8-b638-91e1431bb398</t>
        </is>
      </c>
      <c r="D11029" t="n">
        <v>55.68612</v>
      </c>
      <c r="E11029" t="n">
        <v>37.59371</v>
      </c>
      <c r="F11029" t="inlineStr"/>
      <c r="G11029" t="inlineStr"/>
      <c r="H11029" t="inlineStr"/>
    </row>
    <row r="11030">
      <c r="A11030" t="inlineStr">
        <is>
          <t>c28fef0c-a56f-4344-9721-73441945c2a1.jpg</t>
        </is>
      </c>
      <c r="B11030">
        <f>HYPERLINK("Объекты недвижимости, не соответствующие градостроительным нормам_00-022_Август/c28fef0c-a56f-4344-9721-73441945c2a1.jpg","open")</f>
        <v/>
      </c>
      <c r="C11030" t="inlineStr">
        <is>
          <t>dd22c7c9-0046-46d8-8631-55150dbf8ae5</t>
        </is>
      </c>
      <c r="D11030" t="n">
        <v>55.8186</v>
      </c>
      <c r="E11030" t="n">
        <v>37.67308</v>
      </c>
      <c r="F11030" t="inlineStr"/>
      <c r="G11030" t="inlineStr"/>
      <c r="H11030" t="inlineStr"/>
    </row>
    <row r="11031">
      <c r="A11031" t="inlineStr">
        <is>
          <t>d57e5887-0595-4fe5-ac63-b531540e2d45.jpg</t>
        </is>
      </c>
      <c r="B11031">
        <f>HYPERLINK("Объекты недвижимости, не соответствующие градостроительным нормам_00-022_Август/d57e5887-0595-4fe5-ac63-b531540e2d45.jpg","open")</f>
        <v/>
      </c>
      <c r="C11031" t="inlineStr">
        <is>
          <t>dd22c7c9-0046-46d8-8631-55150dbf8ae5</t>
        </is>
      </c>
      <c r="D11031" t="n">
        <v>55.81752</v>
      </c>
      <c r="E11031" t="n">
        <v>37.67776</v>
      </c>
      <c r="F11031" t="inlineStr"/>
      <c r="G11031" t="inlineStr"/>
      <c r="H11031" t="inlineStr"/>
    </row>
    <row r="11032">
      <c r="A11032" t="inlineStr">
        <is>
          <t>933be386-a92b-4698-9e89-76a75189f9ad.jpg</t>
        </is>
      </c>
      <c r="B11032">
        <f>HYPERLINK("Объекты недвижимости, не соответствующие градостроительным нормам_00-022_Август/933be386-a92b-4698-9e89-76a75189f9ad.jpg","open")</f>
        <v/>
      </c>
      <c r="C11032" t="inlineStr">
        <is>
          <t>ed2bf0f1-3a66-4913-896e-4420a9796c0b</t>
        </is>
      </c>
      <c r="D11032" t="n">
        <v>55.52698</v>
      </c>
      <c r="E11032" t="n">
        <v>37.44668</v>
      </c>
      <c r="F11032" t="inlineStr"/>
      <c r="G11032" t="inlineStr"/>
      <c r="H11032" t="inlineStr"/>
    </row>
    <row r="11033">
      <c r="A11033" t="inlineStr">
        <is>
          <t>317cdb05-2a3f-440a-9e1d-2d6221b1b249.jpg</t>
        </is>
      </c>
      <c r="B11033">
        <f>HYPERLINK("Объекты недвижимости, не соответствующие градостроительным нормам_00-022_Август/317cdb05-2a3f-440a-9e1d-2d6221b1b249.jpg","open")</f>
        <v/>
      </c>
      <c r="C11033" t="inlineStr">
        <is>
          <t>1a55986c-2c3f-40c0-b3d1-014dce77832e</t>
        </is>
      </c>
      <c r="D11033" t="n">
        <v>55.52697</v>
      </c>
      <c r="E11033" t="n">
        <v>37.4465</v>
      </c>
      <c r="F11033" t="inlineStr"/>
      <c r="G11033" t="inlineStr"/>
      <c r="H11033" t="inlineStr"/>
    </row>
    <row r="11034">
      <c r="A11034" t="inlineStr">
        <is>
          <t>9ce835b9-3d99-425e-8bf4-3a348ffdb372.jpg</t>
        </is>
      </c>
      <c r="B11034">
        <f>HYPERLINK("Объекты недвижимости, не соответствующие градостроительным нормам_00-022_Август/9ce835b9-3d99-425e-8bf4-3a348ffdb372.jpg","open")</f>
        <v/>
      </c>
      <c r="C11034" t="inlineStr">
        <is>
          <t>db8b536c-32f2-4d9a-ae08-679d227e61f1</t>
        </is>
      </c>
      <c r="D11034" t="n">
        <v>55.97533</v>
      </c>
      <c r="E11034" t="n">
        <v>37.39872</v>
      </c>
      <c r="F11034" t="inlineStr"/>
      <c r="G11034" t="inlineStr"/>
      <c r="H11034" t="inlineStr"/>
    </row>
    <row r="11035">
      <c r="A11035" t="inlineStr">
        <is>
          <t>738578e9-2712-490d-8092-8f2ba375f52e.jpg</t>
        </is>
      </c>
      <c r="B11035">
        <f>HYPERLINK("Объекты недвижимости, не соответствующие градостроительным нормам_00-022_Август/738578e9-2712-490d-8092-8f2ba375f52e.jpg","open")</f>
        <v/>
      </c>
      <c r="C11035" t="inlineStr">
        <is>
          <t>e90a3ac0-5b70-4ede-abeb-382371713306</t>
        </is>
      </c>
      <c r="D11035" t="n">
        <v>55.97533</v>
      </c>
      <c r="E11035" t="n">
        <v>37.39872</v>
      </c>
      <c r="F11035" t="inlineStr"/>
      <c r="G11035" t="inlineStr"/>
      <c r="H11035" t="inlineStr"/>
    </row>
    <row r="11036">
      <c r="A11036" t="inlineStr">
        <is>
          <t>0957d1f2-52eb-4079-8ff5-2271e4637be7.jpg</t>
        </is>
      </c>
      <c r="B11036">
        <f>HYPERLINK("Объекты недвижимости, не соответствующие градостроительным нормам_00-022_Август/0957d1f2-52eb-4079-8ff5-2271e4637be7.jpg","open")</f>
        <v/>
      </c>
      <c r="C11036" t="inlineStr">
        <is>
          <t>caa4772d-6278-4484-a046-ee25514bf521</t>
        </is>
      </c>
      <c r="D11036" t="n">
        <v>55.70663</v>
      </c>
      <c r="E11036" t="n">
        <v>37.92345</v>
      </c>
      <c r="F11036" t="inlineStr"/>
      <c r="G11036" t="inlineStr"/>
      <c r="H11036" t="inlineStr"/>
    </row>
    <row r="11037">
      <c r="A11037" t="inlineStr">
        <is>
          <t>13713ad3-d304-44cc-b65b-183f0db393ba.jpg</t>
        </is>
      </c>
      <c r="B11037">
        <f>HYPERLINK("Объекты недвижимости, не соответствующие градостроительным нормам_00-022_Август/13713ad3-d304-44cc-b65b-183f0db393ba.jpg","open")</f>
        <v/>
      </c>
      <c r="C11037" t="inlineStr">
        <is>
          <t>93848fc8-17e7-4748-9ebc-c7e379e11d2f</t>
        </is>
      </c>
      <c r="D11037" t="n">
        <v>56.03518</v>
      </c>
      <c r="E11037" t="n">
        <v>37.7564</v>
      </c>
      <c r="F11037" t="inlineStr"/>
      <c r="G11037" t="inlineStr"/>
      <c r="H11037" t="inlineStr"/>
    </row>
    <row r="11038">
      <c r="A11038" t="inlineStr">
        <is>
          <t>3ea34827-8f40-442c-ac2b-91b3447e1459.jpg</t>
        </is>
      </c>
      <c r="B11038">
        <f>HYPERLINK("Объекты недвижимости, не соответствующие градостроительным нормам_00-022_Август/3ea34827-8f40-442c-ac2b-91b3447e1459.jpg","open")</f>
        <v/>
      </c>
      <c r="C11038" t="inlineStr">
        <is>
          <t>0dd30d74-4dbc-46a8-b638-91e1431bb398</t>
        </is>
      </c>
      <c r="D11038" t="n">
        <v>56.03518</v>
      </c>
      <c r="E11038" t="n">
        <v>37.7564</v>
      </c>
      <c r="F11038" t="inlineStr"/>
      <c r="G11038" t="inlineStr"/>
      <c r="H11038" t="inlineStr"/>
    </row>
    <row r="11039">
      <c r="A11039" t="inlineStr">
        <is>
          <t>3a4579e7-227f-4d7f-be70-3a9d2dc93ab1.jpg</t>
        </is>
      </c>
      <c r="B11039">
        <f>HYPERLINK("Объекты недвижимости, не соответствующие градостроительным нормам_00-022_Август/3a4579e7-227f-4d7f-be70-3a9d2dc93ab1.jpg","open")</f>
        <v/>
      </c>
      <c r="C11039" t="inlineStr">
        <is>
          <t>dd22c7c9-0046-46d8-8631-55150dbf8ae5</t>
        </is>
      </c>
      <c r="D11039" t="n">
        <v>55.77913</v>
      </c>
      <c r="E11039" t="n">
        <v>37.72094</v>
      </c>
      <c r="F11039" t="inlineStr"/>
      <c r="G11039" t="inlineStr"/>
      <c r="H11039" t="inlineStr"/>
    </row>
    <row r="11040">
      <c r="A11040" t="inlineStr">
        <is>
          <t>acea587d-b002-490b-865e-612f98556069.jpg</t>
        </is>
      </c>
      <c r="B11040">
        <f>HYPERLINK("Объекты недвижимости, не соответствующие градостроительным нормам_00-022_Август/acea587d-b002-490b-865e-612f98556069.jpg","open")</f>
        <v/>
      </c>
      <c r="C11040" t="inlineStr">
        <is>
          <t>93848fc8-17e7-4748-9ebc-c7e379e11d2f</t>
        </is>
      </c>
      <c r="D11040" t="n">
        <v>56.12256</v>
      </c>
      <c r="E11040" t="n">
        <v>37.87712</v>
      </c>
      <c r="F11040" t="inlineStr"/>
      <c r="G11040" t="inlineStr"/>
      <c r="H11040" t="inlineStr"/>
    </row>
    <row r="11041">
      <c r="A11041" t="inlineStr">
        <is>
          <t>aa8611ff-258c-401c-96d4-7d7901bd270f.jpg</t>
        </is>
      </c>
      <c r="B11041">
        <f>HYPERLINK("Объекты недвижимости, не соответствующие градостроительным нормам_00-022_Август/aa8611ff-258c-401c-96d4-7d7901bd270f.jpg","open")</f>
        <v/>
      </c>
      <c r="C11041" t="inlineStr">
        <is>
          <t>dd22c7c9-0046-46d8-8631-55150dbf8ae5</t>
        </is>
      </c>
      <c r="D11041" t="n">
        <v>55.77181</v>
      </c>
      <c r="E11041" t="n">
        <v>37.73314</v>
      </c>
      <c r="F11041" t="inlineStr"/>
      <c r="G11041" t="inlineStr"/>
      <c r="H11041" t="inlineStr"/>
    </row>
    <row r="11042">
      <c r="A11042" t="inlineStr">
        <is>
          <t>322256c3-6cf4-4547-8578-30b215ba60e4.jpg</t>
        </is>
      </c>
      <c r="B11042">
        <f>HYPERLINK("Объекты недвижимости, не соответствующие градостроительным нормам_00-022_Август/322256c3-6cf4-4547-8578-30b215ba60e4.jpg","open")</f>
        <v/>
      </c>
      <c r="C11042" t="inlineStr">
        <is>
          <t>af173c70-3716-4040-aa0b-1be99e78abe8</t>
        </is>
      </c>
      <c r="D11042" t="n">
        <v>55.7718</v>
      </c>
      <c r="E11042" t="n">
        <v>37.73314</v>
      </c>
      <c r="F11042" t="inlineStr"/>
      <c r="G11042" t="inlineStr"/>
      <c r="H11042" t="inlineStr"/>
    </row>
    <row r="11043">
      <c r="A11043" t="inlineStr">
        <is>
          <t>815d5cd4-c324-47c3-942c-78efbaf7988f.jpg</t>
        </is>
      </c>
      <c r="B11043">
        <f>HYPERLINK("Объекты недвижимости, не соответствующие градостроительным нормам_00-022_Август/815d5cd4-c324-47c3-942c-78efbaf7988f.jpg","open")</f>
        <v/>
      </c>
      <c r="C11043" t="inlineStr">
        <is>
          <t>dd22c7c9-0046-46d8-8631-55150dbf8ae5</t>
        </is>
      </c>
      <c r="D11043" t="n">
        <v>55.77211</v>
      </c>
      <c r="E11043" t="n">
        <v>37.73415</v>
      </c>
      <c r="F11043" t="inlineStr"/>
      <c r="G11043" t="inlineStr"/>
      <c r="H11043" t="inlineStr"/>
    </row>
    <row r="11044">
      <c r="A11044" t="inlineStr">
        <is>
          <t>c3f0c738-41dd-4642-b827-cb1d6714cb19.jpg</t>
        </is>
      </c>
      <c r="B11044">
        <f>HYPERLINK("Объекты недвижимости, не соответствующие градостроительным нормам_00-022_Август/c3f0c738-41dd-4642-b827-cb1d6714cb19.jpg","open")</f>
        <v/>
      </c>
      <c r="C11044" t="inlineStr">
        <is>
          <t>93848fc8-17e7-4748-9ebc-c7e379e11d2f</t>
        </is>
      </c>
      <c r="D11044" t="n">
        <v>55.69331</v>
      </c>
      <c r="E11044" t="n">
        <v>37.58296</v>
      </c>
      <c r="F11044" t="inlineStr"/>
      <c r="G11044" t="inlineStr"/>
      <c r="H11044" t="inlineStr"/>
    </row>
    <row r="11045">
      <c r="A11045" t="inlineStr">
        <is>
          <t>173e1829-f8a4-441f-b839-0d8e6d2d00c6.jpg</t>
        </is>
      </c>
      <c r="B11045">
        <f>HYPERLINK("Объекты недвижимости, не соответствующие градостроительным нормам_00-022_Август/173e1829-f8a4-441f-b839-0d8e6d2d00c6.jpg","open")</f>
        <v/>
      </c>
      <c r="C11045" t="inlineStr">
        <is>
          <t>0dd30d74-4dbc-46a8-b638-91e1431bb398</t>
        </is>
      </c>
      <c r="D11045" t="n">
        <v>55.6871</v>
      </c>
      <c r="E11045" t="n">
        <v>37.57655</v>
      </c>
      <c r="F11045" t="inlineStr"/>
      <c r="G11045" t="inlineStr"/>
      <c r="H11045" t="inlineStr"/>
    </row>
    <row r="11046">
      <c r="A11046" t="inlineStr">
        <is>
          <t>8818c3c3-cbd0-4ab5-b2c8-9108382e0ede.jpg</t>
        </is>
      </c>
      <c r="B11046">
        <f>HYPERLINK("Объекты недвижимости, не соответствующие градостроительным нормам_00-022_Август/8818c3c3-cbd0-4ab5-b2c8-9108382e0ede.jpg","open")</f>
        <v/>
      </c>
      <c r="C11046" t="inlineStr">
        <is>
          <t>93848fc8-17e7-4748-9ebc-c7e379e11d2f</t>
        </is>
      </c>
      <c r="D11046" t="n">
        <v>55.68626</v>
      </c>
      <c r="E11046" t="n">
        <v>37.57602</v>
      </c>
      <c r="F11046" t="inlineStr"/>
      <c r="G11046" t="inlineStr"/>
      <c r="H11046" t="inlineStr"/>
    </row>
    <row r="11047">
      <c r="A11047" t="inlineStr">
        <is>
          <t>c845e830-08ff-44b0-a653-6a7aa5fcf757.jpg</t>
        </is>
      </c>
      <c r="B11047">
        <f>HYPERLINK("Объекты недвижимости, не соответствующие градостроительным нормам_00-022_Август/c845e830-08ff-44b0-a653-6a7aa5fcf757.jpg","open")</f>
        <v/>
      </c>
      <c r="C11047" t="inlineStr">
        <is>
          <t>7b951050-981e-4ccd-816e-e002f271ab6a</t>
        </is>
      </c>
      <c r="D11047" t="n">
        <v>55.78765</v>
      </c>
      <c r="E11047" t="n">
        <v>37.7177</v>
      </c>
      <c r="F11047" t="inlineStr"/>
      <c r="G11047" t="inlineStr"/>
      <c r="H11047" t="inlineStr"/>
    </row>
    <row r="11048">
      <c r="A11048" t="inlineStr">
        <is>
          <t>6ae50bad-019d-4824-a00a-ade08f2b9820.jpg</t>
        </is>
      </c>
      <c r="B11048">
        <f>HYPERLINK("Объекты недвижимости, не соответствующие градостроительным нормам_00-022_Август/6ae50bad-019d-4824-a00a-ade08f2b9820.jpg","open")</f>
        <v/>
      </c>
      <c r="C11048" t="inlineStr">
        <is>
          <t>ed2bf0f1-3a66-4913-896e-4420a9796c0b</t>
        </is>
      </c>
      <c r="D11048" t="n">
        <v>55.53915</v>
      </c>
      <c r="E11048" t="n">
        <v>37.44577</v>
      </c>
      <c r="F11048" t="inlineStr"/>
      <c r="G11048" t="inlineStr"/>
      <c r="H11048" t="inlineStr"/>
    </row>
    <row r="11049">
      <c r="A11049" t="inlineStr">
        <is>
          <t>a0eb03af-ca78-44f3-b7f8-a7037c53e716.jpg</t>
        </is>
      </c>
      <c r="B11049">
        <f>HYPERLINK("Объекты недвижимости, не соответствующие градостроительным нормам_00-022_Август/a0eb03af-ca78-44f3-b7f8-a7037c53e716.jpg","open")</f>
        <v/>
      </c>
      <c r="C11049" t="inlineStr">
        <is>
          <t>af173c70-3716-4040-aa0b-1be99e78abe8</t>
        </is>
      </c>
      <c r="D11049" t="n">
        <v>55.78493</v>
      </c>
      <c r="E11049" t="n">
        <v>37.7117</v>
      </c>
      <c r="F11049" t="inlineStr"/>
      <c r="G11049" t="inlineStr"/>
      <c r="H11049" t="inlineStr"/>
    </row>
    <row r="11050">
      <c r="A11050" t="inlineStr">
        <is>
          <t>b9c69879-ef81-4cde-a56e-7b5c6fd709ba.jpg</t>
        </is>
      </c>
      <c r="B11050">
        <f>HYPERLINK("Объекты недвижимости, не соответствующие градостроительным нормам_00-022_Август/b9c69879-ef81-4cde-a56e-7b5c6fd709ba.jpg","open")</f>
        <v/>
      </c>
      <c r="C11050" t="inlineStr">
        <is>
          <t>ed2bf0f1-3a66-4913-896e-4420a9796c0b</t>
        </is>
      </c>
      <c r="D11050" t="n">
        <v>55.53807</v>
      </c>
      <c r="E11050" t="n">
        <v>37.45711</v>
      </c>
      <c r="F11050" t="inlineStr"/>
      <c r="G11050" t="inlineStr"/>
      <c r="H11050" t="inlineStr"/>
    </row>
    <row r="11051">
      <c r="A11051" t="inlineStr">
        <is>
          <t>1a5c53b2-0d0d-4a1a-b373-31402b5f7311.jpg</t>
        </is>
      </c>
      <c r="B11051">
        <f>HYPERLINK("Объекты недвижимости, не соответствующие градостроительным нормам_00-022_Август/1a5c53b2-0d0d-4a1a-b373-31402b5f7311.jpg","open")</f>
        <v/>
      </c>
      <c r="C11051" t="inlineStr">
        <is>
          <t>1a55986c-2c3f-40c0-b3d1-014dce77832e</t>
        </is>
      </c>
      <c r="D11051" t="n">
        <v>55.53791</v>
      </c>
      <c r="E11051" t="n">
        <v>37.45899</v>
      </c>
      <c r="F11051" t="inlineStr"/>
      <c r="G11051" t="inlineStr"/>
      <c r="H11051" t="inlineStr"/>
    </row>
    <row r="11052">
      <c r="A11052" t="inlineStr">
        <is>
          <t>9d2ce06d-a1b2-4737-95af-1a5fa6937b0d.jpg</t>
        </is>
      </c>
      <c r="B11052">
        <f>HYPERLINK("Объекты недвижимости, не соответствующие градостроительным нормам_00-022_Август/9d2ce06d-a1b2-4737-95af-1a5fa6937b0d.jpg","open")</f>
        <v/>
      </c>
      <c r="C11052" t="inlineStr">
        <is>
          <t>dd22c7c9-0046-46d8-8631-55150dbf8ae5</t>
        </is>
      </c>
      <c r="D11052" t="n">
        <v>55.78493</v>
      </c>
      <c r="E11052" t="n">
        <v>37.7117</v>
      </c>
      <c r="F11052" t="inlineStr"/>
      <c r="G11052" t="inlineStr"/>
      <c r="H11052" t="inlineStr"/>
    </row>
    <row r="11053">
      <c r="A11053" t="inlineStr">
        <is>
          <t>277a3084-a5ed-4b7a-852a-96eef3ebfa4a.jpg</t>
        </is>
      </c>
      <c r="B11053">
        <f>HYPERLINK("Объекты недвижимости, не соответствующие градостроительным нормам_00-022_Август/277a3084-a5ed-4b7a-852a-96eef3ebfa4a.jpg","open")</f>
        <v/>
      </c>
      <c r="C11053" t="inlineStr">
        <is>
          <t>dd22c7c9-0046-46d8-8631-55150dbf8ae5</t>
        </is>
      </c>
      <c r="D11053" t="n">
        <v>55.78399</v>
      </c>
      <c r="E11053" t="n">
        <v>37.71549</v>
      </c>
      <c r="F11053" t="inlineStr"/>
      <c r="G11053" t="inlineStr"/>
      <c r="H11053" t="inlineStr"/>
    </row>
    <row r="11054">
      <c r="A11054" t="inlineStr">
        <is>
          <t>352b1fc8-8854-44ad-9c59-4d522bb5a654.jpg</t>
        </is>
      </c>
      <c r="B11054">
        <f>HYPERLINK("Объекты недвижимости, не соответствующие градостроительным нормам_00-022_Август/352b1fc8-8854-44ad-9c59-4d522bb5a654.jpg","open")</f>
        <v/>
      </c>
      <c r="C11054" t="inlineStr">
        <is>
          <t>dd22c7c9-0046-46d8-8631-55150dbf8ae5</t>
        </is>
      </c>
      <c r="D11054" t="n">
        <v>55.78162</v>
      </c>
      <c r="E11054" t="n">
        <v>37.69927</v>
      </c>
      <c r="F11054" t="inlineStr"/>
      <c r="G11054" t="inlineStr"/>
      <c r="H11054" t="inlineStr"/>
    </row>
    <row r="11055">
      <c r="A11055" t="inlineStr">
        <is>
          <t>bc612670-ec1b-4a22-89e7-5abc975238ce.jpg</t>
        </is>
      </c>
      <c r="B11055">
        <f>HYPERLINK("Объекты недвижимости, не соответствующие градостроительным нормам_00-022_Август/bc612670-ec1b-4a22-89e7-5abc975238ce.jpg","open")</f>
        <v/>
      </c>
      <c r="C11055" t="inlineStr">
        <is>
          <t>1a55986c-2c3f-40c0-b3d1-014dce77832e</t>
        </is>
      </c>
      <c r="D11055" t="n">
        <v>55.51672</v>
      </c>
      <c r="E11055" t="n">
        <v>37.53638</v>
      </c>
      <c r="F11055" t="inlineStr"/>
      <c r="G11055" t="inlineStr"/>
      <c r="H11055" t="inlineStr"/>
    </row>
    <row r="11056">
      <c r="A11056" t="inlineStr">
        <is>
          <t>de2ea5ee-c70d-4bb4-a74c-a97cc593fb81.jpg</t>
        </is>
      </c>
      <c r="B11056">
        <f>HYPERLINK("Объекты недвижимости, не соответствующие градостроительным нормам_00-022_Август/de2ea5ee-c70d-4bb4-a74c-a97cc593fb81.jpg","open")</f>
        <v/>
      </c>
      <c r="C11056" t="inlineStr">
        <is>
          <t>ed2bf0f1-3a66-4913-896e-4420a9796c0b</t>
        </is>
      </c>
      <c r="D11056" t="n">
        <v>55.51651</v>
      </c>
      <c r="E11056" t="n">
        <v>37.5366</v>
      </c>
      <c r="F11056" t="inlineStr"/>
      <c r="G11056" t="inlineStr"/>
      <c r="H11056" t="inlineStr"/>
    </row>
    <row r="11057">
      <c r="A11057" t="inlineStr">
        <is>
          <t>d95c4783-f2bf-41f4-99dc-72174cbb7c98.jpg</t>
        </is>
      </c>
      <c r="B11057">
        <f>HYPERLINK("Объекты недвижимости, не соответствующие градостроительным нормам_00-022_Август/d95c4783-f2bf-41f4-99dc-72174cbb7c98.jpg","open")</f>
        <v/>
      </c>
      <c r="C11057" t="inlineStr">
        <is>
          <t>ed2bf0f1-3a66-4913-896e-4420a9796c0b</t>
        </is>
      </c>
      <c r="D11057" t="n">
        <v>55.50588</v>
      </c>
      <c r="E11057" t="n">
        <v>37.5603</v>
      </c>
      <c r="F11057" t="inlineStr"/>
      <c r="G11057" t="inlineStr"/>
      <c r="H11057" t="inlineStr"/>
    </row>
    <row r="11058">
      <c r="A11058" t="inlineStr">
        <is>
          <t>9d989513-3b13-4d16-ba82-b402bfacbc0a.jpg</t>
        </is>
      </c>
      <c r="B11058">
        <f>HYPERLINK("Объекты недвижимости, не соответствующие градостроительным нормам_00-022_Август/9d989513-3b13-4d16-ba82-b402bfacbc0a.jpg","open")</f>
        <v/>
      </c>
      <c r="C11058" t="inlineStr">
        <is>
          <t>93848fc8-17e7-4748-9ebc-c7e379e11d2f</t>
        </is>
      </c>
      <c r="D11058" t="n">
        <v>55.68436</v>
      </c>
      <c r="E11058" t="n">
        <v>37.56636</v>
      </c>
      <c r="F11058" t="inlineStr"/>
      <c r="G11058" t="inlineStr"/>
      <c r="H11058" t="inlineStr"/>
    </row>
    <row r="11059">
      <c r="A11059" t="inlineStr">
        <is>
          <t>eaa5a834-8de6-457b-899b-1065a3d8f9c7.jpg</t>
        </is>
      </c>
      <c r="B11059">
        <f>HYPERLINK("Объекты недвижимости, не соответствующие градостроительным нормам_00-022_Август/eaa5a834-8de6-457b-899b-1065a3d8f9c7.jpg","open")</f>
        <v/>
      </c>
      <c r="C11059" t="inlineStr">
        <is>
          <t>dd22c7c9-0046-46d8-8631-55150dbf8ae5</t>
        </is>
      </c>
      <c r="D11059" t="n">
        <v>55.78162</v>
      </c>
      <c r="E11059" t="n">
        <v>37.69927</v>
      </c>
      <c r="F11059" t="inlineStr"/>
      <c r="G11059" t="inlineStr"/>
      <c r="H11059" t="inlineStr"/>
    </row>
    <row r="11060">
      <c r="A11060" t="inlineStr">
        <is>
          <t>ddd6b1eb-cc0f-40d6-bfee-d44376f61d12.jpg</t>
        </is>
      </c>
      <c r="B11060">
        <f>HYPERLINK("Объекты недвижимости, не соответствующие градостроительным нормам_00-022_Август/ddd6b1eb-cc0f-40d6-bfee-d44376f61d12.jpg","open")</f>
        <v/>
      </c>
      <c r="C11060" t="inlineStr">
        <is>
          <t>dd22c7c9-0046-46d8-8631-55150dbf8ae5</t>
        </is>
      </c>
      <c r="D11060" t="n">
        <v>55.78162</v>
      </c>
      <c r="E11060" t="n">
        <v>37.69927</v>
      </c>
      <c r="F11060" t="inlineStr"/>
      <c r="G11060" t="inlineStr"/>
      <c r="H11060" t="inlineStr"/>
    </row>
    <row r="11061">
      <c r="A11061" t="inlineStr">
        <is>
          <t>d11e5464-0a5b-46a7-be27-bf332f8eceb7.jpg</t>
        </is>
      </c>
      <c r="B11061">
        <f>HYPERLINK("Объекты недвижимости, не соответствующие градостроительным нормам_00-022_Август/d11e5464-0a5b-46a7-be27-bf332f8eceb7.jpg","open")</f>
        <v/>
      </c>
      <c r="C11061" t="inlineStr">
        <is>
          <t>dd22c7c9-0046-46d8-8631-55150dbf8ae5</t>
        </is>
      </c>
      <c r="D11061" t="n">
        <v>55.78162</v>
      </c>
      <c r="E11061" t="n">
        <v>37.69927</v>
      </c>
      <c r="F11061" t="inlineStr"/>
      <c r="G11061" t="inlineStr"/>
      <c r="H11061" t="inlineStr"/>
    </row>
    <row r="11062">
      <c r="A11062" t="inlineStr">
        <is>
          <t>1fb087e6-0cde-430a-a1d8-2605302cf9b7.jpg</t>
        </is>
      </c>
      <c r="B11062">
        <f>HYPERLINK("Объекты недвижимости, не соответствующие градостроительным нормам_00-022_Август/1fb087e6-0cde-430a-a1d8-2605302cf9b7.jpg","open")</f>
        <v/>
      </c>
      <c r="C11062" t="inlineStr">
        <is>
          <t>af173c70-3716-4040-aa0b-1be99e78abe8</t>
        </is>
      </c>
      <c r="D11062" t="n">
        <v>55.78162</v>
      </c>
      <c r="E11062" t="n">
        <v>37.69927</v>
      </c>
      <c r="F11062" t="inlineStr"/>
      <c r="G11062" t="inlineStr"/>
      <c r="H11062" t="inlineStr"/>
    </row>
    <row r="11063">
      <c r="A11063" t="inlineStr">
        <is>
          <t>2c819dbf-a1d0-448b-ac48-ad3082a05004.jpg</t>
        </is>
      </c>
      <c r="B11063">
        <f>HYPERLINK("Объекты недвижимости, не соответствующие градостроительным нормам_00-022_Август/2c819dbf-a1d0-448b-ac48-ad3082a05004.jpg","open")</f>
        <v/>
      </c>
      <c r="C11063" t="inlineStr">
        <is>
          <t>dd22c7c9-0046-46d8-8631-55150dbf8ae5</t>
        </is>
      </c>
      <c r="D11063" t="n">
        <v>55.78162</v>
      </c>
      <c r="E11063" t="n">
        <v>37.69927</v>
      </c>
      <c r="F11063" t="inlineStr"/>
      <c r="G11063" t="inlineStr"/>
      <c r="H11063" t="inlineStr"/>
    </row>
    <row r="11064">
      <c r="A11064" t="inlineStr">
        <is>
          <t>e5e4fdf2-2b72-43be-a031-3a4009f94b43.jpg</t>
        </is>
      </c>
      <c r="B11064">
        <f>HYPERLINK("Объекты недвижимости, не соответствующие градостроительным нормам_00-022_Август/e5e4fdf2-2b72-43be-a031-3a4009f94b43.jpg","open")</f>
        <v/>
      </c>
      <c r="C11064" t="inlineStr">
        <is>
          <t>dd22c7c9-0046-46d8-8631-55150dbf8ae5</t>
        </is>
      </c>
      <c r="D11064" t="n">
        <v>55.78162</v>
      </c>
      <c r="E11064" t="n">
        <v>37.69927</v>
      </c>
      <c r="F11064" t="inlineStr"/>
      <c r="G11064" t="inlineStr"/>
      <c r="H11064" t="inlineStr"/>
    </row>
    <row r="11065">
      <c r="A11065" t="inlineStr">
        <is>
          <t>282dcedf-be07-472a-acbb-4ba90cbd276d.jpg</t>
        </is>
      </c>
      <c r="B11065">
        <f>HYPERLINK("Объекты недвижимости, не соответствующие градостроительным нормам_00-022_Август/282dcedf-be07-472a-acbb-4ba90cbd276d.jpg","open")</f>
        <v/>
      </c>
      <c r="C11065" t="inlineStr">
        <is>
          <t>af173c70-3716-4040-aa0b-1be99e78abe8</t>
        </is>
      </c>
      <c r="D11065" t="n">
        <v>55.78162</v>
      </c>
      <c r="E11065" t="n">
        <v>37.69927</v>
      </c>
      <c r="F11065" t="inlineStr"/>
      <c r="G11065" t="inlineStr"/>
      <c r="H11065" t="inlineStr"/>
    </row>
    <row r="11066">
      <c r="A11066" t="inlineStr">
        <is>
          <t>c8479584-f4d5-48e3-8c2b-efd61fe3951a.jpg</t>
        </is>
      </c>
      <c r="B11066">
        <f>HYPERLINK("Объекты недвижимости, не соответствующие градостроительным нормам_00-022_Август/c8479584-f4d5-48e3-8c2b-efd61fe3951a.jpg","open")</f>
        <v/>
      </c>
      <c r="C11066" t="inlineStr">
        <is>
          <t>dd22c7c9-0046-46d8-8631-55150dbf8ae5</t>
        </is>
      </c>
      <c r="D11066" t="n">
        <v>55.78162</v>
      </c>
      <c r="E11066" t="n">
        <v>37.69927</v>
      </c>
      <c r="F11066" t="inlineStr"/>
      <c r="G11066" t="inlineStr"/>
      <c r="H11066" t="inlineStr"/>
    </row>
    <row r="11067">
      <c r="A11067" t="inlineStr">
        <is>
          <t>68289b33-e5cd-4136-801c-3e63ee78e922.jpg</t>
        </is>
      </c>
      <c r="B11067">
        <f>HYPERLINK("Объекты недвижимости, не соответствующие градостроительным нормам_00-022_Август/68289b33-e5cd-4136-801c-3e63ee78e922.jpg","open")</f>
        <v/>
      </c>
      <c r="C11067" t="inlineStr">
        <is>
          <t>dd22c7c9-0046-46d8-8631-55150dbf8ae5</t>
        </is>
      </c>
      <c r="D11067" t="n">
        <v>55.71783</v>
      </c>
      <c r="E11067" t="n">
        <v>37.74136</v>
      </c>
      <c r="F11067" t="inlineStr"/>
      <c r="G11067" t="inlineStr"/>
      <c r="H11067" t="inlineStr"/>
    </row>
    <row r="11068">
      <c r="A11068" t="inlineStr">
        <is>
          <t>4aeda9d1-49ed-4b2f-a52a-cc2f9239ad6e.jpg</t>
        </is>
      </c>
      <c r="B11068">
        <f>HYPERLINK("Объекты недвижимости, не соответствующие градостроительным нормам_00-022_Август/4aeda9d1-49ed-4b2f-a52a-cc2f9239ad6e.jpg","open")</f>
        <v/>
      </c>
      <c r="C11068" t="inlineStr">
        <is>
          <t>dd22c7c9-0046-46d8-8631-55150dbf8ae5</t>
        </is>
      </c>
      <c r="D11068" t="n">
        <v>55.7149</v>
      </c>
      <c r="E11068" t="n">
        <v>37.73717</v>
      </c>
      <c r="F11068" t="inlineStr"/>
      <c r="G11068" t="inlineStr"/>
      <c r="H11068" t="inlineStr"/>
    </row>
    <row r="11069">
      <c r="A11069" t="inlineStr">
        <is>
          <t>18261384-8898-48ff-af22-cb312b089f04.jpg</t>
        </is>
      </c>
      <c r="B11069">
        <f>HYPERLINK("Объекты недвижимости, не соответствующие градостроительным нормам_00-022_Август/18261384-8898-48ff-af22-cb312b089f04.jpg","open")</f>
        <v/>
      </c>
      <c r="C11069" t="inlineStr">
        <is>
          <t>8cde1fd0-eca1-4510-86ab-3c743b65fdfc</t>
        </is>
      </c>
      <c r="D11069" t="n">
        <v>55.84923</v>
      </c>
      <c r="E11069" t="n">
        <v>37.48949</v>
      </c>
      <c r="F11069" t="inlineStr"/>
      <c r="G11069" t="inlineStr"/>
      <c r="H11069" t="inlineStr"/>
    </row>
    <row r="11070">
      <c r="A11070" t="inlineStr">
        <is>
          <t>e7ab71e2-5f64-4a54-bdd8-47e557ae8713.jpg</t>
        </is>
      </c>
      <c r="B11070">
        <f>HYPERLINK("Объекты недвижимости, не соответствующие градостроительным нормам_00-022_Август/e7ab71e2-5f64-4a54-bdd8-47e557ae8713.jpg","open")</f>
        <v/>
      </c>
      <c r="C11070" t="inlineStr">
        <is>
          <t>8cde1fd0-eca1-4510-86ab-3c743b65fdfc</t>
        </is>
      </c>
      <c r="D11070" t="n">
        <v>55.84781</v>
      </c>
      <c r="E11070" t="n">
        <v>37.48888</v>
      </c>
      <c r="F11070" t="inlineStr"/>
      <c r="G11070" t="inlineStr"/>
      <c r="H11070" t="inlineStr"/>
    </row>
    <row r="11071">
      <c r="A11071" t="inlineStr">
        <is>
          <t>3c8cee3e-27fb-44f6-b51a-1b259881a870.jpg</t>
        </is>
      </c>
      <c r="B11071">
        <f>HYPERLINK("Объекты недвижимости, не соответствующие градостроительным нормам_00-022_Август/3c8cee3e-27fb-44f6-b51a-1b259881a870.jpg","open")</f>
        <v/>
      </c>
      <c r="C11071" t="inlineStr">
        <is>
          <t>dd22c7c9-0046-46d8-8631-55150dbf8ae5</t>
        </is>
      </c>
      <c r="D11071" t="n">
        <v>55.71487</v>
      </c>
      <c r="E11071" t="n">
        <v>37.73713</v>
      </c>
      <c r="F11071" t="inlineStr"/>
      <c r="G11071" t="inlineStr"/>
      <c r="H11071" t="inlineStr"/>
    </row>
    <row r="11072">
      <c r="A11072" t="inlineStr">
        <is>
          <t>7b3398e0-5656-4932-954d-412ef8c8ec3e.jpg</t>
        </is>
      </c>
      <c r="B11072">
        <f>HYPERLINK("Объекты недвижимости, не соответствующие градостроительным нормам_00-022_Август/7b3398e0-5656-4932-954d-412ef8c8ec3e.jpg","open")</f>
        <v/>
      </c>
      <c r="C11072" t="inlineStr">
        <is>
          <t>af173c70-3716-4040-aa0b-1be99e78abe8</t>
        </is>
      </c>
      <c r="D11072" t="n">
        <v>55.71404</v>
      </c>
      <c r="E11072" t="n">
        <v>37.734</v>
      </c>
      <c r="F11072" t="inlineStr"/>
      <c r="G11072" t="inlineStr"/>
      <c r="H11072" t="inlineStr"/>
    </row>
    <row r="11073">
      <c r="A11073" t="inlineStr">
        <is>
          <t>4a27718a-c857-4839-b277-26338e602267.jpg</t>
        </is>
      </c>
      <c r="B11073">
        <f>HYPERLINK("Объекты недвижимости, не соответствующие градостроительным нормам_00-022_Август/4a27718a-c857-4839-b277-26338e602267.jpg","open")</f>
        <v/>
      </c>
      <c r="C11073" t="inlineStr">
        <is>
          <t>8cde1fd0-eca1-4510-86ab-3c743b65fdfc</t>
        </is>
      </c>
      <c r="D11073" t="n">
        <v>55.84608</v>
      </c>
      <c r="E11073" t="n">
        <v>37.48943</v>
      </c>
      <c r="F11073" t="inlineStr"/>
      <c r="G11073" t="inlineStr"/>
      <c r="H11073" t="inlineStr"/>
    </row>
    <row r="11074">
      <c r="A11074" t="inlineStr">
        <is>
          <t>0748dcbe-a584-416c-9b2b-6396dd0e0a66.jpg</t>
        </is>
      </c>
      <c r="B11074">
        <f>HYPERLINK("Объекты недвижимости, не соответствующие градостроительным нормам_00-022_Август/0748dcbe-a584-416c-9b2b-6396dd0e0a66.jpg","open")</f>
        <v/>
      </c>
      <c r="C11074" t="inlineStr">
        <is>
          <t>dd22c7c9-0046-46d8-8631-55150dbf8ae5</t>
        </is>
      </c>
      <c r="D11074" t="n">
        <v>55.70672</v>
      </c>
      <c r="E11074" t="n">
        <v>37.73093</v>
      </c>
      <c r="F11074" t="inlineStr"/>
      <c r="G11074" t="inlineStr"/>
      <c r="H11074" t="inlineStr"/>
    </row>
    <row r="11075">
      <c r="A11075" t="inlineStr">
        <is>
          <t>22467492-9bf9-4911-9823-8fcbfba4f525.jpg</t>
        </is>
      </c>
      <c r="B11075">
        <f>HYPERLINK("Объекты недвижимости, не соответствующие градостроительным нормам_00-022_Август/22467492-9bf9-4911-9823-8fcbfba4f525.jpg","open")</f>
        <v/>
      </c>
      <c r="C11075" t="inlineStr">
        <is>
          <t>0dd30d74-4dbc-46a8-b638-91e1431bb398</t>
        </is>
      </c>
      <c r="D11075" t="n">
        <v>55.69084</v>
      </c>
      <c r="E11075" t="n">
        <v>37.56406</v>
      </c>
      <c r="F11075" t="inlineStr"/>
      <c r="G11075" t="inlineStr"/>
      <c r="H11075" t="inlineStr"/>
    </row>
    <row r="11076">
      <c r="A11076" t="inlineStr">
        <is>
          <t>57acd3ed-747e-4ea7-9add-024a8d15cdd8.jpg</t>
        </is>
      </c>
      <c r="B11076">
        <f>HYPERLINK("Объекты недвижимости, не соответствующие градостроительным нормам_00-022_Август/57acd3ed-747e-4ea7-9add-024a8d15cdd8.jpg","open")</f>
        <v/>
      </c>
      <c r="C11076" t="inlineStr">
        <is>
          <t>8cde1fd0-eca1-4510-86ab-3c743b65fdfc</t>
        </is>
      </c>
      <c r="D11076" t="n">
        <v>55.85123</v>
      </c>
      <c r="E11076" t="n">
        <v>37.49424</v>
      </c>
      <c r="F11076" t="inlineStr"/>
      <c r="G11076" t="inlineStr"/>
      <c r="H11076" t="inlineStr"/>
    </row>
    <row r="11077">
      <c r="A11077" t="inlineStr">
        <is>
          <t>a3b6821f-4c01-4cfb-bf3c-e94b1bd9cc0d.jpg</t>
        </is>
      </c>
      <c r="B11077">
        <f>HYPERLINK("Объекты недвижимости, не соответствующие градостроительным нормам_00-022_Август/a3b6821f-4c01-4cfb-bf3c-e94b1bd9cc0d.jpg","open")</f>
        <v/>
      </c>
      <c r="C11077" t="inlineStr">
        <is>
          <t>1a55986c-2c3f-40c0-b3d1-014dce77832e</t>
        </is>
      </c>
      <c r="D11077" t="n">
        <v>55.4489</v>
      </c>
      <c r="E11077" t="n">
        <v>37.50768</v>
      </c>
      <c r="F11077" t="inlineStr"/>
      <c r="G11077" t="inlineStr"/>
      <c r="H11077" t="inlineStr"/>
    </row>
    <row r="11078">
      <c r="A11078" t="inlineStr">
        <is>
          <t>d2a7bd80-96a9-456f-a6c7-7c85f7e7f7bb.jpg</t>
        </is>
      </c>
      <c r="B11078">
        <f>HYPERLINK("Объекты недвижимости, не соответствующие градостроительным нормам_00-022_Август/d2a7bd80-96a9-456f-a6c7-7c85f7e7f7bb.jpg","open")</f>
        <v/>
      </c>
      <c r="C11078" t="inlineStr">
        <is>
          <t>dd22c7c9-0046-46d8-8631-55150dbf8ae5</t>
        </is>
      </c>
      <c r="D11078" t="n">
        <v>55.70416</v>
      </c>
      <c r="E11078" t="n">
        <v>37.66795</v>
      </c>
      <c r="F11078" t="inlineStr"/>
      <c r="G11078" t="inlineStr"/>
      <c r="H11078" t="inlineStr"/>
    </row>
    <row r="11079">
      <c r="A11079" t="inlineStr">
        <is>
          <t>ab4cf0e2-dfbc-4309-9d3c-22888e931189.jpg</t>
        </is>
      </c>
      <c r="B11079">
        <f>HYPERLINK("Объекты недвижимости, не соответствующие градостроительным нормам_00-022_Август/ab4cf0e2-dfbc-4309-9d3c-22888e931189.jpg","open")</f>
        <v/>
      </c>
      <c r="C11079" t="inlineStr">
        <is>
          <t>93848fc8-17e7-4748-9ebc-c7e379e11d2f</t>
        </is>
      </c>
      <c r="D11079" t="n">
        <v>55.67796</v>
      </c>
      <c r="E11079" t="n">
        <v>37.57671</v>
      </c>
      <c r="F11079" t="inlineStr"/>
      <c r="G11079" t="inlineStr"/>
      <c r="H11079" t="inlineStr"/>
    </row>
    <row r="11080">
      <c r="A11080" t="inlineStr">
        <is>
          <t>f595504d-0ce0-48ee-ada3-120d07a688b4.jpg</t>
        </is>
      </c>
      <c r="B11080">
        <f>HYPERLINK("Объекты недвижимости, не соответствующие градостроительным нормам_00-022_Август/f595504d-0ce0-48ee-ada3-120d07a688b4.jpg","open")</f>
        <v/>
      </c>
      <c r="C11080" t="inlineStr">
        <is>
          <t>8cde1fd0-eca1-4510-86ab-3c743b65fdfc</t>
        </is>
      </c>
      <c r="D11080" t="n">
        <v>55.86866</v>
      </c>
      <c r="E11080" t="n">
        <v>37.53783</v>
      </c>
      <c r="F11080" t="inlineStr"/>
      <c r="G11080" t="inlineStr"/>
      <c r="H11080" t="inlineStr"/>
    </row>
    <row r="11081">
      <c r="A11081" t="inlineStr">
        <is>
          <t>24b09f32-bc90-4faa-9b3e-f3f8ed4bb816.jpg</t>
        </is>
      </c>
      <c r="B11081">
        <f>HYPERLINK("Объекты недвижимости, не соответствующие градостроительным нормам_00-022_Август/24b09f32-bc90-4faa-9b3e-f3f8ed4bb816.jpg","open")</f>
        <v/>
      </c>
      <c r="C11081" t="inlineStr">
        <is>
          <t>dd22c7c9-0046-46d8-8631-55150dbf8ae5</t>
        </is>
      </c>
      <c r="D11081" t="n">
        <v>55.72208</v>
      </c>
      <c r="E11081" t="n">
        <v>37.66376</v>
      </c>
      <c r="F11081" t="inlineStr"/>
      <c r="G11081" t="inlineStr"/>
      <c r="H11081" t="inlineStr"/>
    </row>
    <row r="11082">
      <c r="A11082" t="inlineStr">
        <is>
          <t>477543b4-c75b-4cd3-a6d8-72aca4f10713.jpg</t>
        </is>
      </c>
      <c r="B11082">
        <f>HYPERLINK("Объекты недвижимости, не соответствующие градостроительным нормам_00-022_Август/477543b4-c75b-4cd3-a6d8-72aca4f10713.jpg","open")</f>
        <v/>
      </c>
      <c r="C11082" t="inlineStr">
        <is>
          <t>af173c70-3716-4040-aa0b-1be99e78abe8</t>
        </is>
      </c>
      <c r="D11082" t="n">
        <v>55.72208</v>
      </c>
      <c r="E11082" t="n">
        <v>37.66376</v>
      </c>
      <c r="F11082" t="inlineStr"/>
      <c r="G11082" t="inlineStr"/>
      <c r="H11082" t="inlineStr"/>
    </row>
    <row r="11083">
      <c r="A11083" t="inlineStr">
        <is>
          <t>25bb14d2-6b9e-4547-a3e9-66b4a90931be.jpg</t>
        </is>
      </c>
      <c r="B11083">
        <f>HYPERLINK("Объекты недвижимости, не соответствующие градостроительным нормам_00-022_Август/25bb14d2-6b9e-4547-a3e9-66b4a90931be.jpg","open")</f>
        <v/>
      </c>
      <c r="C11083" t="inlineStr">
        <is>
          <t>797901ad-53b1-41b8-99d1-d59d59c863d5</t>
        </is>
      </c>
      <c r="D11083" t="n">
        <v>55.76023</v>
      </c>
      <c r="E11083" t="n">
        <v>37.74478</v>
      </c>
      <c r="F11083" t="inlineStr"/>
      <c r="G11083" t="inlineStr"/>
      <c r="H11083" t="inlineStr"/>
    </row>
    <row r="11084">
      <c r="A11084" t="inlineStr">
        <is>
          <t>f79fe23c-2f06-4062-a155-0560fdb0a8d8.jpg</t>
        </is>
      </c>
      <c r="B11084">
        <f>HYPERLINK("Объекты недвижимости, не соответствующие градостроительным нормам_00-022_Август/f79fe23c-2f06-4062-a155-0560fdb0a8d8.jpg","open")</f>
        <v/>
      </c>
      <c r="C11084" t="inlineStr">
        <is>
          <t>dd22c7c9-0046-46d8-8631-55150dbf8ae5</t>
        </is>
      </c>
      <c r="D11084" t="n">
        <v>55.72208</v>
      </c>
      <c r="E11084" t="n">
        <v>37.66376</v>
      </c>
      <c r="F11084" t="inlineStr"/>
      <c r="G11084" t="inlineStr"/>
      <c r="H11084" t="inlineStr"/>
    </row>
    <row r="11085">
      <c r="A11085" t="inlineStr">
        <is>
          <t>0d554d5d-4c58-4032-8998-e11b89c34fae.jpg</t>
        </is>
      </c>
      <c r="B11085">
        <f>HYPERLINK("Объекты недвижимости, не соответствующие градостроительным нормам_00-022_Август/0d554d5d-4c58-4032-8998-e11b89c34fae.jpg","open")</f>
        <v/>
      </c>
      <c r="C11085" t="inlineStr">
        <is>
          <t>caa4772d-6278-4484-a046-ee25514bf521</t>
        </is>
      </c>
      <c r="D11085" t="n">
        <v>55.7108</v>
      </c>
      <c r="E11085" t="n">
        <v>37.95477</v>
      </c>
      <c r="F11085" t="inlineStr"/>
      <c r="G11085" t="inlineStr"/>
      <c r="H11085" t="inlineStr"/>
    </row>
    <row r="11086">
      <c r="A11086" t="inlineStr">
        <is>
          <t>f61d3e03-983a-469c-89ef-d8e3d3fc3a5f.jpg</t>
        </is>
      </c>
      <c r="B11086">
        <f>HYPERLINK("Объекты недвижимости, не соответствующие градостроительным нормам_00-022_Август/f61d3e03-983a-469c-89ef-d8e3d3fc3a5f.jpg","open")</f>
        <v/>
      </c>
      <c r="C11086" t="inlineStr">
        <is>
          <t>8cde1fd0-eca1-4510-86ab-3c743b65fdfc</t>
        </is>
      </c>
      <c r="D11086" t="n">
        <v>55.85522</v>
      </c>
      <c r="E11086" t="n">
        <v>37.57382</v>
      </c>
      <c r="F11086" t="inlineStr"/>
      <c r="G11086" t="inlineStr"/>
      <c r="H11086" t="inlineStr"/>
    </row>
    <row r="11087">
      <c r="A11087" t="inlineStr">
        <is>
          <t>35766f86-70b3-467a-854c-0fa429abce97.jpg</t>
        </is>
      </c>
      <c r="B11087">
        <f>HYPERLINK("Объекты недвижимости, не соответствующие градостроительным нормам_00-022_Август/35766f86-70b3-467a-854c-0fa429abce97.jpg","open")</f>
        <v/>
      </c>
      <c r="C11087" t="inlineStr">
        <is>
          <t>8cde1fd0-eca1-4510-86ab-3c743b65fdfc</t>
        </is>
      </c>
      <c r="D11087" t="n">
        <v>55.85505</v>
      </c>
      <c r="E11087" t="n">
        <v>37.56707</v>
      </c>
      <c r="F11087" t="inlineStr"/>
      <c r="G11087" t="inlineStr"/>
      <c r="H11087" t="inlineStr"/>
    </row>
    <row r="11088">
      <c r="A11088" t="inlineStr">
        <is>
          <t>5c464b79-952c-4951-8630-8dcfef092121.jpg</t>
        </is>
      </c>
      <c r="B11088">
        <f>HYPERLINK("Объекты недвижимости, не соответствующие градостроительным нормам_00-022_Август/5c464b79-952c-4951-8630-8dcfef092121.jpg","open")</f>
        <v/>
      </c>
      <c r="C11088" t="inlineStr">
        <is>
          <t>db8b536c-32f2-4d9a-ae08-679d227e61f1</t>
        </is>
      </c>
      <c r="D11088" t="n">
        <v>55.72926</v>
      </c>
      <c r="E11088" t="n">
        <v>37.70713</v>
      </c>
      <c r="F11088" t="inlineStr"/>
      <c r="G11088" t="inlineStr"/>
      <c r="H11088" t="inlineStr"/>
    </row>
    <row r="11089">
      <c r="A11089" t="inlineStr">
        <is>
          <t>40692685-3997-45e3-8975-039a3b2fd505.jpg</t>
        </is>
      </c>
      <c r="B11089">
        <f>HYPERLINK("Объекты недвижимости, не соответствующие градостроительным нормам_00-022_Август/40692685-3997-45e3-8975-039a3b2fd505.jpg","open")</f>
        <v/>
      </c>
      <c r="C11089" t="inlineStr">
        <is>
          <t>fb40ed24-21ef-458a-a239-038ab19932cc</t>
        </is>
      </c>
      <c r="D11089" t="n">
        <v>55.79707</v>
      </c>
      <c r="E11089" t="n">
        <v>37.79991</v>
      </c>
      <c r="F11089" t="inlineStr"/>
      <c r="G11089" t="inlineStr"/>
      <c r="H11089" t="inlineStr"/>
    </row>
    <row r="11090">
      <c r="A11090" t="inlineStr">
        <is>
          <t>63822523-9169-4043-a42e-9c22840dde48.jpg</t>
        </is>
      </c>
      <c r="B11090">
        <f>HYPERLINK("Объекты недвижимости, не соответствующие градостроительным нормам_00-022_Август/63822523-9169-4043-a42e-9c22840dde48.jpg","open")</f>
        <v/>
      </c>
      <c r="C11090" t="inlineStr">
        <is>
          <t>1c951e11-4940-43c6-a447-394097e5609a</t>
        </is>
      </c>
      <c r="D11090" t="n">
        <v>55.87571</v>
      </c>
      <c r="E11090" t="n">
        <v>37.56783</v>
      </c>
      <c r="F11090" t="inlineStr"/>
      <c r="G11090" t="inlineStr"/>
      <c r="H11090" t="inlineStr"/>
    </row>
    <row r="11091">
      <c r="A11091" t="inlineStr">
        <is>
          <t>3022e477-1447-45a8-9461-d42157b6eed0.jpg</t>
        </is>
      </c>
      <c r="B11091">
        <f>HYPERLINK("Объекты недвижимости, не соответствующие градостроительным нормам_00-022_Август/3022e477-1447-45a8-9461-d42157b6eed0.jpg","open")</f>
        <v/>
      </c>
      <c r="C11091" t="inlineStr">
        <is>
          <t>1c951e11-4940-43c6-a447-394097e5609a</t>
        </is>
      </c>
      <c r="D11091" t="n">
        <v>55.87192</v>
      </c>
      <c r="E11091" t="n">
        <v>37.57006</v>
      </c>
      <c r="F11091" t="inlineStr"/>
      <c r="G11091" t="inlineStr"/>
      <c r="H11091" t="inlineStr"/>
    </row>
    <row r="11092">
      <c r="A11092" t="inlineStr">
        <is>
          <t>f322d27f-ffe5-4bbb-8950-b7689c3c18ff.jpg</t>
        </is>
      </c>
      <c r="B11092">
        <f>HYPERLINK("Объекты недвижимости, не соответствующие градостроительным нормам_00-022_Август/f322d27f-ffe5-4bbb-8950-b7689c3c18ff.jpg","open")</f>
        <v/>
      </c>
      <c r="C11092" t="inlineStr">
        <is>
          <t>8cde1fd0-eca1-4510-86ab-3c743b65fdfc</t>
        </is>
      </c>
      <c r="D11092" t="n">
        <v>55.87196</v>
      </c>
      <c r="E11092" t="n">
        <v>37.57005</v>
      </c>
      <c r="F11092" t="inlineStr"/>
      <c r="G11092" t="inlineStr"/>
      <c r="H11092" t="inlineStr"/>
    </row>
    <row r="11093">
      <c r="A11093" t="inlineStr">
        <is>
          <t>a6206e63-b492-46d6-bd8f-d4bc03b4d4e8.jpg</t>
        </is>
      </c>
      <c r="B11093">
        <f>HYPERLINK("Объекты недвижимости, не соответствующие градостроительным нормам_00-022_Август/a6206e63-b492-46d6-bd8f-d4bc03b4d4e8.jpg","open")</f>
        <v/>
      </c>
      <c r="C11093" t="inlineStr">
        <is>
          <t>1c951e11-4940-43c6-a447-394097e5609a</t>
        </is>
      </c>
      <c r="D11093" t="n">
        <v>55.87456</v>
      </c>
      <c r="E11093" t="n">
        <v>37.56863</v>
      </c>
      <c r="F11093" t="inlineStr"/>
      <c r="G11093" t="inlineStr"/>
      <c r="H11093" t="inlineStr"/>
    </row>
    <row r="11094">
      <c r="A11094" t="inlineStr">
        <is>
          <t>25fe3c38-74a6-4819-82e2-ba8e1bae12a9.jpg</t>
        </is>
      </c>
      <c r="B11094">
        <f>HYPERLINK("Объекты недвижимости, не соответствующие градостроительным нормам_00-022_Август/25fe3c38-74a6-4819-82e2-ba8e1bae12a9.jpg","open")</f>
        <v/>
      </c>
      <c r="C11094" t="inlineStr">
        <is>
          <t>8996eb30-6497-4318-8a0e-b95314b8172e</t>
        </is>
      </c>
      <c r="D11094" t="n">
        <v>55.86057</v>
      </c>
      <c r="E11094" t="n">
        <v>37.43682</v>
      </c>
      <c r="F11094" t="inlineStr"/>
      <c r="G11094" t="inlineStr"/>
      <c r="H11094" t="inlineStr"/>
    </row>
    <row r="11095">
      <c r="A11095" t="inlineStr">
        <is>
          <t>7bf1c3c6-462a-41c6-8e6c-a05fc568b727.jpg</t>
        </is>
      </c>
      <c r="B11095">
        <f>HYPERLINK("Объекты недвижимости, не соответствующие градостроительным нормам_00-022_Август/7bf1c3c6-462a-41c6-8e6c-a05fc568b727.jpg","open")</f>
        <v/>
      </c>
      <c r="C11095" t="inlineStr">
        <is>
          <t>db8b536c-32f2-4d9a-ae08-679d227e61f1</t>
        </is>
      </c>
      <c r="D11095" t="n">
        <v>55.73238</v>
      </c>
      <c r="E11095" t="n">
        <v>37.69577</v>
      </c>
      <c r="F11095" t="inlineStr"/>
      <c r="G11095" t="inlineStr"/>
      <c r="H11095" t="inlineStr"/>
    </row>
    <row r="11096">
      <c r="A11096" t="inlineStr">
        <is>
          <t>b4355e19-0cb8-4396-9a42-83d1462fb9d9.jpg</t>
        </is>
      </c>
      <c r="B11096">
        <f>HYPERLINK("Объекты недвижимости, не соответствующие градостроительным нормам_00-022_Август/b4355e19-0cb8-4396-9a42-83d1462fb9d9.jpg","open")</f>
        <v/>
      </c>
      <c r="C11096" t="inlineStr">
        <is>
          <t>db8b536c-32f2-4d9a-ae08-679d227e61f1</t>
        </is>
      </c>
      <c r="D11096" t="n">
        <v>55.73238</v>
      </c>
      <c r="E11096" t="n">
        <v>37.69577</v>
      </c>
      <c r="F11096" t="inlineStr"/>
      <c r="G11096" t="inlineStr"/>
      <c r="H11096" t="inlineStr"/>
    </row>
    <row r="11097">
      <c r="A11097" t="inlineStr">
        <is>
          <t>7dafd749-3611-4776-a54c-a12b261d6e49.jpg</t>
        </is>
      </c>
      <c r="B11097">
        <f>HYPERLINK("Объекты недвижимости, не соответствующие градостроительным нормам_00-022_Август/7dafd749-3611-4776-a54c-a12b261d6e49.jpg","open")</f>
        <v/>
      </c>
      <c r="C11097" t="inlineStr">
        <is>
          <t>e90a3ac0-5b70-4ede-abeb-382371713306</t>
        </is>
      </c>
      <c r="D11097" t="n">
        <v>55.73238</v>
      </c>
      <c r="E11097" t="n">
        <v>37.69577</v>
      </c>
      <c r="F11097" t="inlineStr"/>
      <c r="G11097" t="inlineStr"/>
      <c r="H11097" t="inlineStr"/>
    </row>
    <row r="11098">
      <c r="A11098" t="inlineStr">
        <is>
          <t>f072df22-20fe-44ac-8cbe-34e4f52eb115.jpg</t>
        </is>
      </c>
      <c r="B11098">
        <f>HYPERLINK("Объекты недвижимости, не соответствующие градостроительным нормам_00-022_Август/f072df22-20fe-44ac-8cbe-34e4f52eb115.jpg","open")</f>
        <v/>
      </c>
      <c r="C11098" t="inlineStr">
        <is>
          <t>93848fc8-17e7-4748-9ebc-c7e379e11d2f</t>
        </is>
      </c>
      <c r="D11098" t="n">
        <v>55.74705</v>
      </c>
      <c r="E11098" t="n">
        <v>37.70021</v>
      </c>
      <c r="F11098" t="inlineStr"/>
      <c r="G11098" t="inlineStr"/>
      <c r="H11098" t="inlineStr"/>
    </row>
    <row r="11099">
      <c r="A11099" t="inlineStr">
        <is>
          <t>fcf9a6e5-a089-434d-a0fc-2191d10ac502.jpg</t>
        </is>
      </c>
      <c r="B11099">
        <f>HYPERLINK("Объекты недвижимости, не соответствующие градостроительным нормам_00-022_Август/fcf9a6e5-a089-434d-a0fc-2191d10ac502.jpg","open")</f>
        <v/>
      </c>
      <c r="C11099" t="inlineStr">
        <is>
          <t>caa4772d-6278-4484-a046-ee25514bf521</t>
        </is>
      </c>
      <c r="D11099" t="n">
        <v>55.75039</v>
      </c>
      <c r="E11099" t="n">
        <v>37.70875</v>
      </c>
      <c r="F11099" t="inlineStr"/>
      <c r="G11099" t="inlineStr"/>
      <c r="H11099" t="inlineStr"/>
    </row>
    <row r="11100">
      <c r="A11100" t="inlineStr">
        <is>
          <t>c0e30a10-e8c3-4ae0-af2e-c72db4e94d08.jpg</t>
        </is>
      </c>
      <c r="B11100">
        <f>HYPERLINK("Объекты недвижимости, не соответствующие градостроительным нормам_00-022_Август/c0e30a10-e8c3-4ae0-af2e-c72db4e94d08.jpg","open")</f>
        <v/>
      </c>
      <c r="C11100" t="inlineStr">
        <is>
          <t>9c930d0e-e445-452d-a046-325646b21ab7</t>
        </is>
      </c>
      <c r="D11100" t="n">
        <v>55.84565</v>
      </c>
      <c r="E11100" t="n">
        <v>37.67087</v>
      </c>
      <c r="F11100" t="inlineStr"/>
      <c r="G11100" t="inlineStr"/>
      <c r="H11100" t="inlineStr"/>
    </row>
    <row r="11101">
      <c r="A11101" t="inlineStr">
        <is>
          <t>0502db1b-acdb-4634-8028-842092e6e157.jpg</t>
        </is>
      </c>
      <c r="B11101">
        <f>HYPERLINK("Объекты недвижимости, не соответствующие градостроительным нормам_00-022_Август/0502db1b-acdb-4634-8028-842092e6e157.jpg","open")</f>
        <v/>
      </c>
      <c r="C11101" t="inlineStr">
        <is>
          <t>dd48f742-b338-42e2-bbaf-b3a9701b437c</t>
        </is>
      </c>
      <c r="D11101" t="n">
        <v>55.84569</v>
      </c>
      <c r="E11101" t="n">
        <v>37.67089</v>
      </c>
      <c r="F11101" t="inlineStr"/>
      <c r="G11101" t="inlineStr"/>
      <c r="H11101" t="inlineStr"/>
    </row>
    <row r="11102">
      <c r="A11102" t="inlineStr">
        <is>
          <t>a8af40c1-e7df-476e-93a1-6923c098dd70.jpg</t>
        </is>
      </c>
      <c r="B11102">
        <f>HYPERLINK("Объекты недвижимости, не соответствующие градостроительным нормам_00-022_Август/a8af40c1-e7df-476e-93a1-6923c098dd70.jpg","open")</f>
        <v/>
      </c>
      <c r="C11102" t="inlineStr">
        <is>
          <t>dd48f742-b338-42e2-bbaf-b3a9701b437c</t>
        </is>
      </c>
      <c r="D11102" t="n">
        <v>55.85294</v>
      </c>
      <c r="E11102" t="n">
        <v>37.66793</v>
      </c>
      <c r="F11102" t="inlineStr"/>
      <c r="G11102" t="inlineStr"/>
      <c r="H11102" t="inlineStr"/>
    </row>
    <row r="11103">
      <c r="A11103" t="inlineStr">
        <is>
          <t>baff12ba-1bb6-4f79-bfb1-d16c21db0d39.jpg</t>
        </is>
      </c>
      <c r="B11103">
        <f>HYPERLINK("Объекты недвижимости, не соответствующие градостроительным нормам_00-022_Август/baff12ba-1bb6-4f79-bfb1-d16c21db0d39.jpg","open")</f>
        <v/>
      </c>
      <c r="C11103" t="inlineStr">
        <is>
          <t>8996eb30-6497-4318-8a0e-b95314b8172e</t>
        </is>
      </c>
      <c r="D11103" t="n">
        <v>55.86855</v>
      </c>
      <c r="E11103" t="n">
        <v>37.50874</v>
      </c>
      <c r="F11103" t="inlineStr"/>
      <c r="G11103" t="inlineStr"/>
      <c r="H11103" t="inlineStr"/>
    </row>
    <row r="11104">
      <c r="A11104" t="inlineStr">
        <is>
          <t>e4f56ca2-c9cd-4b2a-a941-2df61af20304.jpg</t>
        </is>
      </c>
      <c r="B11104">
        <f>HYPERLINK("Объекты недвижимости, не соответствующие градостроительным нормам_00-022_Август/e4f56ca2-c9cd-4b2a-a941-2df61af20304.jpg","open")</f>
        <v/>
      </c>
      <c r="C11104" t="inlineStr">
        <is>
          <t>8996eb30-6497-4318-8a0e-b95314b8172e</t>
        </is>
      </c>
      <c r="D11104" t="n">
        <v>55.84554</v>
      </c>
      <c r="E11104" t="n">
        <v>37.64673</v>
      </c>
      <c r="F11104" t="inlineStr"/>
      <c r="G11104" t="inlineStr"/>
      <c r="H11104" t="inlineStr"/>
    </row>
    <row r="11105">
      <c r="A11105" t="inlineStr">
        <is>
          <t>8b565863-3f38-4294-a179-87c5ee7c24e5.jpg</t>
        </is>
      </c>
      <c r="B11105">
        <f>HYPERLINK("Объекты недвижимости, не соответствующие градостроительным нормам_00-022_Август/8b565863-3f38-4294-a179-87c5ee7c24e5.jpg","open")</f>
        <v/>
      </c>
      <c r="C11105" t="inlineStr">
        <is>
          <t>9c930d0e-e445-452d-a046-325646b21ab7</t>
        </is>
      </c>
      <c r="D11105" t="n">
        <v>55.88739</v>
      </c>
      <c r="E11105" t="n">
        <v>37.6776</v>
      </c>
      <c r="F11105" t="inlineStr"/>
      <c r="G11105" t="inlineStr"/>
      <c r="H11105" t="inlineStr"/>
    </row>
    <row r="11106">
      <c r="A11106" t="inlineStr">
        <is>
          <t>b9b17943-0759-42ed-a72c-f84935d03b1b.jpg</t>
        </is>
      </c>
      <c r="B11106">
        <f>HYPERLINK("Объекты недвижимости, не соответствующие градостроительным нормам_00-022_Август/b9b17943-0759-42ed-a72c-f84935d03b1b.jpg","open")</f>
        <v/>
      </c>
      <c r="C11106" t="inlineStr">
        <is>
          <t>48b533d5-d106-4175-ac9b-d5ce8d90cccf</t>
        </is>
      </c>
      <c r="D11106" t="n">
        <v>55.82299</v>
      </c>
      <c r="E11106" t="n">
        <v>37.72138</v>
      </c>
      <c r="F11106" t="inlineStr"/>
      <c r="G11106" t="inlineStr"/>
      <c r="H11106" t="inlineStr"/>
    </row>
    <row r="11107">
      <c r="A11107" t="inlineStr">
        <is>
          <t>581069ce-86c8-4bcc-96b3-8cc49a225910.jpg</t>
        </is>
      </c>
      <c r="B11107">
        <f>HYPERLINK("Объекты недвижимости, не соответствующие градостроительным нормам_00-022_Август/581069ce-86c8-4bcc-96b3-8cc49a225910.jpg","open")</f>
        <v/>
      </c>
      <c r="C11107" t="inlineStr">
        <is>
          <t>8cde1fd0-eca1-4510-86ab-3c743b65fdfc</t>
        </is>
      </c>
      <c r="D11107" t="n">
        <v>55.76195</v>
      </c>
      <c r="E11107" t="n">
        <v>37.6859</v>
      </c>
      <c r="F11107" t="inlineStr"/>
      <c r="G11107" t="inlineStr"/>
      <c r="H11107" t="inlineStr"/>
    </row>
    <row r="11108">
      <c r="A11108" t="inlineStr">
        <is>
          <t>9065f538-adff-4a59-a218-c4d0d4453684.jpg</t>
        </is>
      </c>
      <c r="B11108">
        <f>HYPERLINK("Объекты недвижимости, не соответствующие градостроительным нормам_00-022_Август/9065f538-adff-4a59-a218-c4d0d4453684.jpg","open")</f>
        <v/>
      </c>
      <c r="C11108" t="inlineStr">
        <is>
          <t>ed2bf0f1-3a66-4913-896e-4420a9796c0b</t>
        </is>
      </c>
      <c r="D11108" t="n">
        <v>55.71249</v>
      </c>
      <c r="E11108" t="n">
        <v>37.62336</v>
      </c>
      <c r="F11108" t="inlineStr"/>
      <c r="G11108" t="inlineStr"/>
      <c r="H11108" t="inlineStr"/>
    </row>
    <row r="11109">
      <c r="A11109" t="inlineStr">
        <is>
          <t>4beaa289-9065-49aa-8e62-ce0fabd6e3c0.jpg</t>
        </is>
      </c>
      <c r="B11109">
        <f>HYPERLINK("Объекты недвижимости, не соответствующие градостроительным нормам_00-022_Август/4beaa289-9065-49aa-8e62-ce0fabd6e3c0.jpg","open")</f>
        <v/>
      </c>
      <c r="C11109" t="inlineStr">
        <is>
          <t>ed2bf0f1-3a66-4913-896e-4420a9796c0b</t>
        </is>
      </c>
      <c r="D11109" t="n">
        <v>55.75829</v>
      </c>
      <c r="E11109" t="n">
        <v>37.68688</v>
      </c>
      <c r="F11109" t="inlineStr"/>
      <c r="G11109" t="inlineStr"/>
      <c r="H11109" t="inlineStr"/>
    </row>
    <row r="11110">
      <c r="A11110" t="inlineStr">
        <is>
          <t>896f2575-e97c-409f-97a3-383968b04713.jpg</t>
        </is>
      </c>
      <c r="B11110">
        <f>HYPERLINK("Объекты недвижимости, не соответствующие градостроительным нормам_00-022_Август/896f2575-e97c-409f-97a3-383968b04713.jpg","open")</f>
        <v/>
      </c>
      <c r="C11110" t="inlineStr">
        <is>
          <t>fb40ed24-21ef-458a-a239-038ab19932cc</t>
        </is>
      </c>
      <c r="D11110" t="n">
        <v>55.80639</v>
      </c>
      <c r="E11110" t="n">
        <v>37.74072</v>
      </c>
      <c r="F11110" t="inlineStr"/>
      <c r="G11110" t="inlineStr"/>
      <c r="H11110" t="inlineStr"/>
    </row>
    <row r="11111">
      <c r="A11111" t="inlineStr">
        <is>
          <t>450366e1-30f0-44c7-8bee-cad0c75cc729.jpg</t>
        </is>
      </c>
      <c r="B11111">
        <f>HYPERLINK("Объекты недвижимости, не соответствующие градостроительным нормам_00-022_Август/450366e1-30f0-44c7-8bee-cad0c75cc729.jpg","open")</f>
        <v/>
      </c>
      <c r="C11111" t="inlineStr">
        <is>
          <t>91248771-2c4d-44f3-b3cf-d536bd4ae73c</t>
        </is>
      </c>
      <c r="D11111" t="n">
        <v>55.70039</v>
      </c>
      <c r="E11111" t="n">
        <v>37.45639</v>
      </c>
      <c r="F11111" t="inlineStr"/>
      <c r="G11111" t="inlineStr"/>
      <c r="H11111" t="inlineStr"/>
    </row>
    <row r="11112">
      <c r="A11112" t="inlineStr">
        <is>
          <t>1349dc24-048d-42f3-8214-1539c821b3b4.jpg</t>
        </is>
      </c>
      <c r="B11112">
        <f>HYPERLINK("Объекты недвижимости, не соответствующие градостроительным нормам_00-022_Август/1349dc24-048d-42f3-8214-1539c821b3b4.jpg","open")</f>
        <v/>
      </c>
      <c r="C11112" t="inlineStr">
        <is>
          <t>50e4626c-a80e-42ab-b999-b5092c2c063f</t>
        </is>
      </c>
      <c r="D11112" t="n">
        <v>55.68598</v>
      </c>
      <c r="E11112" t="n">
        <v>37.42233</v>
      </c>
      <c r="F11112" t="inlineStr"/>
      <c r="G11112" t="inlineStr"/>
      <c r="H11112" t="inlineStr"/>
    </row>
    <row r="11113">
      <c r="A11113" t="inlineStr">
        <is>
          <t>656d1fc6-6daf-40dd-ba60-ba29ea9c735c.jpg</t>
        </is>
      </c>
      <c r="B11113">
        <f>HYPERLINK("Объекты недвижимости, не соответствующие градостроительным нормам_00-022_Август/656d1fc6-6daf-40dd-ba60-ba29ea9c735c.jpg","open")</f>
        <v/>
      </c>
      <c r="C11113" t="inlineStr">
        <is>
          <t>57812597-37e6-414c-8b11-8c661dbfeb70</t>
        </is>
      </c>
      <c r="D11113" t="n">
        <v>55.8174</v>
      </c>
      <c r="E11113" t="n">
        <v>37.57396</v>
      </c>
      <c r="F11113" t="inlineStr"/>
      <c r="G11113" t="inlineStr"/>
      <c r="H11113" t="inlineStr"/>
    </row>
    <row r="11114">
      <c r="A11114" t="inlineStr">
        <is>
          <t>42a87b2e-6899-4eb5-ba74-fdbba3b040bb.jpg</t>
        </is>
      </c>
      <c r="B11114">
        <f>HYPERLINK("Объекты недвижимости, не соответствующие градостроительным нормам_00-022_Август/42a87b2e-6899-4eb5-ba74-fdbba3b040bb.jpg","open")</f>
        <v/>
      </c>
      <c r="C11114" t="inlineStr">
        <is>
          <t>9c930d0e-e445-452d-a046-325646b21ab7</t>
        </is>
      </c>
      <c r="D11114" t="n">
        <v>55.72013</v>
      </c>
      <c r="E11114" t="n">
        <v>37.42617</v>
      </c>
      <c r="F11114" t="inlineStr"/>
      <c r="G11114" t="inlineStr"/>
      <c r="H11114" t="inlineStr"/>
    </row>
    <row r="11115">
      <c r="A11115" t="inlineStr">
        <is>
          <t>6fe719eb-d74b-4de2-ba3a-12ba0b043f81.jpg</t>
        </is>
      </c>
      <c r="B11115">
        <f>HYPERLINK("Объекты недвижимости, не соответствующие градостроительным нормам_00-022_Август/6fe719eb-d74b-4de2-ba3a-12ba0b043f81.jpg","open")</f>
        <v/>
      </c>
      <c r="C11115" t="inlineStr">
        <is>
          <t>9c930d0e-e445-452d-a046-325646b21ab7</t>
        </is>
      </c>
      <c r="D11115" t="n">
        <v>55.72042</v>
      </c>
      <c r="E11115" t="n">
        <v>37.42908</v>
      </c>
      <c r="F11115" t="inlineStr"/>
      <c r="G11115" t="inlineStr"/>
      <c r="H11115" t="inlineStr"/>
    </row>
    <row r="11116">
      <c r="A11116" t="inlineStr">
        <is>
          <t>30facb94-eabf-46a6-809f-a24402df4108.jpg</t>
        </is>
      </c>
      <c r="B11116">
        <f>HYPERLINK("Объекты недвижимости, не соответствующие градостроительным нормам_00-022_Август/30facb94-eabf-46a6-809f-a24402df4108.jpg","open")</f>
        <v/>
      </c>
      <c r="C11116" t="inlineStr">
        <is>
          <t>fce890a6-27da-4062-a046-08262a160ee6</t>
        </is>
      </c>
      <c r="D11116" t="n">
        <v>55.72112</v>
      </c>
      <c r="E11116" t="n">
        <v>37.43503</v>
      </c>
      <c r="F11116" t="inlineStr"/>
      <c r="G11116" t="inlineStr"/>
      <c r="H11116" t="inlineStr"/>
    </row>
    <row r="11117">
      <c r="A11117" t="inlineStr">
        <is>
          <t>699bda97-923f-4750-bd90-9d6050e740f7.jpg</t>
        </is>
      </c>
      <c r="B11117">
        <f>HYPERLINK("Объекты недвижимости, не соответствующие градостроительным нормам_00-022_Август/699bda97-923f-4750-bd90-9d6050e740f7.jpg","open")</f>
        <v/>
      </c>
      <c r="C11117" t="inlineStr">
        <is>
          <t>9f88688f-4c81-42a8-b76a-3c3e7edf869e</t>
        </is>
      </c>
      <c r="D11117" t="n">
        <v>55.78255</v>
      </c>
      <c r="E11117" t="n">
        <v>37.67077</v>
      </c>
      <c r="F11117" t="inlineStr"/>
      <c r="G11117" t="inlineStr"/>
      <c r="H11117" t="inlineStr"/>
    </row>
    <row r="11118">
      <c r="A11118" t="inlineStr">
        <is>
          <t>050932bd-d083-45b1-b86f-c3eb21086697.jpg</t>
        </is>
      </c>
      <c r="B11118">
        <f>HYPERLINK("Объекты недвижимости, не соответствующие градостроительным нормам_00-022_Август/050932bd-d083-45b1-b86f-c3eb21086697.jpg","open")</f>
        <v/>
      </c>
      <c r="C11118" t="inlineStr">
        <is>
          <t>6e2567a0-1fb9-40d5-a0e7-0adb480d2965</t>
        </is>
      </c>
      <c r="D11118" t="n">
        <v>55.73497</v>
      </c>
      <c r="E11118" t="n">
        <v>37.58354</v>
      </c>
      <c r="F11118" t="inlineStr"/>
      <c r="G11118" t="inlineStr"/>
      <c r="H11118" t="inlineStr"/>
    </row>
    <row r="11119">
      <c r="A11119" t="inlineStr">
        <is>
          <t>00178ebe-c707-4c15-8a1c-6a9756549f80.jpg</t>
        </is>
      </c>
      <c r="B11119">
        <f>HYPERLINK("Объекты недвижимости, не соответствующие градостроительным нормам_00-022_Август/00178ebe-c707-4c15-8a1c-6a9756549f80.jpg","open")</f>
        <v/>
      </c>
      <c r="C11119" t="inlineStr">
        <is>
          <t>91248771-2c4d-44f3-b3cf-d536bd4ae73c</t>
        </is>
      </c>
      <c r="D11119" t="n">
        <v>55.70039</v>
      </c>
      <c r="E11119" t="n">
        <v>37.45639</v>
      </c>
      <c r="F11119" t="inlineStr"/>
      <c r="G11119" t="inlineStr"/>
      <c r="H11119" t="inlineStr"/>
    </row>
    <row r="11120">
      <c r="A11120" t="inlineStr">
        <is>
          <t>880179fb-1878-4f5b-b237-a9d9a31c97e6.jpg</t>
        </is>
      </c>
      <c r="B11120">
        <f>HYPERLINK("Объекты недвижимости, не соответствующие градостроительным нормам_00-022_Август/880179fb-1878-4f5b-b237-a9d9a31c97e6.jpg","open")</f>
        <v/>
      </c>
      <c r="C11120" t="inlineStr">
        <is>
          <t>29ad9edb-d533-4272-a986-be24eb004851</t>
        </is>
      </c>
      <c r="D11120" t="n">
        <v>55.73502</v>
      </c>
      <c r="E11120" t="n">
        <v>37.58365</v>
      </c>
      <c r="F11120" t="inlineStr"/>
      <c r="G11120" t="inlineStr"/>
      <c r="H11120" t="inlineStr"/>
    </row>
    <row r="11121">
      <c r="A11121" t="inlineStr">
        <is>
          <t>e14aa644-c751-4649-95f4-c723fc97add5.jpg</t>
        </is>
      </c>
      <c r="B11121">
        <f>HYPERLINK("Объекты недвижимости, не соответствующие градостроительным нормам_00-022_Август/e14aa644-c751-4649-95f4-c723fc97add5.jpg","open")</f>
        <v/>
      </c>
      <c r="C11121" t="inlineStr">
        <is>
          <t>b0429a31-0c70-4b9f-8ea5-73929d82f89e</t>
        </is>
      </c>
      <c r="D11121" t="n">
        <v>55.7099</v>
      </c>
      <c r="E11121" t="n">
        <v>37.66883</v>
      </c>
      <c r="F11121" t="inlineStr"/>
      <c r="G11121" t="inlineStr"/>
      <c r="H11121" t="inlineStr"/>
    </row>
    <row r="11122">
      <c r="A11122" t="inlineStr">
        <is>
          <t>9eff580a-7899-45ea-a347-c1507ee8caeb.jpg</t>
        </is>
      </c>
      <c r="B11122">
        <f>HYPERLINK("Объекты недвижимости, не соответствующие градостроительным нормам_00-022_Август/9eff580a-7899-45ea-a347-c1507ee8caeb.jpg","open")</f>
        <v/>
      </c>
      <c r="C11122" t="inlineStr">
        <is>
          <t>5e5b9944-4f9e-4223-bf96-0bc0c8a93dfa</t>
        </is>
      </c>
      <c r="D11122" t="n">
        <v>55.70086</v>
      </c>
      <c r="E11122" t="n">
        <v>37.46337</v>
      </c>
      <c r="F11122" t="inlineStr"/>
      <c r="G11122" t="inlineStr"/>
      <c r="H11122" t="inlineStr"/>
    </row>
    <row r="11123">
      <c r="A11123" t="inlineStr">
        <is>
          <t>8fb81d90-3d41-4867-a699-dd1f023d5a63.jpg</t>
        </is>
      </c>
      <c r="B11123">
        <f>HYPERLINK("Объекты недвижимости, не соответствующие градостроительным нормам_00-022_Август/8fb81d90-3d41-4867-a699-dd1f023d5a63.jpg","open")</f>
        <v/>
      </c>
      <c r="C11123" t="inlineStr">
        <is>
          <t>1a55986c-2c3f-40c0-b3d1-014dce77832e</t>
        </is>
      </c>
      <c r="D11123" t="n">
        <v>55.76845</v>
      </c>
      <c r="E11123" t="n">
        <v>37.62766</v>
      </c>
      <c r="F11123" t="inlineStr"/>
      <c r="G11123" t="inlineStr"/>
      <c r="H11123" t="inlineStr"/>
    </row>
    <row r="11124">
      <c r="A11124" t="inlineStr">
        <is>
          <t>7cb5762e-9403-4b32-add7-4109796b1c58.jpg</t>
        </is>
      </c>
      <c r="B11124">
        <f>HYPERLINK("Объекты недвижимости, не соответствующие градостроительным нормам_00-022_Август/7cb5762e-9403-4b32-add7-4109796b1c58.jpg","open")</f>
        <v/>
      </c>
      <c r="C11124" t="inlineStr">
        <is>
          <t>ed2bf0f1-3a66-4913-896e-4420a9796c0b</t>
        </is>
      </c>
      <c r="D11124" t="n">
        <v>55.76845</v>
      </c>
      <c r="E11124" t="n">
        <v>37.62766</v>
      </c>
      <c r="F11124" t="inlineStr"/>
      <c r="G11124" t="inlineStr"/>
      <c r="H11124" t="inlineStr"/>
    </row>
    <row r="11125">
      <c r="A11125" t="inlineStr">
        <is>
          <t>b42d45be-6ff3-4374-b938-4e5693aa2400.jpg</t>
        </is>
      </c>
      <c r="B11125">
        <f>HYPERLINK("Объекты недвижимости, не соответствующие градостроительным нормам_00-022_Август/b42d45be-6ff3-4374-b938-4e5693aa2400.jpg","open")</f>
        <v/>
      </c>
      <c r="C11125" t="inlineStr">
        <is>
          <t>f20fbc2b-b369-4734-bb66-92af02fbb0d1</t>
        </is>
      </c>
      <c r="D11125" t="n">
        <v>55.68117</v>
      </c>
      <c r="E11125" t="n">
        <v>37.73518</v>
      </c>
      <c r="F11125" t="inlineStr"/>
      <c r="G11125" t="inlineStr"/>
      <c r="H11125" t="inlineStr"/>
    </row>
    <row r="11126">
      <c r="A11126" t="inlineStr">
        <is>
          <t>699dac86-130f-4a94-b273-d7c276ae6312.jpg</t>
        </is>
      </c>
      <c r="B11126">
        <f>HYPERLINK("Объекты недвижимости, не соответствующие градостроительным нормам_00-022_Август/699dac86-130f-4a94-b273-d7c276ae6312.jpg","open")</f>
        <v/>
      </c>
      <c r="C11126" t="inlineStr">
        <is>
          <t>ffd931da-542f-43e9-979f-5552b17fe3dc</t>
        </is>
      </c>
      <c r="D11126" t="n">
        <v>55.84554</v>
      </c>
      <c r="E11126" t="n">
        <v>37.6395</v>
      </c>
      <c r="F11126" t="inlineStr"/>
      <c r="G11126" t="inlineStr"/>
      <c r="H11126" t="inlineStr"/>
    </row>
    <row r="11127">
      <c r="A11127" t="inlineStr">
        <is>
          <t>4c0b9aef-22e4-498e-b559-08dabca4e051.jpg</t>
        </is>
      </c>
      <c r="B11127">
        <f>HYPERLINK("Объекты недвижимости, не соответствующие градостроительным нормам_00-022_Август/4c0b9aef-22e4-498e-b559-08dabca4e051.jpg","open")</f>
        <v/>
      </c>
      <c r="C11127" t="inlineStr">
        <is>
          <t>31a713a9-b910-424b-b847-e0eaa2f70c70</t>
        </is>
      </c>
      <c r="D11127" t="n">
        <v>55.85374</v>
      </c>
      <c r="E11127" t="n">
        <v>37.52137</v>
      </c>
      <c r="F11127" t="inlineStr"/>
      <c r="G11127" t="inlineStr"/>
      <c r="H11127" t="inlineStr"/>
    </row>
    <row r="11128">
      <c r="A11128" t="inlineStr">
        <is>
          <t>f242638a-f0e6-456b-88d4-ea3ed8b57d97.jpg</t>
        </is>
      </c>
      <c r="B11128">
        <f>HYPERLINK("Объекты недвижимости, не соответствующие градостроительным нормам_00-022_Август/f242638a-f0e6-456b-88d4-ea3ed8b57d97.jpg","open")</f>
        <v/>
      </c>
      <c r="C11128" t="inlineStr">
        <is>
          <t>8cde1fd0-eca1-4510-86ab-3c743b65fdfc</t>
        </is>
      </c>
      <c r="D11128" t="n">
        <v>55.89338</v>
      </c>
      <c r="E11128" t="n">
        <v>37.68501</v>
      </c>
      <c r="F11128" t="inlineStr"/>
      <c r="G11128" t="inlineStr"/>
      <c r="H11128" t="inlineStr"/>
    </row>
    <row r="11129">
      <c r="A11129" t="inlineStr">
        <is>
          <t>9389f3b8-a488-4b2b-adea-f60483708001.jpg</t>
        </is>
      </c>
      <c r="B11129">
        <f>HYPERLINK("Объекты недвижимости, не соответствующие градостроительным нормам_00-022_Август/9389f3b8-a488-4b2b-adea-f60483708001.jpg","open")</f>
        <v/>
      </c>
      <c r="C11129" t="inlineStr">
        <is>
          <t>b0429a31-0c70-4b9f-8ea5-73929d82f89e</t>
        </is>
      </c>
      <c r="D11129" t="n">
        <v>55.66245</v>
      </c>
      <c r="E11129" t="n">
        <v>37.61541</v>
      </c>
      <c r="F11129" t="inlineStr"/>
      <c r="G11129" t="inlineStr"/>
      <c r="H11129" t="inlineStr"/>
    </row>
    <row r="11130">
      <c r="A11130" t="inlineStr">
        <is>
          <t>ee46d799-659a-4c00-b75e-2ec594d3c1a9.jpg</t>
        </is>
      </c>
      <c r="B11130">
        <f>HYPERLINK("Объекты недвижимости, не соответствующие градостроительным нормам_00-022_Август/ee46d799-659a-4c00-b75e-2ec594d3c1a9.jpg","open")</f>
        <v/>
      </c>
      <c r="C11130" t="inlineStr">
        <is>
          <t>685d9054-b74f-49ab-857b-109fd2cec80d</t>
        </is>
      </c>
      <c r="D11130" t="n">
        <v>55.72175</v>
      </c>
      <c r="E11130" t="n">
        <v>37.70518</v>
      </c>
      <c r="F11130" t="inlineStr"/>
      <c r="G11130" t="inlineStr"/>
      <c r="H11130" t="inlineStr"/>
    </row>
    <row r="11131">
      <c r="A11131" t="inlineStr">
        <is>
          <t>b6bcb0c1-65cf-42f6-889f-1d9e7b87f317.jpg</t>
        </is>
      </c>
      <c r="B11131">
        <f>HYPERLINK("Объекты недвижимости, не соответствующие градостроительным нормам_00-022_Август/b6bcb0c1-65cf-42f6-889f-1d9e7b87f317.jpg","open")</f>
        <v/>
      </c>
      <c r="C11131" t="inlineStr">
        <is>
          <t>5e5b9944-4f9e-4223-bf96-0bc0c8a93dfa</t>
        </is>
      </c>
      <c r="D11131" t="n">
        <v>55.70086</v>
      </c>
      <c r="E11131" t="n">
        <v>37.46337</v>
      </c>
      <c r="F11131" t="inlineStr"/>
      <c r="G11131" t="inlineStr"/>
      <c r="H11131" t="inlineStr"/>
    </row>
    <row r="11132">
      <c r="A11132" t="inlineStr">
        <is>
          <t>8ed44d16-2cb0-40c8-afd5-143b204c3dd7.jpg</t>
        </is>
      </c>
      <c r="B11132">
        <f>HYPERLINK("Объекты недвижимости, не соответствующие градостроительным нормам_00-022_Август/8ed44d16-2cb0-40c8-afd5-143b204c3dd7.jpg","open")</f>
        <v/>
      </c>
      <c r="C11132" t="inlineStr">
        <is>
          <t>12e795ad-2aa7-49de-b2da-2c6aa35a4559</t>
        </is>
      </c>
      <c r="D11132" t="n">
        <v>55.68096</v>
      </c>
      <c r="E11132" t="n">
        <v>37.73817</v>
      </c>
      <c r="F11132" t="inlineStr"/>
      <c r="G11132" t="inlineStr"/>
      <c r="H11132" t="inlineStr"/>
    </row>
    <row r="11133">
      <c r="A11133" t="inlineStr">
        <is>
          <t>3b97b230-a741-49b1-b4e5-e304794d1373.jpg</t>
        </is>
      </c>
      <c r="B11133">
        <f>HYPERLINK("Объекты недвижимости, не соответствующие градостроительным нормам_00-022_Август/3b97b230-a741-49b1-b4e5-e304794d1373.jpg","open")</f>
        <v/>
      </c>
      <c r="C11133" t="inlineStr">
        <is>
          <t>93848fc8-17e7-4748-9ebc-c7e379e11d2f</t>
        </is>
      </c>
      <c r="D11133" t="n">
        <v>55.68842</v>
      </c>
      <c r="E11133" t="n">
        <v>37.57372</v>
      </c>
      <c r="F11133" t="inlineStr"/>
      <c r="G11133" t="inlineStr"/>
      <c r="H11133" t="inlineStr"/>
    </row>
    <row r="11134">
      <c r="A11134" t="inlineStr">
        <is>
          <t>a7fd9f47-a699-4a4e-8379-7325d96a6456.jpg</t>
        </is>
      </c>
      <c r="B11134">
        <f>HYPERLINK("Объекты недвижимости, не соответствующие градостроительным нормам_00-022_Август/a7fd9f47-a699-4a4e-8379-7325d96a6456.jpg","open")</f>
        <v/>
      </c>
      <c r="C11134" t="inlineStr">
        <is>
          <t>030e8755-17c1-44eb-9530-707d0d3121cb</t>
        </is>
      </c>
      <c r="D11134" t="n">
        <v>55.60459</v>
      </c>
      <c r="E11134" t="n">
        <v>37.70969</v>
      </c>
      <c r="F11134" t="inlineStr"/>
      <c r="G11134" t="inlineStr"/>
      <c r="H11134" t="inlineStr"/>
    </row>
    <row r="11135">
      <c r="A11135" t="inlineStr">
        <is>
          <t>b8ea7265-33e6-4386-8966-5dd8b91a1e26.jpg</t>
        </is>
      </c>
      <c r="B11135">
        <f>HYPERLINK("Объекты недвижимости, не соответствующие градостроительным нормам_00-022_Август/b8ea7265-33e6-4386-8966-5dd8b91a1e26.jpg","open")</f>
        <v/>
      </c>
      <c r="C11135" t="inlineStr">
        <is>
          <t>ed2bf0f1-3a66-4913-896e-4420a9796c0b</t>
        </is>
      </c>
      <c r="D11135" t="n">
        <v>55.68822</v>
      </c>
      <c r="E11135" t="n">
        <v>37.57383</v>
      </c>
      <c r="F11135" t="inlineStr"/>
      <c r="G11135" t="inlineStr"/>
      <c r="H11135" t="inlineStr"/>
    </row>
    <row r="11136">
      <c r="A11136" t="inlineStr">
        <is>
          <t>142f1cc2-bd59-4f41-9e95-fb1001b41931.jpg</t>
        </is>
      </c>
      <c r="B11136">
        <f>HYPERLINK("Объекты недвижимости, не соответствующие градостроительным нормам_00-022_Август/142f1cc2-bd59-4f41-9e95-fb1001b41931.jpg","open")</f>
        <v/>
      </c>
      <c r="C11136" t="inlineStr">
        <is>
          <t>1c951e11-4940-43c6-a447-394097e5609a</t>
        </is>
      </c>
      <c r="D11136" t="n">
        <v>55.79313</v>
      </c>
      <c r="E11136" t="n">
        <v>37.57704</v>
      </c>
      <c r="F11136" t="inlineStr"/>
      <c r="G11136" t="inlineStr"/>
      <c r="H11136" t="inlineStr"/>
    </row>
    <row r="11137">
      <c r="A11137" t="inlineStr">
        <is>
          <t>8187f2d3-cbe1-4acc-b3d6-e6e619842143.jpg</t>
        </is>
      </c>
      <c r="B11137">
        <f>HYPERLINK("Объекты недвижимости, не соответствующие градостроительным нормам_00-022_Август/8187f2d3-cbe1-4acc-b3d6-e6e619842143.jpg","open")</f>
        <v/>
      </c>
      <c r="C11137" t="inlineStr">
        <is>
          <t>8cde1fd0-eca1-4510-86ab-3c743b65fdfc</t>
        </is>
      </c>
      <c r="D11137" t="n">
        <v>55.79309</v>
      </c>
      <c r="E11137" t="n">
        <v>37.57705</v>
      </c>
      <c r="F11137" t="inlineStr"/>
      <c r="G11137" t="inlineStr"/>
      <c r="H11137" t="inlineStr"/>
    </row>
    <row r="11138">
      <c r="A11138" t="inlineStr">
        <is>
          <t>d4350ef9-4b35-4801-a0de-b8087528a8bf.jpg</t>
        </is>
      </c>
      <c r="B11138">
        <f>HYPERLINK("Объекты недвижимости, не соответствующие градостроительным нормам_00-022_Август/d4350ef9-4b35-4801-a0de-b8087528a8bf.jpg","open")</f>
        <v/>
      </c>
      <c r="C11138" t="inlineStr">
        <is>
          <t>31a713a9-b910-424b-b847-e0eaa2f70c70</t>
        </is>
      </c>
      <c r="D11138" t="n">
        <v>55.8599</v>
      </c>
      <c r="E11138" t="n">
        <v>37.49997</v>
      </c>
      <c r="F11138" t="inlineStr"/>
      <c r="G11138" t="inlineStr"/>
      <c r="H11138" t="inlineStr"/>
    </row>
    <row r="11139">
      <c r="A11139" t="inlineStr">
        <is>
          <t>72b71545-f39a-4c81-9d8a-9069138eb02b.jpg</t>
        </is>
      </c>
      <c r="B11139">
        <f>HYPERLINK("Объекты недвижимости, не соответствующие градостроительным нормам_00-022_Август/72b71545-f39a-4c81-9d8a-9069138eb02b.jpg","open")</f>
        <v/>
      </c>
      <c r="C11139" t="inlineStr">
        <is>
          <t>99f3abba-c55b-49f0-9de5-9f88e9597cc0</t>
        </is>
      </c>
      <c r="D11139" t="n">
        <v>55.65096</v>
      </c>
      <c r="E11139" t="n">
        <v>37.61131</v>
      </c>
      <c r="F11139" t="inlineStr"/>
      <c r="G11139" t="inlineStr"/>
      <c r="H11139" t="inlineStr"/>
    </row>
    <row r="11140">
      <c r="A11140" t="inlineStr">
        <is>
          <t>d6ec88b9-f25e-495e-95ef-ea53d2444668.jpg</t>
        </is>
      </c>
      <c r="B11140">
        <f>HYPERLINK("Объекты недвижимости, не соответствующие градостроительным нормам_00-022_Август/d6ec88b9-f25e-495e-95ef-ea53d2444668.jpg","open")</f>
        <v/>
      </c>
      <c r="C11140" t="inlineStr">
        <is>
          <t>ed2bf0f1-3a66-4913-896e-4420a9796c0b</t>
        </is>
      </c>
      <c r="D11140" t="n">
        <v>55.62891</v>
      </c>
      <c r="E11140" t="n">
        <v>37.51626</v>
      </c>
      <c r="F11140" t="inlineStr"/>
      <c r="G11140" t="inlineStr"/>
      <c r="H11140" t="inlineStr"/>
    </row>
    <row r="11141">
      <c r="A11141" t="inlineStr">
        <is>
          <t>67d1db0e-e31b-4e27-b109-492dafdc17bf.jpg</t>
        </is>
      </c>
      <c r="B11141">
        <f>HYPERLINK("Объекты недвижимости, не соответствующие градостроительным нормам_00-022_Август/67d1db0e-e31b-4e27-b109-492dafdc17bf.jpg","open")</f>
        <v/>
      </c>
      <c r="C11141" t="inlineStr">
        <is>
          <t>f6f80c84-5569-48fd-b627-6f41ce4c61c4</t>
        </is>
      </c>
      <c r="D11141" t="n">
        <v>55.64154</v>
      </c>
      <c r="E11141" t="n">
        <v>36.73352</v>
      </c>
      <c r="F11141" t="inlineStr"/>
      <c r="G11141" t="inlineStr"/>
      <c r="H11141" t="inlineStr"/>
    </row>
    <row r="11142">
      <c r="A11142" t="inlineStr">
        <is>
          <t>fe96e785-e1f8-46ae-8a4f-4975e5337775.jpg</t>
        </is>
      </c>
      <c r="B11142">
        <f>HYPERLINK("Объекты недвижимости, не соответствующие градостроительным нормам_00-022_Август/fe96e785-e1f8-46ae-8a4f-4975e5337775.jpg","open")</f>
        <v/>
      </c>
      <c r="C11142" t="inlineStr">
        <is>
          <t>50e4626c-a80e-42ab-b999-b5092c2c063f</t>
        </is>
      </c>
      <c r="D11142" t="n">
        <v>55.68598</v>
      </c>
      <c r="E11142" t="n">
        <v>37.42233</v>
      </c>
      <c r="F11142" t="inlineStr"/>
      <c r="G11142" t="inlineStr"/>
      <c r="H11142" t="inlineStr"/>
    </row>
    <row r="11143">
      <c r="A11143" t="inlineStr">
        <is>
          <t>f13cd645-8e5d-403a-8939-fdbfbe2430aa.jpg</t>
        </is>
      </c>
      <c r="B11143">
        <f>HYPERLINK("Объекты недвижимости, не соответствующие градостроительным нормам_00-022_Август/f13cd645-8e5d-403a-8939-fdbfbe2430aa.jpg","open")</f>
        <v/>
      </c>
      <c r="C11143" t="inlineStr">
        <is>
          <t>b0429a31-0c70-4b9f-8ea5-73929d82f89e</t>
        </is>
      </c>
      <c r="D11143" t="n">
        <v>55.65118</v>
      </c>
      <c r="E11143" t="n">
        <v>37.61911</v>
      </c>
      <c r="F11143" t="inlineStr"/>
      <c r="G11143" t="inlineStr"/>
      <c r="H11143" t="inlineStr"/>
    </row>
    <row r="11144">
      <c r="A11144" t="inlineStr">
        <is>
          <t>dd89bf95-0076-470a-94f3-a5759e588d01.jpg</t>
        </is>
      </c>
      <c r="B11144">
        <f>HYPERLINK("Объекты недвижимости, не соответствующие градостроительным нормам_00-022_Август/dd89bf95-0076-470a-94f3-a5759e588d01.jpg","open")</f>
        <v/>
      </c>
      <c r="C11144" t="inlineStr">
        <is>
          <t>9f88688f-4c81-42a8-b76a-3c3e7edf869e</t>
        </is>
      </c>
      <c r="D11144" t="n">
        <v>55.78236</v>
      </c>
      <c r="E11144" t="n">
        <v>37.67068</v>
      </c>
      <c r="F11144" t="inlineStr"/>
      <c r="G11144" t="inlineStr"/>
      <c r="H11144" t="inlineStr"/>
    </row>
    <row r="11145">
      <c r="A11145" t="inlineStr">
        <is>
          <t>6581217b-5607-4a56-b852-cfa7fe3fd006.jpg</t>
        </is>
      </c>
      <c r="B11145">
        <f>HYPERLINK("Объекты недвижимости, не соответствующие градостроительным нормам_00-022_Август/6581217b-5607-4a56-b852-cfa7fe3fd006.jpg","open")</f>
        <v/>
      </c>
      <c r="C11145" t="inlineStr">
        <is>
          <t>9f88688f-4c81-42a8-b76a-3c3e7edf869e</t>
        </is>
      </c>
      <c r="D11145" t="n">
        <v>55.78236</v>
      </c>
      <c r="E11145" t="n">
        <v>37.67068</v>
      </c>
      <c r="F11145" t="inlineStr"/>
      <c r="G11145" t="inlineStr"/>
      <c r="H11145" t="inlineStr"/>
    </row>
    <row r="11146">
      <c r="A11146" t="inlineStr">
        <is>
          <t>c58f4b37-8542-40ee-be48-c8f596481bc7.jpg</t>
        </is>
      </c>
      <c r="B11146">
        <f>HYPERLINK("Объекты недвижимости, не соответствующие градостроительным нормам_00-022_Август/c58f4b37-8542-40ee-be48-c8f596481bc7.jpg","open")</f>
        <v/>
      </c>
      <c r="C11146" t="inlineStr">
        <is>
          <t>8cde1fd0-eca1-4510-86ab-3c743b65fdfc</t>
        </is>
      </c>
      <c r="D11146" t="n">
        <v>55.78584</v>
      </c>
      <c r="E11146" t="n">
        <v>37.58612</v>
      </c>
      <c r="F11146" t="inlineStr"/>
      <c r="G11146" t="inlineStr"/>
      <c r="H11146" t="inlineStr"/>
    </row>
    <row r="11147">
      <c r="A11147" t="inlineStr">
        <is>
          <t>2c23c601-74b8-4920-9218-b5392954e000.jpg</t>
        </is>
      </c>
      <c r="B11147">
        <f>HYPERLINK("Объекты недвижимости, не соответствующие градостроительным нормам_00-022_Август/2c23c601-74b8-4920-9218-b5392954e000.jpg","open")</f>
        <v/>
      </c>
      <c r="C11147" t="inlineStr">
        <is>
          <t>31a713a9-b910-424b-b847-e0eaa2f70c70</t>
        </is>
      </c>
      <c r="D11147" t="n">
        <v>55.97711</v>
      </c>
      <c r="E11147" t="n">
        <v>37.42971</v>
      </c>
      <c r="F11147" t="inlineStr"/>
      <c r="G11147" t="inlineStr"/>
      <c r="H11147" t="inlineStr"/>
    </row>
    <row r="11148">
      <c r="A11148" t="inlineStr">
        <is>
          <t>21360eec-5216-4b14-9eab-3cea88998b1e.jpg</t>
        </is>
      </c>
      <c r="B11148">
        <f>HYPERLINK("Объекты недвижимости, не соответствующие градостроительным нормам_00-022_Август/21360eec-5216-4b14-9eab-3cea88998b1e.jpg","open")</f>
        <v/>
      </c>
      <c r="C11148" t="inlineStr">
        <is>
          <t>b0429a31-0c70-4b9f-8ea5-73929d82f89e</t>
        </is>
      </c>
      <c r="D11148" t="n">
        <v>55.65148</v>
      </c>
      <c r="E11148" t="n">
        <v>37.61917</v>
      </c>
      <c r="F11148" t="inlineStr"/>
      <c r="G11148" t="inlineStr"/>
      <c r="H11148" t="inlineStr"/>
    </row>
    <row r="11149">
      <c r="A11149" t="inlineStr">
        <is>
          <t>a3cd8feb-6242-4afe-beae-f63e6d07d45c.jpg</t>
        </is>
      </c>
      <c r="B11149">
        <f>HYPERLINK("Объекты недвижимости, не соответствующие градостроительным нормам_00-022_Август/a3cd8feb-6242-4afe-beae-f63e6d07d45c.jpg","open")</f>
        <v/>
      </c>
      <c r="C11149" t="inlineStr">
        <is>
          <t>b0429a31-0c70-4b9f-8ea5-73929d82f89e</t>
        </is>
      </c>
      <c r="D11149" t="n">
        <v>55.64944</v>
      </c>
      <c r="E11149" t="n">
        <v>37.61712</v>
      </c>
      <c r="F11149" t="inlineStr"/>
      <c r="G11149" t="inlineStr"/>
      <c r="H11149" t="inlineStr"/>
    </row>
    <row r="11150">
      <c r="A11150" t="inlineStr">
        <is>
          <t>589fa8cc-59d4-4f40-9956-58d42b7a8da6.jpg</t>
        </is>
      </c>
      <c r="B11150">
        <f>HYPERLINK("Объекты недвижимости, не соответствующие градостроительным нормам_00-022_Август/589fa8cc-59d4-4f40-9956-58d42b7a8da6.jpg","open")</f>
        <v/>
      </c>
      <c r="C11150" t="inlineStr">
        <is>
          <t>f20fbc2b-b369-4734-bb66-92af02fbb0d1</t>
        </is>
      </c>
      <c r="D11150" t="n">
        <v>55.68009</v>
      </c>
      <c r="E11150" t="n">
        <v>37.72462</v>
      </c>
      <c r="F11150" t="inlineStr"/>
      <c r="G11150" t="inlineStr"/>
      <c r="H11150" t="inlineStr"/>
    </row>
    <row r="11151">
      <c r="A11151" t="inlineStr">
        <is>
          <t>bf1e3150-6982-4e15-8287-c029c9dfcbb5.jpg</t>
        </is>
      </c>
      <c r="B11151">
        <f>HYPERLINK("Объекты недвижимости, не соответствующие градостроительным нормам_00-022_Август/bf1e3150-6982-4e15-8287-c029c9dfcbb5.jpg","open")</f>
        <v/>
      </c>
      <c r="C11151" t="inlineStr">
        <is>
          <t>f20fbc2b-b369-4734-bb66-92af02fbb0d1</t>
        </is>
      </c>
      <c r="D11151" t="n">
        <v>55.68009</v>
      </c>
      <c r="E11151" t="n">
        <v>37.72462</v>
      </c>
      <c r="F11151" t="inlineStr"/>
      <c r="G11151" t="inlineStr"/>
      <c r="H11151" t="inlineStr"/>
    </row>
    <row r="11152">
      <c r="A11152" t="inlineStr">
        <is>
          <t>2878f5ed-8bd6-44c3-8985-ec51f14ea954.jpg</t>
        </is>
      </c>
      <c r="B11152">
        <f>HYPERLINK("Объекты недвижимости, не соответствующие градостроительным нормам_00-022_Август/2878f5ed-8bd6-44c3-8985-ec51f14ea954.jpg","open")</f>
        <v/>
      </c>
      <c r="C11152" t="inlineStr">
        <is>
          <t>55da50d9-6d31-4c29-a85b-6a228578c6de</t>
        </is>
      </c>
      <c r="D11152" t="n">
        <v>55.68171</v>
      </c>
      <c r="E11152" t="n">
        <v>37.73282</v>
      </c>
      <c r="F11152" t="inlineStr"/>
      <c r="G11152" t="inlineStr"/>
      <c r="H11152" t="inlineStr"/>
    </row>
    <row r="11153">
      <c r="A11153" t="inlineStr">
        <is>
          <t>eb8786a6-da23-41db-85cb-2c5b5edfeb66.jpg</t>
        </is>
      </c>
      <c r="B11153">
        <f>HYPERLINK("Объекты недвижимости, не соответствующие градостроительным нормам_00-022_Август/eb8786a6-da23-41db-85cb-2c5b5edfeb66.jpg","open")</f>
        <v/>
      </c>
      <c r="C11153" t="inlineStr">
        <is>
          <t>ad64e6b9-1ed5-44d7-a101-4945a1f9dec6</t>
        </is>
      </c>
      <c r="D11153" t="n">
        <v>55.54118</v>
      </c>
      <c r="E11153" t="n">
        <v>37.5059</v>
      </c>
      <c r="F11153" t="inlineStr"/>
      <c r="G11153" t="inlineStr"/>
      <c r="H11153" t="inlineStr"/>
    </row>
    <row r="11154">
      <c r="A11154" t="inlineStr">
        <is>
          <t>e6e30a51-0562-48e9-b420-380bb0eee347.jpg</t>
        </is>
      </c>
      <c r="B11154">
        <f>HYPERLINK("Объекты недвижимости, не соответствующие градостроительным нормам_00-022_Август/e6e30a51-0562-48e9-b420-380bb0eee347.jpg","open")</f>
        <v/>
      </c>
      <c r="C11154" t="inlineStr">
        <is>
          <t>8b2675e2-7f40-47a9-a462-7c9feecd299c</t>
        </is>
      </c>
      <c r="D11154" t="n">
        <v>55.68157</v>
      </c>
      <c r="E11154" t="n">
        <v>37.73502</v>
      </c>
      <c r="F11154" t="inlineStr"/>
      <c r="G11154" t="inlineStr"/>
      <c r="H11154" t="inlineStr"/>
    </row>
    <row r="11155">
      <c r="A11155" t="inlineStr">
        <is>
          <t>81bc8556-67a0-4c06-86ef-da7ccbcda5f6.jpg</t>
        </is>
      </c>
      <c r="B11155">
        <f>HYPERLINK("Объекты недвижимости, не соответствующие градостроительным нормам_00-022_Август/81bc8556-67a0-4c06-86ef-da7ccbcda5f6.jpg","open")</f>
        <v/>
      </c>
      <c r="C11155" t="inlineStr">
        <is>
          <t>55da50d9-6d31-4c29-a85b-6a228578c6de</t>
        </is>
      </c>
      <c r="D11155" t="n">
        <v>55.68151</v>
      </c>
      <c r="E11155" t="n">
        <v>37.73508</v>
      </c>
      <c r="F11155" t="inlineStr"/>
      <c r="G11155" t="inlineStr"/>
      <c r="H11155" t="inlineStr"/>
    </row>
    <row r="11156">
      <c r="A11156" t="inlineStr">
        <is>
          <t>27a6a7d9-f188-44d0-992c-a2173556ccc3.jpg</t>
        </is>
      </c>
      <c r="B11156">
        <f>HYPERLINK("Объекты недвижимости, не соответствующие градостроительным нормам_00-022_Август/27a6a7d9-f188-44d0-992c-a2173556ccc3.jpg","open")</f>
        <v/>
      </c>
      <c r="C11156" t="inlineStr">
        <is>
          <t>8996eb30-6497-4318-8a0e-b95314b8172e</t>
        </is>
      </c>
      <c r="D11156" t="n">
        <v>55.84127</v>
      </c>
      <c r="E11156" t="n">
        <v>37.37218</v>
      </c>
      <c r="F11156" t="inlineStr"/>
      <c r="G11156" t="inlineStr"/>
      <c r="H11156" t="inlineStr"/>
    </row>
    <row r="11157">
      <c r="A11157" t="inlineStr">
        <is>
          <t>1acb94f8-d318-4f56-a7f7-a7c839306f24.jpg</t>
        </is>
      </c>
      <c r="B11157">
        <f>HYPERLINK("Объекты недвижимости, не соответствующие градостроительным нормам_00-022_Август/1acb94f8-d318-4f56-a7f7-a7c839306f24.jpg","open")</f>
        <v/>
      </c>
      <c r="C11157" t="inlineStr">
        <is>
          <t>8cde1fd0-eca1-4510-86ab-3c743b65fdfc</t>
        </is>
      </c>
      <c r="D11157" t="n">
        <v>55.78046</v>
      </c>
      <c r="E11157" t="n">
        <v>37.54608</v>
      </c>
      <c r="F11157" t="inlineStr"/>
      <c r="G11157" t="inlineStr"/>
      <c r="H11157" t="inlineStr"/>
    </row>
    <row r="11158">
      <c r="A11158" t="inlineStr">
        <is>
          <t>2ae494fd-86d4-4430-b22d-c3e6608e0a6b.jpg</t>
        </is>
      </c>
      <c r="B11158">
        <f>HYPERLINK("Объекты недвижимости, не соответствующие градостроительным нормам_00-022_Август/2ae494fd-86d4-4430-b22d-c3e6608e0a6b.jpg","open")</f>
        <v/>
      </c>
      <c r="C11158" t="inlineStr">
        <is>
          <t>1231bbc5-e64c-4dc7-9acc-77710f47607a</t>
        </is>
      </c>
      <c r="D11158" t="n">
        <v>55.65739</v>
      </c>
      <c r="E11158" t="n">
        <v>37.5661</v>
      </c>
      <c r="F11158" t="inlineStr"/>
      <c r="G11158" t="inlineStr"/>
      <c r="H11158" t="inlineStr"/>
    </row>
    <row r="11159">
      <c r="A11159" t="inlineStr">
        <is>
          <t>e15552e0-4952-4a89-80e1-35d995ac1f84.jpg</t>
        </is>
      </c>
      <c r="B11159">
        <f>HYPERLINK("Объекты недвижимости, не соответствующие градостроительным нормам_00-022_Август/e15552e0-4952-4a89-80e1-35d995ac1f84.jpg","open")</f>
        <v/>
      </c>
      <c r="C11159" t="inlineStr">
        <is>
          <t>31a713a9-b910-424b-b847-e0eaa2f70c70</t>
        </is>
      </c>
      <c r="D11159" t="n">
        <v>55.97052</v>
      </c>
      <c r="E11159" t="n">
        <v>37.39993</v>
      </c>
      <c r="F11159" t="inlineStr"/>
      <c r="G11159" t="inlineStr"/>
      <c r="H11159" t="inlineStr"/>
    </row>
    <row r="11160">
      <c r="A11160" t="inlineStr">
        <is>
          <t>8c4be4c4-8f8f-44c2-8e81-dcb657ad1774.jpg</t>
        </is>
      </c>
      <c r="B11160">
        <f>HYPERLINK("Объекты недвижимости, не соответствующие градостроительным нормам_00-022_Август/8c4be4c4-8f8f-44c2-8e81-dcb657ad1774.jpg","open")</f>
        <v/>
      </c>
      <c r="C11160" t="inlineStr">
        <is>
          <t>1c951e11-4940-43c6-a447-394097e5609a</t>
        </is>
      </c>
      <c r="D11160" t="n">
        <v>55.77509</v>
      </c>
      <c r="E11160" t="n">
        <v>37.55799</v>
      </c>
      <c r="F11160" t="inlineStr"/>
      <c r="G11160" t="inlineStr"/>
      <c r="H11160" t="inlineStr"/>
    </row>
    <row r="11161">
      <c r="A11161" t="inlineStr">
        <is>
          <t>fc578dad-cabf-4463-837a-da5acc930fba.jpg</t>
        </is>
      </c>
      <c r="B11161">
        <f>HYPERLINK("Объекты недвижимости, не соответствующие градостроительным нормам_00-022_Август/fc578dad-cabf-4463-837a-da5acc930fba.jpg","open")</f>
        <v/>
      </c>
      <c r="C11161" t="inlineStr">
        <is>
          <t>12e795ad-2aa7-49de-b2da-2c6aa35a4559</t>
        </is>
      </c>
      <c r="D11161" t="n">
        <v>55.54363</v>
      </c>
      <c r="E11161" t="n">
        <v>37.512</v>
      </c>
      <c r="F11161" t="inlineStr"/>
      <c r="G11161" t="inlineStr"/>
      <c r="H11161" t="inlineStr"/>
    </row>
    <row r="11162">
      <c r="A11162" t="inlineStr">
        <is>
          <t>8b585ee4-7a7e-444a-9f5a-1c58b84c28a5.jpg</t>
        </is>
      </c>
      <c r="B11162">
        <f>HYPERLINK("Объекты недвижимости, не соответствующие градостроительным нормам_00-022_Август/8b585ee4-7a7e-444a-9f5a-1c58b84c28a5.jpg","open")</f>
        <v/>
      </c>
      <c r="C11162" t="inlineStr">
        <is>
          <t>2acfb2da-e3f6-464c-bd17-4b713522c142</t>
        </is>
      </c>
      <c r="D11162" t="n">
        <v>55.80891</v>
      </c>
      <c r="E11162" t="n">
        <v>37.65107</v>
      </c>
      <c r="F11162" t="inlineStr"/>
      <c r="G11162" t="inlineStr"/>
      <c r="H11162" t="inlineStr"/>
    </row>
    <row r="11163">
      <c r="A11163" t="inlineStr">
        <is>
          <t>1ad05206-ffc2-49e9-a731-687705861464.jpg</t>
        </is>
      </c>
      <c r="B11163">
        <f>HYPERLINK("Объекты недвижимости, не соответствующие градостроительным нормам_00-022_Август/1ad05206-ffc2-49e9-a731-687705861464.jpg","open")</f>
        <v/>
      </c>
      <c r="C11163" t="inlineStr">
        <is>
          <t>dd22c7c9-0046-46d8-8631-55150dbf8ae5</t>
        </is>
      </c>
      <c r="D11163" t="n">
        <v>55.88403</v>
      </c>
      <c r="E11163" t="n">
        <v>38.33145</v>
      </c>
      <c r="F11163" t="inlineStr"/>
      <c r="G11163" t="inlineStr"/>
      <c r="H11163" t="inlineStr"/>
    </row>
    <row r="11164">
      <c r="A11164" t="inlineStr">
        <is>
          <t>aff142da-42d5-4383-bbf0-e94344d0d1fa.jpg</t>
        </is>
      </c>
      <c r="B11164">
        <f>HYPERLINK("Объекты недвижимости, не соответствующие градостроительным нормам_00-022_Август/aff142da-42d5-4383-bbf0-e94344d0d1fa.jpg","open")</f>
        <v/>
      </c>
      <c r="C11164" t="inlineStr">
        <is>
          <t>50e4626c-a80e-42ab-b999-b5092c2c063f</t>
        </is>
      </c>
      <c r="D11164" t="n">
        <v>55.68598</v>
      </c>
      <c r="E11164" t="n">
        <v>37.42233</v>
      </c>
      <c r="F11164" t="inlineStr"/>
      <c r="G11164" t="inlineStr"/>
      <c r="H11164" t="inlineStr"/>
    </row>
    <row r="11165">
      <c r="A11165" t="inlineStr">
        <is>
          <t>f269b99c-c72c-4a6a-bbf7-c34f2346dfba.jpg</t>
        </is>
      </c>
      <c r="B11165">
        <f>HYPERLINK("Объекты недвижимости, не соответствующие градостроительным нормам_00-022_Август/f269b99c-c72c-4a6a-bbf7-c34f2346dfba.jpg","open")</f>
        <v/>
      </c>
      <c r="C11165" t="inlineStr">
        <is>
          <t>fce890a6-27da-4062-a046-08262a160ee6</t>
        </is>
      </c>
      <c r="D11165" t="n">
        <v>55.78236</v>
      </c>
      <c r="E11165" t="n">
        <v>37.67068</v>
      </c>
      <c r="F11165" t="inlineStr"/>
      <c r="G11165" t="inlineStr"/>
      <c r="H11165" t="inlineStr"/>
    </row>
    <row r="11166">
      <c r="A11166" t="inlineStr">
        <is>
          <t>ef34cce8-3339-49dc-a040-40fc2ea9b513.jpg</t>
        </is>
      </c>
      <c r="B11166">
        <f>HYPERLINK("Объекты недвижимости, не соответствующие градостроительным нормам_00-022_Август/ef34cce8-3339-49dc-a040-40fc2ea9b513.jpg","open")</f>
        <v/>
      </c>
      <c r="C11166" t="inlineStr">
        <is>
          <t>fce890a6-27da-4062-a046-08262a160ee6</t>
        </is>
      </c>
      <c r="D11166" t="n">
        <v>55.78236</v>
      </c>
      <c r="E11166" t="n">
        <v>37.67068</v>
      </c>
      <c r="F11166" t="inlineStr"/>
      <c r="G11166" t="inlineStr"/>
      <c r="H11166" t="inlineStr"/>
    </row>
    <row r="11167">
      <c r="A11167" t="inlineStr">
        <is>
          <t>ce036e0d-e1be-490c-8b51-b0e857f99c54.jpg</t>
        </is>
      </c>
      <c r="B11167">
        <f>HYPERLINK("Объекты недвижимости, не соответствующие градостроительным нормам_00-022_Август/ce036e0d-e1be-490c-8b51-b0e857f99c54.jpg","open")</f>
        <v/>
      </c>
      <c r="C11167" t="inlineStr">
        <is>
          <t>50e4626c-a80e-42ab-b999-b5092c2c063f</t>
        </is>
      </c>
      <c r="D11167" t="n">
        <v>55.68598</v>
      </c>
      <c r="E11167" t="n">
        <v>37.42233</v>
      </c>
      <c r="F11167" t="inlineStr"/>
      <c r="G11167" t="inlineStr"/>
      <c r="H11167" t="inlineStr"/>
    </row>
    <row r="11168">
      <c r="A11168" t="inlineStr">
        <is>
          <t>68112b82-2338-457f-a685-00cfc9f2cd97.jpg</t>
        </is>
      </c>
      <c r="B11168">
        <f>HYPERLINK("Объекты недвижимости, не соответствующие градостроительным нормам_00-022_Август/68112b82-2338-457f-a685-00cfc9f2cd97.jpg","open")</f>
        <v/>
      </c>
      <c r="C11168" t="inlineStr">
        <is>
          <t>e26f5fc2-1353-4f29-85f3-87c56419161c</t>
        </is>
      </c>
      <c r="D11168" t="n">
        <v>55.79215</v>
      </c>
      <c r="E11168" t="n">
        <v>37.63644</v>
      </c>
      <c r="F11168" t="inlineStr"/>
      <c r="G11168" t="inlineStr"/>
      <c r="H11168" t="inlineStr"/>
    </row>
    <row r="11169">
      <c r="A11169" t="inlineStr">
        <is>
          <t>fd44bfa3-bf54-4e38-b434-2e8c3871395d.jpg</t>
        </is>
      </c>
      <c r="B11169">
        <f>HYPERLINK("Объекты недвижимости, не соответствующие градостроительным нормам_00-022_Август/fd44bfa3-bf54-4e38-b434-2e8c3871395d.jpg","open")</f>
        <v/>
      </c>
      <c r="C11169" t="inlineStr">
        <is>
          <t>fce890a6-27da-4062-a046-08262a160ee6</t>
        </is>
      </c>
      <c r="D11169" t="n">
        <v>55.78236</v>
      </c>
      <c r="E11169" t="n">
        <v>37.67068</v>
      </c>
      <c r="F11169" t="inlineStr"/>
      <c r="G11169" t="inlineStr"/>
      <c r="H11169" t="inlineStr"/>
    </row>
    <row r="11170">
      <c r="A11170" t="inlineStr">
        <is>
          <t>ea426449-4a10-4475-b64a-a8db6ee53376.jpg</t>
        </is>
      </c>
      <c r="B11170">
        <f>HYPERLINK("Объекты недвижимости, не соответствующие градостроительным нормам_00-022_Август/ea426449-4a10-4475-b64a-a8db6ee53376.jpg","open")</f>
        <v/>
      </c>
      <c r="C11170" t="inlineStr">
        <is>
          <t>2acfb2da-e3f6-464c-bd17-4b713522c142</t>
        </is>
      </c>
      <c r="D11170" t="n">
        <v>55.81059</v>
      </c>
      <c r="E11170" t="n">
        <v>37.65254</v>
      </c>
      <c r="F11170" t="inlineStr"/>
      <c r="G11170" t="inlineStr"/>
      <c r="H11170" t="inlineStr"/>
    </row>
    <row r="11171">
      <c r="A11171" t="inlineStr">
        <is>
          <t>d8d2e97d-7cb7-4bc2-a768-042c66ab21aa.jpg</t>
        </is>
      </c>
      <c r="B11171">
        <f>HYPERLINK("Объекты недвижимости, не соответствующие градостроительным нормам_00-022_Август/d8d2e97d-7cb7-4bc2-a768-042c66ab21aa.jpg","open")</f>
        <v/>
      </c>
      <c r="C11171" t="inlineStr">
        <is>
          <t>50e4626c-a80e-42ab-b999-b5092c2c063f</t>
        </is>
      </c>
      <c r="D11171" t="n">
        <v>55.68598</v>
      </c>
      <c r="E11171" t="n">
        <v>37.42233</v>
      </c>
      <c r="F11171" t="inlineStr"/>
      <c r="G11171" t="inlineStr"/>
      <c r="H11171" t="inlineStr"/>
    </row>
    <row r="11172">
      <c r="A11172" t="inlineStr">
        <is>
          <t>5082ed0a-1884-4167-bf6d-c215c64519da.jpg</t>
        </is>
      </c>
      <c r="B11172">
        <f>HYPERLINK("Объекты недвижимости, не соответствующие градостроительным нормам_00-022_Август/5082ed0a-1884-4167-bf6d-c215c64519da.jpg","open")</f>
        <v/>
      </c>
      <c r="C11172" t="inlineStr">
        <is>
          <t>b0b7ea82-53be-40d0-b992-e2fd18611d5c</t>
        </is>
      </c>
      <c r="D11172" t="n">
        <v>55.68409</v>
      </c>
      <c r="E11172" t="n">
        <v>37.71831</v>
      </c>
      <c r="F11172" t="inlineStr"/>
      <c r="G11172" t="inlineStr"/>
      <c r="H11172" t="inlineStr"/>
    </row>
    <row r="11173">
      <c r="A11173" t="inlineStr">
        <is>
          <t>50531e9c-6d19-4f30-90d0-e5b46322a818.jpg</t>
        </is>
      </c>
      <c r="B11173">
        <f>HYPERLINK("Объекты недвижимости, не соответствующие градостроительным нормам_00-022_Август/50531e9c-6d19-4f30-90d0-e5b46322a818.jpg","open")</f>
        <v/>
      </c>
      <c r="C11173" t="inlineStr">
        <is>
          <t>936502dd-24a4-4256-9fdf-0d8fb72af3ed</t>
        </is>
      </c>
      <c r="D11173" t="n">
        <v>55.60652</v>
      </c>
      <c r="E11173" t="n">
        <v>37.71875</v>
      </c>
      <c r="F11173" t="inlineStr"/>
      <c r="G11173" t="inlineStr"/>
      <c r="H11173" t="inlineStr"/>
    </row>
    <row r="11174">
      <c r="A11174" t="inlineStr">
        <is>
          <t>2f436aa6-eb3c-4db1-93f3-c178372f80a4.jpg</t>
        </is>
      </c>
      <c r="B11174">
        <f>HYPERLINK("Объекты недвижимости, не соответствующие градостроительным нормам_00-022_Август/2f436aa6-eb3c-4db1-93f3-c178372f80a4.jpg","open")</f>
        <v/>
      </c>
      <c r="C11174" t="inlineStr">
        <is>
          <t>93848fc8-17e7-4748-9ebc-c7e379e11d2f</t>
        </is>
      </c>
      <c r="D11174" t="n">
        <v>55.64515</v>
      </c>
      <c r="E11174" t="n">
        <v>37.50934</v>
      </c>
      <c r="F11174" t="inlineStr"/>
      <c r="G11174" t="inlineStr"/>
      <c r="H11174" t="inlineStr"/>
    </row>
    <row r="11175">
      <c r="A11175" t="inlineStr">
        <is>
          <t>18eac02f-1760-46e6-932b-203c266ee618.jpg</t>
        </is>
      </c>
      <c r="B11175">
        <f>HYPERLINK("Объекты недвижимости, не соответствующие градостроительным нормам_00-022_Август/18eac02f-1760-46e6-932b-203c266ee618.jpg","open")</f>
        <v/>
      </c>
      <c r="C11175" t="inlineStr">
        <is>
          <t>e85aff3b-73e8-4856-827e-477ccc0aea77</t>
        </is>
      </c>
      <c r="D11175" t="n">
        <v>55.86496</v>
      </c>
      <c r="E11175" t="n">
        <v>37.65849</v>
      </c>
      <c r="F11175" t="inlineStr"/>
      <c r="G11175" t="inlineStr"/>
      <c r="H11175" t="inlineStr"/>
    </row>
    <row r="11176">
      <c r="A11176" t="inlineStr">
        <is>
          <t>cc716de2-167d-4069-8fa6-e7840bba91c9.jpg</t>
        </is>
      </c>
      <c r="B11176">
        <f>HYPERLINK("Объекты недвижимости, не соответствующие градостроительным нормам_00-022_Август/cc716de2-167d-4069-8fa6-e7840bba91c9.jpg","open")</f>
        <v/>
      </c>
      <c r="C11176" t="inlineStr">
        <is>
          <t>56702d00-3d38-4721-8f83-3846a59c1e44</t>
        </is>
      </c>
      <c r="D11176" t="n">
        <v>55.96867</v>
      </c>
      <c r="E11176" t="n">
        <v>37.42822</v>
      </c>
      <c r="F11176" t="inlineStr"/>
      <c r="G11176" t="inlineStr"/>
      <c r="H11176" t="inlineStr"/>
    </row>
    <row r="11177">
      <c r="A11177" t="inlineStr">
        <is>
          <t>fe53beb8-30bc-461f-a575-8cf6d79e0569.jpg</t>
        </is>
      </c>
      <c r="B11177">
        <f>HYPERLINK("Объекты недвижимости, не соответствующие градостроительным нормам_00-022_Август/fe53beb8-30bc-461f-a575-8cf6d79e0569.jpg","open")</f>
        <v/>
      </c>
      <c r="C11177" t="inlineStr">
        <is>
          <t>af173c70-3716-4040-aa0b-1be99e78abe8</t>
        </is>
      </c>
      <c r="D11177" t="n">
        <v>55.88403</v>
      </c>
      <c r="E11177" t="n">
        <v>38.33145</v>
      </c>
      <c r="F11177" t="inlineStr"/>
      <c r="G11177" t="inlineStr"/>
      <c r="H11177" t="inlineStr"/>
    </row>
    <row r="11178">
      <c r="A11178" t="inlineStr">
        <is>
          <t>1a644503-9c1f-4289-933c-99b8afba31df.jpg</t>
        </is>
      </c>
      <c r="B11178">
        <f>HYPERLINK("Объекты недвижимости, не соответствующие градостроительным нормам_00-022_Август/1a644503-9c1f-4289-933c-99b8afba31df.jpg","open")</f>
        <v/>
      </c>
      <c r="C11178" t="inlineStr">
        <is>
          <t>dd22c7c9-0046-46d8-8631-55150dbf8ae5</t>
        </is>
      </c>
      <c r="D11178" t="n">
        <v>55.88403</v>
      </c>
      <c r="E11178" t="n">
        <v>38.33145</v>
      </c>
      <c r="F11178" t="inlineStr"/>
      <c r="G11178" t="inlineStr"/>
      <c r="H11178" t="inlineStr"/>
    </row>
    <row r="11179">
      <c r="A11179" t="inlineStr">
        <is>
          <t>fddcaa87-9ea8-428a-962f-0cd1fba94198.jpg</t>
        </is>
      </c>
      <c r="B11179">
        <f>HYPERLINK("Объекты недвижимости, не соответствующие градостроительным нормам_00-022_Август/fddcaa87-9ea8-428a-962f-0cd1fba94198.jpg","open")</f>
        <v/>
      </c>
      <c r="C11179" t="inlineStr">
        <is>
          <t>dd22c7c9-0046-46d8-8631-55150dbf8ae5</t>
        </is>
      </c>
      <c r="D11179" t="n">
        <v>55.88403</v>
      </c>
      <c r="E11179" t="n">
        <v>38.33145</v>
      </c>
      <c r="F11179" t="inlineStr"/>
      <c r="G11179" t="inlineStr"/>
      <c r="H11179" t="inlineStr"/>
    </row>
    <row r="11180">
      <c r="A11180" t="inlineStr">
        <is>
          <t>d8262e78-2f6b-4382-bda3-da309f3d7c6a.jpg</t>
        </is>
      </c>
      <c r="B11180">
        <f>HYPERLINK("Объекты недвижимости, не соответствующие градостроительным нормам_00-022_Август/d8262e78-2f6b-4382-bda3-da309f3d7c6a.jpg","open")</f>
        <v/>
      </c>
      <c r="C11180" t="inlineStr">
        <is>
          <t>af173c70-3716-4040-aa0b-1be99e78abe8</t>
        </is>
      </c>
      <c r="D11180" t="n">
        <v>55.88403</v>
      </c>
      <c r="E11180" t="n">
        <v>38.33145</v>
      </c>
      <c r="F11180" t="inlineStr"/>
      <c r="G11180" t="inlineStr"/>
      <c r="H11180" t="inlineStr"/>
    </row>
    <row r="11181">
      <c r="A11181" t="inlineStr">
        <is>
          <t>d36fe384-393f-45bd-909a-9b88330ef85a.jpg</t>
        </is>
      </c>
      <c r="B11181">
        <f>HYPERLINK("Объекты недвижимости, не соответствующие градостроительным нормам_00-022_Август/d36fe384-393f-45bd-909a-9b88330ef85a.jpg","open")</f>
        <v/>
      </c>
      <c r="C11181" t="inlineStr">
        <is>
          <t>9fb3d110-951f-48da-9d90-cfd7e1b5800d</t>
        </is>
      </c>
      <c r="D11181" t="n">
        <v>55.69036</v>
      </c>
      <c r="E11181" t="n">
        <v>37.45264</v>
      </c>
      <c r="F11181" t="inlineStr"/>
      <c r="G11181" t="inlineStr"/>
      <c r="H11181" t="inlineStr"/>
    </row>
    <row r="11182">
      <c r="A11182" t="inlineStr">
        <is>
          <t>6254ea73-2783-4718-9100-26a28dd79468.jpg</t>
        </is>
      </c>
      <c r="B11182">
        <f>HYPERLINK("Объекты недвижимости, не соответствующие градостроительным нормам_00-022_Август/6254ea73-2783-4718-9100-26a28dd79468.jpg","open")</f>
        <v/>
      </c>
      <c r="C11182" t="inlineStr">
        <is>
          <t>dd22c7c9-0046-46d8-8631-55150dbf8ae5</t>
        </is>
      </c>
      <c r="D11182" t="n">
        <v>55.88403</v>
      </c>
      <c r="E11182" t="n">
        <v>38.33145</v>
      </c>
      <c r="F11182" t="inlineStr"/>
      <c r="G11182" t="inlineStr"/>
      <c r="H11182" t="inlineStr"/>
    </row>
    <row r="11183">
      <c r="A11183" t="inlineStr">
        <is>
          <t>916079c2-8f3f-41b2-82a5-e022c50b5314.jpg</t>
        </is>
      </c>
      <c r="B11183">
        <f>HYPERLINK("Объекты недвижимости, не соответствующие градостроительным нормам_00-022_Август/916079c2-8f3f-41b2-82a5-e022c50b5314.jpg","open")</f>
        <v/>
      </c>
      <c r="C11183" t="inlineStr">
        <is>
          <t>caa4772d-6278-4484-a046-ee25514bf521</t>
        </is>
      </c>
      <c r="D11183" t="n">
        <v>55.68689</v>
      </c>
      <c r="E11183" t="n">
        <v>37.75253</v>
      </c>
      <c r="F11183" t="inlineStr"/>
      <c r="G11183" t="inlineStr"/>
      <c r="H11183" t="inlineStr"/>
    </row>
    <row r="11184">
      <c r="A11184" t="inlineStr">
        <is>
          <t>0b2f23b8-91df-430a-98ff-c47850f1b652.jpg</t>
        </is>
      </c>
      <c r="B11184">
        <f>HYPERLINK("Объекты недвижимости, не соответствующие градостроительным нормам_00-022_Август/0b2f23b8-91df-430a-98ff-c47850f1b652.jpg","open")</f>
        <v/>
      </c>
      <c r="C11184" t="inlineStr">
        <is>
          <t>ad64e6b9-1ed5-44d7-a101-4945a1f9dec6</t>
        </is>
      </c>
      <c r="D11184" t="n">
        <v>55.52785</v>
      </c>
      <c r="E11184" t="n">
        <v>37.51434</v>
      </c>
      <c r="F11184" t="inlineStr"/>
      <c r="G11184" t="inlineStr"/>
      <c r="H11184" t="inlineStr"/>
    </row>
    <row r="11185">
      <c r="A11185" t="inlineStr">
        <is>
          <t>d7b3b7d5-e3be-44fe-bd07-6736bf1c7397.jpg</t>
        </is>
      </c>
      <c r="B11185">
        <f>HYPERLINK("Объекты недвижимости, не соответствующие градостроительным нормам_00-022_Август/d7b3b7d5-e3be-44fe-bd07-6736bf1c7397.jpg","open")</f>
        <v/>
      </c>
      <c r="C11185" t="inlineStr">
        <is>
          <t>dd22c7c9-0046-46d8-8631-55150dbf8ae5</t>
        </is>
      </c>
      <c r="D11185" t="n">
        <v>55.76963</v>
      </c>
      <c r="E11185" t="n">
        <v>37.65984</v>
      </c>
      <c r="F11185" t="inlineStr"/>
      <c r="G11185" t="inlineStr"/>
      <c r="H11185" t="inlineStr"/>
    </row>
    <row r="11186">
      <c r="A11186" t="inlineStr">
        <is>
          <t>f8c2bf9d-6f23-4a05-8a45-571957a7cc59.jpg</t>
        </is>
      </c>
      <c r="B11186">
        <f>HYPERLINK("Объекты недвижимости, не соответствующие градостроительным нормам_00-022_Август/f8c2bf9d-6f23-4a05-8a45-571957a7cc59.jpg","open")</f>
        <v/>
      </c>
      <c r="C11186" t="inlineStr">
        <is>
          <t>8b2675e2-7f40-47a9-a462-7c9feecd299c</t>
        </is>
      </c>
      <c r="D11186" t="n">
        <v>55.6996</v>
      </c>
      <c r="E11186" t="n">
        <v>37.73264</v>
      </c>
      <c r="F11186" t="inlineStr"/>
      <c r="G11186" t="inlineStr"/>
      <c r="H11186" t="inlineStr"/>
    </row>
    <row r="11187">
      <c r="A11187" t="inlineStr">
        <is>
          <t>5acd5986-267b-4177-86ff-3e0e2648a76a.jpg</t>
        </is>
      </c>
      <c r="B11187">
        <f>HYPERLINK("Объекты недвижимости, не соответствующие градостроительным нормам_00-022_Август/5acd5986-267b-4177-86ff-3e0e2648a76a.jpg","open")</f>
        <v/>
      </c>
      <c r="C11187" t="inlineStr">
        <is>
          <t>61936922-4d4b-458e-80ea-6d4c450aa1d5</t>
        </is>
      </c>
      <c r="D11187" t="n">
        <v>55.69034</v>
      </c>
      <c r="E11187" t="n">
        <v>37.45197</v>
      </c>
      <c r="F11187" t="inlineStr"/>
      <c r="G11187" t="inlineStr"/>
      <c r="H11187" t="inlineStr"/>
    </row>
    <row r="11188">
      <c r="A11188" t="inlineStr">
        <is>
          <t>d67947b5-6ed0-477b-ade5-ee53a75f5100.jpg</t>
        </is>
      </c>
      <c r="B11188">
        <f>HYPERLINK("Объекты недвижимости, не соответствующие градостроительным нормам_00-022_Август/d67947b5-6ed0-477b-ade5-ee53a75f5100.jpg","open")</f>
        <v/>
      </c>
      <c r="C11188" t="inlineStr">
        <is>
          <t>caa4772d-6278-4484-a046-ee25514bf521</t>
        </is>
      </c>
      <c r="D11188" t="n">
        <v>55.68063</v>
      </c>
      <c r="E11188" t="n">
        <v>37.74442</v>
      </c>
      <c r="F11188" t="inlineStr"/>
      <c r="G11188" t="inlineStr"/>
      <c r="H11188" t="inlineStr"/>
    </row>
    <row r="11189">
      <c r="A11189" t="inlineStr">
        <is>
          <t>3a68d112-96a4-4426-b4d8-baf215e39989.jpg</t>
        </is>
      </c>
      <c r="B11189">
        <f>HYPERLINK("Объекты недвижимости, не соответствующие градостроительным нормам_00-022_Август/3a68d112-96a4-4426-b4d8-baf215e39989.jpg","open")</f>
        <v/>
      </c>
      <c r="C11189" t="inlineStr">
        <is>
          <t>4cd87d14-7440-44b7-a5b2-a738e10006f7</t>
        </is>
      </c>
      <c r="D11189" t="n">
        <v>55.84489</v>
      </c>
      <c r="E11189" t="n">
        <v>37.67007</v>
      </c>
      <c r="F11189" t="inlineStr"/>
      <c r="G11189" t="inlineStr"/>
      <c r="H11189" t="inlineStr"/>
    </row>
    <row r="11190">
      <c r="A11190" t="inlineStr">
        <is>
          <t>0c6789b9-c430-45cd-8025-5b850db5c7cb.jpg</t>
        </is>
      </c>
      <c r="B11190">
        <f>HYPERLINK("Объекты недвижимости, не соответствующие градостроительным нормам_00-022_Август/0c6789b9-c430-45cd-8025-5b850db5c7cb.jpg","open")</f>
        <v/>
      </c>
      <c r="C11190" t="inlineStr">
        <is>
          <t>12e795ad-2aa7-49de-b2da-2c6aa35a4559</t>
        </is>
      </c>
      <c r="D11190" t="n">
        <v>55.52817</v>
      </c>
      <c r="E11190" t="n">
        <v>37.51524</v>
      </c>
      <c r="F11190" t="inlineStr"/>
      <c r="G11190" t="inlineStr"/>
      <c r="H11190" t="inlineStr"/>
    </row>
    <row r="11191">
      <c r="A11191" t="inlineStr">
        <is>
          <t>6a03b1f1-5d33-4cf5-841e-cbf2aa0bd951.jpg</t>
        </is>
      </c>
      <c r="B11191">
        <f>HYPERLINK("Объекты недвижимости, не соответствующие градостроительным нормам_00-022_Август/6a03b1f1-5d33-4cf5-841e-cbf2aa0bd951.jpg","open")</f>
        <v/>
      </c>
      <c r="C11191" t="inlineStr">
        <is>
          <t>61936922-4d4b-458e-80ea-6d4c450aa1d5</t>
        </is>
      </c>
      <c r="D11191" t="n">
        <v>55.69526</v>
      </c>
      <c r="E11191" t="n">
        <v>37.46529</v>
      </c>
      <c r="F11191" t="inlineStr"/>
      <c r="G11191" t="inlineStr"/>
      <c r="H11191" t="inlineStr"/>
    </row>
    <row r="11192">
      <c r="A11192" t="inlineStr">
        <is>
          <t>bc02f736-e38d-479b-934d-6a63ce722171.jpg</t>
        </is>
      </c>
      <c r="B11192">
        <f>HYPERLINK("Объекты недвижимости, не соответствующие градостроительным нормам_00-022_Август/bc02f736-e38d-479b-934d-6a63ce722171.jpg","open")</f>
        <v/>
      </c>
      <c r="C11192" t="inlineStr">
        <is>
          <t>4cd87d14-7440-44b7-a5b2-a738e10006f7</t>
        </is>
      </c>
      <c r="D11192" t="n">
        <v>55.84657</v>
      </c>
      <c r="E11192" t="n">
        <v>37.63613</v>
      </c>
      <c r="F11192" t="inlineStr"/>
      <c r="G11192" t="inlineStr"/>
      <c r="H11192" t="inlineStr"/>
    </row>
    <row r="11193">
      <c r="A11193" t="inlineStr">
        <is>
          <t>80b4a8db-7402-4d82-9a3f-ec406bef212e.jpg</t>
        </is>
      </c>
      <c r="B11193">
        <f>HYPERLINK("Объекты недвижимости, не соответствующие градостроительным нормам_00-022_Август/80b4a8db-7402-4d82-9a3f-ec406bef212e.jpg","open")</f>
        <v/>
      </c>
      <c r="C11193" t="inlineStr">
        <is>
          <t>ffd931da-542f-43e9-979f-5552b17fe3dc</t>
        </is>
      </c>
      <c r="D11193" t="n">
        <v>55.81657</v>
      </c>
      <c r="E11193" t="n">
        <v>37.81512</v>
      </c>
      <c r="F11193" t="inlineStr"/>
      <c r="G11193" t="inlineStr"/>
      <c r="H11193" t="inlineStr"/>
    </row>
    <row r="11194">
      <c r="A11194" t="inlineStr">
        <is>
          <t>1d01b6cc-a247-41a6-82c0-b1637d6eedc6.jpg</t>
        </is>
      </c>
      <c r="B11194">
        <f>HYPERLINK("Объекты недвижимости, не соответствующие градостроительным нормам_00-022_Август/1d01b6cc-a247-41a6-82c0-b1637d6eedc6.jpg","open")</f>
        <v/>
      </c>
      <c r="C11194" t="inlineStr">
        <is>
          <t>e85aff3b-73e8-4856-827e-477ccc0aea77</t>
        </is>
      </c>
      <c r="D11194" t="n">
        <v>55.86496</v>
      </c>
      <c r="E11194" t="n">
        <v>37.65849</v>
      </c>
      <c r="F11194" t="inlineStr"/>
      <c r="G11194" t="inlineStr"/>
      <c r="H11194" t="inlineStr"/>
    </row>
    <row r="11195">
      <c r="A11195" t="inlineStr">
        <is>
          <t>16a80038-ed70-4c44-9983-c9ac46a7e398.jpg</t>
        </is>
      </c>
      <c r="B11195">
        <f>HYPERLINK("Объекты недвижимости, не соответствующие градостроительным нормам_00-022_Август/16a80038-ed70-4c44-9983-c9ac46a7e398.jpg","open")</f>
        <v/>
      </c>
      <c r="C11195" t="inlineStr">
        <is>
          <t>8b2675e2-7f40-47a9-a462-7c9feecd299c</t>
        </is>
      </c>
      <c r="D11195" t="n">
        <v>55.70996</v>
      </c>
      <c r="E11195" t="n">
        <v>37.66893</v>
      </c>
      <c r="F11195" t="inlineStr"/>
      <c r="G11195" t="inlineStr"/>
      <c r="H11195" t="inlineStr"/>
    </row>
    <row r="11196">
      <c r="A11196" t="inlineStr">
        <is>
          <t>9bff2de3-d9c0-4114-946e-e14183f4d6b1.jpg</t>
        </is>
      </c>
      <c r="B11196">
        <f>HYPERLINK("Объекты недвижимости, не соответствующие градостроительным нормам_00-022_Август/9bff2de3-d9c0-4114-946e-e14183f4d6b1.jpg","open")</f>
        <v/>
      </c>
      <c r="C11196" t="inlineStr">
        <is>
          <t>dd22c7c9-0046-46d8-8631-55150dbf8ae5</t>
        </is>
      </c>
      <c r="D11196" t="n">
        <v>55.76963</v>
      </c>
      <c r="E11196" t="n">
        <v>37.65984</v>
      </c>
      <c r="F11196" t="inlineStr"/>
      <c r="G11196" t="inlineStr"/>
      <c r="H11196" t="inlineStr"/>
    </row>
    <row r="11197">
      <c r="A11197" t="inlineStr">
        <is>
          <t>51831359-e51f-4c09-b648-163a646efa3e.jpg</t>
        </is>
      </c>
      <c r="B11197">
        <f>HYPERLINK("Объекты недвижимости, не соответствующие градостроительным нормам_00-022_Август/51831359-e51f-4c09-b648-163a646efa3e.jpg","open")</f>
        <v/>
      </c>
      <c r="C11197" t="inlineStr">
        <is>
          <t>ffd931da-542f-43e9-979f-5552b17fe3dc</t>
        </is>
      </c>
      <c r="D11197" t="n">
        <v>55.81661</v>
      </c>
      <c r="E11197" t="n">
        <v>37.81501</v>
      </c>
      <c r="F11197" t="inlineStr"/>
      <c r="G11197" t="inlineStr"/>
      <c r="H11197" t="inlineStr"/>
    </row>
    <row r="11198">
      <c r="A11198" t="inlineStr">
        <is>
          <t>fac5b75a-98d4-4bee-8c2c-be96601d31ec.jpg</t>
        </is>
      </c>
      <c r="B11198">
        <f>HYPERLINK("Объекты недвижимости, не соответствующие градостроительным нормам_00-022_Август/fac5b75a-98d4-4bee-8c2c-be96601d31ec.jpg","open")</f>
        <v/>
      </c>
      <c r="C11198" t="inlineStr">
        <is>
          <t>29ad9edb-d533-4272-a986-be24eb004851</t>
        </is>
      </c>
      <c r="D11198" t="n">
        <v>55.72492</v>
      </c>
      <c r="E11198" t="n">
        <v>37.80022</v>
      </c>
      <c r="F11198" t="inlineStr"/>
      <c r="G11198" t="inlineStr"/>
      <c r="H11198" t="inlineStr"/>
    </row>
    <row r="11199">
      <c r="A11199" t="inlineStr">
        <is>
          <t>5f38b328-8857-49b1-9a96-b2c72b2444b4.jpg</t>
        </is>
      </c>
      <c r="B11199">
        <f>HYPERLINK("Объекты недвижимости, не соответствующие градостроительным нормам_00-022_Август/5f38b328-8857-49b1-9a96-b2c72b2444b4.jpg","open")</f>
        <v/>
      </c>
      <c r="C11199" t="inlineStr">
        <is>
          <t>caa4772d-6278-4484-a046-ee25514bf521</t>
        </is>
      </c>
      <c r="D11199" t="n">
        <v>55.68359</v>
      </c>
      <c r="E11199" t="n">
        <v>37.74474</v>
      </c>
      <c r="F11199" t="inlineStr"/>
      <c r="G11199" t="inlineStr"/>
      <c r="H11199" t="inlineStr"/>
    </row>
    <row r="11200">
      <c r="A11200" t="inlineStr">
        <is>
          <t>c695f67e-81cf-45f8-92f0-601e5a6e65f2.jpg</t>
        </is>
      </c>
      <c r="B11200">
        <f>HYPERLINK("Объекты недвижимости, не соответствующие градостроительным нормам_00-022_Август/c695f67e-81cf-45f8-92f0-601e5a6e65f2.jpg","open")</f>
        <v/>
      </c>
      <c r="C11200" t="inlineStr">
        <is>
          <t>5adecbcf-6742-48b8-951f-8e3abc9509e4</t>
        </is>
      </c>
      <c r="D11200" t="n">
        <v>55.71013</v>
      </c>
      <c r="E11200" t="n">
        <v>37.66494</v>
      </c>
      <c r="F11200" t="inlineStr"/>
      <c r="G11200" t="inlineStr"/>
      <c r="H11200" t="inlineStr"/>
    </row>
    <row r="11201">
      <c r="A11201" t="inlineStr">
        <is>
          <t>19fd8e1b-a8eb-4a19-910b-3188fce02abd.jpg</t>
        </is>
      </c>
      <c r="B11201">
        <f>HYPERLINK("Объекты недвижимости, не соответствующие градостроительным нормам_00-022_Август/19fd8e1b-a8eb-4a19-910b-3188fce02abd.jpg","open")</f>
        <v/>
      </c>
      <c r="C11201" t="inlineStr">
        <is>
          <t>5e5b9944-4f9e-4223-bf96-0bc0c8a93dfa</t>
        </is>
      </c>
      <c r="D11201" t="n">
        <v>55.71013</v>
      </c>
      <c r="E11201" t="n">
        <v>37.66494</v>
      </c>
      <c r="F11201" t="inlineStr"/>
      <c r="G11201" t="inlineStr"/>
      <c r="H11201" t="inlineStr"/>
    </row>
    <row r="11202">
      <c r="A11202" t="inlineStr">
        <is>
          <t>f8357450-9774-4efb-9a1d-07401fa7ced0.jpg</t>
        </is>
      </c>
      <c r="B11202">
        <f>HYPERLINK("Объекты недвижимости, не соответствующие градостроительным нормам_00-022_Август/f8357450-9774-4efb-9a1d-07401fa7ced0.jpg","open")</f>
        <v/>
      </c>
      <c r="C11202" t="inlineStr">
        <is>
          <t>4cd87d14-7440-44b7-a5b2-a738e10006f7</t>
        </is>
      </c>
      <c r="D11202" t="n">
        <v>55.82316</v>
      </c>
      <c r="E11202" t="n">
        <v>37.65751</v>
      </c>
      <c r="F11202" t="inlineStr"/>
      <c r="G11202" t="inlineStr"/>
      <c r="H11202" t="inlineStr"/>
    </row>
    <row r="11203">
      <c r="A11203" t="inlineStr">
        <is>
          <t>dbe88a3f-a8bb-4d3a-ba0f-39a0429ab3a2.jpg</t>
        </is>
      </c>
      <c r="B11203">
        <f>HYPERLINK("Объекты недвижимости, не соответствующие градостроительным нормам_00-022_Август/dbe88a3f-a8bb-4d3a-ba0f-39a0429ab3a2.jpg","open")</f>
        <v/>
      </c>
      <c r="C11203" t="inlineStr">
        <is>
          <t>e26f5fc2-1353-4f29-85f3-87c56419161c</t>
        </is>
      </c>
      <c r="D11203" t="n">
        <v>55.82298</v>
      </c>
      <c r="E11203" t="n">
        <v>37.65796</v>
      </c>
      <c r="F11203" t="inlineStr"/>
      <c r="G11203" t="inlineStr"/>
      <c r="H11203" t="inlineStr"/>
    </row>
    <row r="11204">
      <c r="A11204" t="inlineStr">
        <is>
          <t>4450ed5c-8dee-4e93-bac4-68bfbd44b89f.jpg</t>
        </is>
      </c>
      <c r="B11204">
        <f>HYPERLINK("Объекты недвижимости, не соответствующие градостроительным нормам_00-022_Август/4450ed5c-8dee-4e93-bac4-68bfbd44b89f.jpg","open")</f>
        <v/>
      </c>
      <c r="C11204" t="inlineStr">
        <is>
          <t>fb9a37cc-57a6-447c-98bb-0b299f09c809</t>
        </is>
      </c>
      <c r="D11204" t="n">
        <v>55.78287</v>
      </c>
      <c r="E11204" t="n">
        <v>37.83896</v>
      </c>
      <c r="F11204" t="inlineStr"/>
      <c r="G11204" t="inlineStr"/>
      <c r="H11204" t="inlineStr"/>
    </row>
    <row r="11205">
      <c r="A11205" t="inlineStr">
        <is>
          <t>f9e92331-19a7-49de-9824-cbdf65f56a6b.jpg</t>
        </is>
      </c>
      <c r="B11205">
        <f>HYPERLINK("Объекты недвижимости, не соответствующие градостроительным нормам_00-022_Август/f9e92331-19a7-49de-9824-cbdf65f56a6b.jpg","open")</f>
        <v/>
      </c>
      <c r="C11205" t="inlineStr">
        <is>
          <t>e26f5fc2-1353-4f29-85f3-87c56419161c</t>
        </is>
      </c>
      <c r="D11205" t="n">
        <v>55.81948</v>
      </c>
      <c r="E11205" t="n">
        <v>37.67002</v>
      </c>
      <c r="F11205" t="inlineStr"/>
      <c r="G11205" t="inlineStr"/>
      <c r="H11205" t="inlineStr"/>
    </row>
    <row r="11206">
      <c r="A11206" t="inlineStr">
        <is>
          <t>2ecc4a80-8bf6-4b28-8f4e-620074f6b3ac.jpg</t>
        </is>
      </c>
      <c r="B11206">
        <f>HYPERLINK("Объекты недвижимости, не соответствующие градостроительным нормам_00-022_Август/2ecc4a80-8bf6-4b28-8f4e-620074f6b3ac.jpg","open")</f>
        <v/>
      </c>
      <c r="C11206" t="inlineStr">
        <is>
          <t>caa4772d-6278-4484-a046-ee25514bf521</t>
        </is>
      </c>
      <c r="D11206" t="n">
        <v>55.68379</v>
      </c>
      <c r="E11206" t="n">
        <v>37.73453</v>
      </c>
      <c r="F11206" t="inlineStr"/>
      <c r="G11206" t="inlineStr"/>
      <c r="H11206" t="inlineStr"/>
    </row>
    <row r="11207">
      <c r="A11207" t="inlineStr">
        <is>
          <t>0cda1de0-5d20-47ab-98c3-01297b63f4a9.jpg</t>
        </is>
      </c>
      <c r="B11207">
        <f>HYPERLINK("Объекты недвижимости, не соответствующие градостроительным нормам_00-022_Август/0cda1de0-5d20-47ab-98c3-01297b63f4a9.jpg","open")</f>
        <v/>
      </c>
      <c r="C11207" t="inlineStr">
        <is>
          <t>caa4772d-6278-4484-a046-ee25514bf521</t>
        </is>
      </c>
      <c r="D11207" t="n">
        <v>55.67675</v>
      </c>
      <c r="E11207" t="n">
        <v>37.73694</v>
      </c>
      <c r="F11207" t="inlineStr"/>
      <c r="G11207" t="inlineStr"/>
      <c r="H11207" t="inlineStr"/>
    </row>
    <row r="11208">
      <c r="A11208" t="inlineStr">
        <is>
          <t>1759f297-b2ea-40ed-8092-b2d0831a1bd5.jpg</t>
        </is>
      </c>
      <c r="B11208">
        <f>HYPERLINK("Объекты недвижимости, не соответствующие градостроительным нормам_00-022_Август/1759f297-b2ea-40ed-8092-b2d0831a1bd5.jpg","open")</f>
        <v/>
      </c>
      <c r="C11208" t="inlineStr">
        <is>
          <t>685d9054-b74f-49ab-857b-109fd2cec80d</t>
        </is>
      </c>
      <c r="D11208" t="n">
        <v>55.6512</v>
      </c>
      <c r="E11208" t="n">
        <v>37.55668</v>
      </c>
      <c r="F11208" t="inlineStr"/>
      <c r="G11208" t="inlineStr"/>
      <c r="H11208" t="inlineStr"/>
    </row>
    <row r="11209">
      <c r="A11209" t="inlineStr">
        <is>
          <t>ea303e28-9d47-4c5d-a728-7d12ec91a30d.jpg</t>
        </is>
      </c>
      <c r="B11209">
        <f>HYPERLINK("Объекты недвижимости, не соответствующие градостроительным нормам_00-022_Август/ea303e28-9d47-4c5d-a728-7d12ec91a30d.jpg","open")</f>
        <v/>
      </c>
      <c r="C11209" t="inlineStr">
        <is>
          <t>93848fc8-17e7-4748-9ebc-c7e379e11d2f</t>
        </is>
      </c>
      <c r="D11209" t="n">
        <v>55.62888</v>
      </c>
      <c r="E11209" t="n">
        <v>37.51624</v>
      </c>
      <c r="F11209" t="inlineStr"/>
      <c r="G11209" t="inlineStr"/>
      <c r="H11209" t="inlineStr"/>
    </row>
    <row r="11210">
      <c r="A11210" t="inlineStr">
        <is>
          <t>f4e7f749-9d27-472e-a6db-e6af494311c5.jpg</t>
        </is>
      </c>
      <c r="B11210">
        <f>HYPERLINK("Объекты недвижимости, не соответствующие градостроительным нормам_00-022_Август/f4e7f749-9d27-472e-a6db-e6af494311c5.jpg","open")</f>
        <v/>
      </c>
      <c r="C11210" t="inlineStr">
        <is>
          <t>48b533d5-d106-4175-ac9b-d5ce8d90cccf</t>
        </is>
      </c>
      <c r="D11210" t="n">
        <v>55.82884</v>
      </c>
      <c r="E11210" t="n">
        <v>37.35382</v>
      </c>
      <c r="F11210" t="inlineStr"/>
      <c r="G11210" t="inlineStr"/>
      <c r="H11210" t="inlineStr"/>
    </row>
    <row r="11211">
      <c r="A11211" t="inlineStr">
        <is>
          <t>99b2046d-1023-4ac8-ae72-e5ef011dbf53.jpg</t>
        </is>
      </c>
      <c r="B11211">
        <f>HYPERLINK("Объекты недвижимости, не соответствующие градостроительным нормам_00-022_Август/99b2046d-1023-4ac8-ae72-e5ef011dbf53.jpg","open")</f>
        <v/>
      </c>
      <c r="C11211" t="inlineStr">
        <is>
          <t>8996eb30-6497-4318-8a0e-b95314b8172e</t>
        </is>
      </c>
      <c r="D11211" t="n">
        <v>55.82884</v>
      </c>
      <c r="E11211" t="n">
        <v>37.35382</v>
      </c>
      <c r="F11211" t="inlineStr"/>
      <c r="G11211" t="inlineStr"/>
      <c r="H11211" t="inlineStr"/>
    </row>
    <row r="11212">
      <c r="A11212" t="inlineStr">
        <is>
          <t>9b6de6e2-742d-49eb-9338-4055f8d10e46.jpg</t>
        </is>
      </c>
      <c r="B11212">
        <f>HYPERLINK("Объекты недвижимости, не соответствующие градостроительным нормам_00-022_Август/9b6de6e2-742d-49eb-9338-4055f8d10e46.jpg","open")</f>
        <v/>
      </c>
      <c r="C11212" t="inlineStr">
        <is>
          <t>31a713a9-b910-424b-b847-e0eaa2f70c70</t>
        </is>
      </c>
      <c r="D11212" t="n">
        <v>55.86611</v>
      </c>
      <c r="E11212" t="n">
        <v>37.49605</v>
      </c>
      <c r="F11212" t="inlineStr"/>
      <c r="G11212" t="inlineStr"/>
      <c r="H11212" t="inlineStr"/>
    </row>
    <row r="11213">
      <c r="A11213" t="inlineStr">
        <is>
          <t>c725d73a-50cc-4851-8990-97a3dbae1901.jpg</t>
        </is>
      </c>
      <c r="B11213">
        <f>HYPERLINK("Объекты недвижимости, не соответствующие градостроительным нормам_00-022_Август/c725d73a-50cc-4851-8990-97a3dbae1901.jpg","open")</f>
        <v/>
      </c>
      <c r="C11213" t="inlineStr">
        <is>
          <t>caa4772d-6278-4484-a046-ee25514bf521</t>
        </is>
      </c>
      <c r="D11213" t="n">
        <v>55.67268</v>
      </c>
      <c r="E11213" t="n">
        <v>37.73989</v>
      </c>
      <c r="F11213" t="inlineStr"/>
      <c r="G11213" t="inlineStr"/>
      <c r="H11213" t="inlineStr"/>
    </row>
    <row r="11214">
      <c r="A11214" t="inlineStr">
        <is>
          <t>7253ca67-1993-4173-9374-b6d1275524df.jpg</t>
        </is>
      </c>
      <c r="B11214">
        <f>HYPERLINK("Объекты недвижимости, не соответствующие градостроительным нормам_00-022_Август/7253ca67-1993-4173-9374-b6d1275524df.jpg","open")</f>
        <v/>
      </c>
      <c r="C11214" t="inlineStr">
        <is>
          <t>e85aff3b-73e8-4856-827e-477ccc0aea77</t>
        </is>
      </c>
      <c r="D11214" t="n">
        <v>55.86496</v>
      </c>
      <c r="E11214" t="n">
        <v>37.65849</v>
      </c>
      <c r="F11214" t="inlineStr"/>
      <c r="G11214" t="inlineStr"/>
      <c r="H11214" t="inlineStr"/>
    </row>
    <row r="11215">
      <c r="A11215" t="inlineStr">
        <is>
          <t>b195a707-204a-491f-b894-bd56230d0e45.jpg</t>
        </is>
      </c>
      <c r="B11215">
        <f>HYPERLINK("Объекты недвижимости, не соответствующие градостроительным нормам_00-022_Август/b195a707-204a-491f-b894-bd56230d0e45.jpg","open")</f>
        <v/>
      </c>
      <c r="C11215" t="inlineStr">
        <is>
          <t>685d9054-b74f-49ab-857b-109fd2cec80d</t>
        </is>
      </c>
      <c r="D11215" t="n">
        <v>55.65263</v>
      </c>
      <c r="E11215" t="n">
        <v>37.55635</v>
      </c>
      <c r="F11215" t="inlineStr"/>
      <c r="G11215" t="inlineStr"/>
      <c r="H11215" t="inlineStr"/>
    </row>
    <row r="11216">
      <c r="A11216" t="inlineStr">
        <is>
          <t>986696e3-396b-4a9b-a93d-62a70280cb13.jpg</t>
        </is>
      </c>
      <c r="B11216">
        <f>HYPERLINK("Объекты недвижимости, не соответствующие градостроительным нормам_00-022_Август/986696e3-396b-4a9b-a93d-62a70280cb13.jpg","open")</f>
        <v/>
      </c>
      <c r="C11216" t="inlineStr">
        <is>
          <t>29ad9edb-d533-4272-a986-be24eb004851</t>
        </is>
      </c>
      <c r="D11216" t="n">
        <v>55.74518</v>
      </c>
      <c r="E11216" t="n">
        <v>37.67907</v>
      </c>
      <c r="F11216" t="inlineStr"/>
      <c r="G11216" t="inlineStr"/>
      <c r="H11216" t="inlineStr"/>
    </row>
    <row r="11217">
      <c r="A11217" t="inlineStr">
        <is>
          <t>8128cd23-35c6-4a12-89e2-45e6989069f8.jpg</t>
        </is>
      </c>
      <c r="B11217">
        <f>HYPERLINK("Объекты недвижимости, не соответствующие градостроительным нормам_00-022_Август/8128cd23-35c6-4a12-89e2-45e6989069f8.jpg","open")</f>
        <v/>
      </c>
      <c r="C11217" t="inlineStr">
        <is>
          <t>1231bbc5-e64c-4dc7-9acc-77710f47607a</t>
        </is>
      </c>
      <c r="D11217" t="n">
        <v>55.65328</v>
      </c>
      <c r="E11217" t="n">
        <v>37.55544</v>
      </c>
      <c r="F11217" t="inlineStr"/>
      <c r="G11217" t="inlineStr"/>
      <c r="H11217" t="inlineStr"/>
    </row>
    <row r="11218">
      <c r="A11218" t="inlineStr">
        <is>
          <t>b286134a-13cc-4bd6-9202-5655c4c4aea6.jpg</t>
        </is>
      </c>
      <c r="B11218">
        <f>HYPERLINK("Объекты недвижимости, не соответствующие градостроительным нормам_00-022_Август/b286134a-13cc-4bd6-9202-5655c4c4aea6.jpg","open")</f>
        <v/>
      </c>
      <c r="C11218" t="inlineStr">
        <is>
          <t>af173c70-3716-4040-aa0b-1be99e78abe8</t>
        </is>
      </c>
      <c r="D11218" t="n">
        <v>55.78605</v>
      </c>
      <c r="E11218" t="n">
        <v>37.56644</v>
      </c>
      <c r="F11218" t="inlineStr"/>
      <c r="G11218" t="inlineStr"/>
      <c r="H11218" t="inlineStr"/>
    </row>
    <row r="11219">
      <c r="A11219" t="inlineStr">
        <is>
          <t>d7878684-9928-4d53-b877-5a79fd61dff7.jpg</t>
        </is>
      </c>
      <c r="B11219">
        <f>HYPERLINK("Объекты недвижимости, не соответствующие градостроительным нормам_00-022_Август/d7878684-9928-4d53-b877-5a79fd61dff7.jpg","open")</f>
        <v/>
      </c>
      <c r="C11219" t="inlineStr">
        <is>
          <t>dd22c7c9-0046-46d8-8631-55150dbf8ae5</t>
        </is>
      </c>
      <c r="D11219" t="n">
        <v>55.78605</v>
      </c>
      <c r="E11219" t="n">
        <v>37.56644</v>
      </c>
      <c r="F11219" t="inlineStr"/>
      <c r="G11219" t="inlineStr"/>
      <c r="H11219" t="inlineStr"/>
    </row>
    <row r="11220">
      <c r="A11220" t="inlineStr">
        <is>
          <t>cb30f7ea-fe58-495b-a225-e53573454764.jpg</t>
        </is>
      </c>
      <c r="B11220">
        <f>HYPERLINK("Объекты недвижимости, не соответствующие градостроительным нормам_00-022_Август/cb30f7ea-fe58-495b-a225-e53573454764.jpg","open")</f>
        <v/>
      </c>
      <c r="C11220" t="inlineStr">
        <is>
          <t>f6f80c84-5569-48fd-b627-6f41ce4c61c4</t>
        </is>
      </c>
      <c r="D11220" t="n">
        <v>55.67333</v>
      </c>
      <c r="E11220" t="n">
        <v>37.7357</v>
      </c>
      <c r="F11220" t="inlineStr"/>
      <c r="G11220" t="inlineStr"/>
      <c r="H11220" t="inlineStr"/>
    </row>
    <row r="11221">
      <c r="A11221" t="inlineStr">
        <is>
          <t>d6291d18-119a-41cf-8cba-0220716adece.jpg</t>
        </is>
      </c>
      <c r="B11221">
        <f>HYPERLINK("Объекты недвижимости, не соответствующие градостроительным нормам_00-022_Август/d6291d18-119a-41cf-8cba-0220716adece.jpg","open")</f>
        <v/>
      </c>
      <c r="C11221" t="inlineStr">
        <is>
          <t>caa4772d-6278-4484-a046-ee25514bf521</t>
        </is>
      </c>
      <c r="D11221" t="n">
        <v>55.67329</v>
      </c>
      <c r="E11221" t="n">
        <v>37.73569</v>
      </c>
      <c r="F11221" t="inlineStr"/>
      <c r="G11221" t="inlineStr"/>
      <c r="H11221" t="inlineStr"/>
    </row>
    <row r="11222">
      <c r="A11222" t="inlineStr">
        <is>
          <t>141be9a4-6b9b-4573-b7c3-6f3c1192627c.jpg</t>
        </is>
      </c>
      <c r="B11222">
        <f>HYPERLINK("Объекты недвижимости, не соответствующие градостроительным нормам_00-022_Август/141be9a4-6b9b-4573-b7c3-6f3c1192627c.jpg","open")</f>
        <v/>
      </c>
      <c r="C11222" t="inlineStr">
        <is>
          <t>caa4772d-6278-4484-a046-ee25514bf521</t>
        </is>
      </c>
      <c r="D11222" t="n">
        <v>55.66927</v>
      </c>
      <c r="E11222" t="n">
        <v>37.73203</v>
      </c>
      <c r="F11222" t="inlineStr"/>
      <c r="G11222" t="inlineStr"/>
      <c r="H11222" t="inlineStr"/>
    </row>
    <row r="11223">
      <c r="A11223" t="inlineStr">
        <is>
          <t>6404da00-0cef-40e0-978a-2b595f689936.jpg</t>
        </is>
      </c>
      <c r="B11223">
        <f>HYPERLINK("Объекты недвижимости, не соответствующие градостроительным нормам_00-022_Август/6404da00-0cef-40e0-978a-2b595f689936.jpg","open")</f>
        <v/>
      </c>
      <c r="C11223" t="inlineStr">
        <is>
          <t>f6f80c84-5569-48fd-b627-6f41ce4c61c4</t>
        </is>
      </c>
      <c r="D11223" t="n">
        <v>55.66966</v>
      </c>
      <c r="E11223" t="n">
        <v>37.73266</v>
      </c>
      <c r="F11223" t="inlineStr"/>
      <c r="G11223" t="inlineStr"/>
      <c r="H11223" t="inlineStr"/>
    </row>
    <row r="11224">
      <c r="A11224" t="inlineStr">
        <is>
          <t>36232546-2f94-4288-8dd0-8842fe107a9f.jpg</t>
        </is>
      </c>
      <c r="B11224">
        <f>HYPERLINK("Объекты недвижимости, не соответствующие градостроительным нормам_00-022_Август/36232546-2f94-4288-8dd0-8842fe107a9f.jpg","open")</f>
        <v/>
      </c>
      <c r="C11224" t="inlineStr">
        <is>
          <t>57aae8a4-582b-4309-8045-c8127a9f86ae</t>
        </is>
      </c>
      <c r="D11224" t="n">
        <v>55.74392</v>
      </c>
      <c r="E11224" t="n">
        <v>37.76917</v>
      </c>
      <c r="F11224" t="inlineStr"/>
      <c r="G11224" t="inlineStr"/>
      <c r="H11224" t="inlineStr"/>
    </row>
    <row r="11225">
      <c r="A11225" t="inlineStr">
        <is>
          <t>5f0b1628-856b-4c30-ac8c-ead85b60c8b0.jpg</t>
        </is>
      </c>
      <c r="B11225">
        <f>HYPERLINK("Объекты недвижимости, не соответствующие градостроительным нормам_00-022_Август/5f0b1628-856b-4c30-ac8c-ead85b60c8b0.jpg","open")</f>
        <v/>
      </c>
      <c r="C11225" t="inlineStr">
        <is>
          <t>61936922-4d4b-458e-80ea-6d4c450aa1d5</t>
        </is>
      </c>
      <c r="D11225" t="n">
        <v>55.68392</v>
      </c>
      <c r="E11225" t="n">
        <v>37.46024</v>
      </c>
      <c r="F11225" t="inlineStr"/>
      <c r="G11225" t="inlineStr"/>
      <c r="H11225" t="inlineStr"/>
    </row>
    <row r="11226">
      <c r="A11226" t="inlineStr">
        <is>
          <t>3f630e97-e30f-46da-9196-ae8ad32792a1.jpg</t>
        </is>
      </c>
      <c r="B11226">
        <f>HYPERLINK("Объекты недвижимости, не соответствующие градостроительным нормам_00-022_Август/3f630e97-e30f-46da-9196-ae8ad32792a1.jpg","open")</f>
        <v/>
      </c>
      <c r="C11226" t="inlineStr">
        <is>
          <t>99f3abba-c55b-49f0-9de5-9f88e9597cc0</t>
        </is>
      </c>
      <c r="D11226" t="n">
        <v>55.64218</v>
      </c>
      <c r="E11226" t="n">
        <v>37.61427</v>
      </c>
      <c r="F11226" t="inlineStr"/>
      <c r="G11226" t="inlineStr"/>
      <c r="H11226" t="inlineStr"/>
    </row>
    <row r="11227">
      <c r="A11227" t="inlineStr">
        <is>
          <t>738db624-be78-4f2c-adf5-92218ce2bcc8.jpg</t>
        </is>
      </c>
      <c r="B11227">
        <f>HYPERLINK("Объекты недвижимости, не соответствующие градостроительным нормам_00-022_Август/738db624-be78-4f2c-adf5-92218ce2bcc8.jpg","open")</f>
        <v/>
      </c>
      <c r="C11227" t="inlineStr">
        <is>
          <t>ad64e6b9-1ed5-44d7-a101-4945a1f9dec6</t>
        </is>
      </c>
      <c r="D11227" t="n">
        <v>55.5319</v>
      </c>
      <c r="E11227" t="n">
        <v>37.52753</v>
      </c>
      <c r="F11227" t="inlineStr"/>
      <c r="G11227" t="inlineStr"/>
      <c r="H11227" t="inlineStr"/>
    </row>
    <row r="11228">
      <c r="A11228" t="inlineStr">
        <is>
          <t>69e3a8af-8940-43e5-8742-b24d9d833048.jpg</t>
        </is>
      </c>
      <c r="B11228">
        <f>HYPERLINK("Объекты недвижимости, не соответствующие градостроительным нормам_00-022_Август/69e3a8af-8940-43e5-8742-b24d9d833048.jpg","open")</f>
        <v/>
      </c>
      <c r="C11228" t="inlineStr">
        <is>
          <t>acedacc2-0d8b-4fc1-9622-25621a89d071</t>
        </is>
      </c>
      <c r="D11228" t="n">
        <v>55.74523</v>
      </c>
      <c r="E11228" t="n">
        <v>37.7674</v>
      </c>
      <c r="F11228" t="inlineStr"/>
      <c r="G11228" t="inlineStr"/>
      <c r="H11228" t="inlineStr"/>
    </row>
    <row r="11229">
      <c r="A11229" t="inlineStr">
        <is>
          <t>3ce58f97-4ebc-465e-af1d-8635e33f6242.jpg</t>
        </is>
      </c>
      <c r="B11229">
        <f>HYPERLINK("Объекты недвижимости, не соответствующие градостроительным нормам_00-022_Август/3ce58f97-4ebc-465e-af1d-8635e33f6242.jpg","open")</f>
        <v/>
      </c>
      <c r="C11229" t="inlineStr">
        <is>
          <t>e85aff3b-73e8-4856-827e-477ccc0aea77</t>
        </is>
      </c>
      <c r="D11229" t="n">
        <v>55.86496</v>
      </c>
      <c r="E11229" t="n">
        <v>37.65849</v>
      </c>
      <c r="F11229" t="inlineStr"/>
      <c r="G11229" t="inlineStr"/>
      <c r="H11229" t="inlineStr"/>
    </row>
    <row r="11230">
      <c r="A11230" t="inlineStr">
        <is>
          <t>a3963a56-91ce-44c9-bef9-c2e337badc6e.jpg</t>
        </is>
      </c>
      <c r="B11230">
        <f>HYPERLINK("Объекты недвижимости, не соответствующие градостроительным нормам_00-022_Август/a3963a56-91ce-44c9-bef9-c2e337badc6e.jpg","open")</f>
        <v/>
      </c>
      <c r="C11230" t="inlineStr">
        <is>
          <t>99f3abba-c55b-49f0-9de5-9f88e9597cc0</t>
        </is>
      </c>
      <c r="D11230" t="n">
        <v>55.64245</v>
      </c>
      <c r="E11230" t="n">
        <v>37.6083</v>
      </c>
      <c r="F11230" t="inlineStr"/>
      <c r="G11230" t="inlineStr"/>
      <c r="H11230" t="inlineStr"/>
    </row>
    <row r="11231">
      <c r="A11231" t="inlineStr">
        <is>
          <t>aba3e2f3-364d-4dea-8f9c-3bbabf419e03.jpg</t>
        </is>
      </c>
      <c r="B11231">
        <f>HYPERLINK("Объекты недвижимости, не соответствующие градостроительным нормам_00-022_Август/aba3e2f3-364d-4dea-8f9c-3bbabf419e03.jpg","open")</f>
        <v/>
      </c>
      <c r="C11231" t="inlineStr">
        <is>
          <t>b0429a31-0c70-4b9f-8ea5-73929d82f89e</t>
        </is>
      </c>
      <c r="D11231" t="n">
        <v>55.64241</v>
      </c>
      <c r="E11231" t="n">
        <v>37.6083</v>
      </c>
      <c r="F11231" t="inlineStr"/>
      <c r="G11231" t="inlineStr"/>
      <c r="H11231" t="inlineStr"/>
    </row>
    <row r="11232">
      <c r="A11232" t="inlineStr">
        <is>
          <t>4d343a7b-2b42-428d-8900-cc86c5671f7b.jpg</t>
        </is>
      </c>
      <c r="B11232">
        <f>HYPERLINK("Объекты недвижимости, не соответствующие градостроительным нормам_00-022_Август/4d343a7b-2b42-428d-8900-cc86c5671f7b.jpg","open")</f>
        <v/>
      </c>
      <c r="C11232" t="inlineStr">
        <is>
          <t>31a713a9-b910-424b-b847-e0eaa2f70c70</t>
        </is>
      </c>
      <c r="D11232" t="n">
        <v>55.8691</v>
      </c>
      <c r="E11232" t="n">
        <v>37.4862</v>
      </c>
      <c r="F11232" t="inlineStr"/>
      <c r="G11232" t="inlineStr"/>
      <c r="H11232" t="inlineStr"/>
    </row>
    <row r="11233">
      <c r="A11233" t="inlineStr">
        <is>
          <t>20024782-c98f-4734-bce7-57ca92e9d516.jpg</t>
        </is>
      </c>
      <c r="B11233">
        <f>HYPERLINK("Объекты недвижимости, не соответствующие градостроительным нормам_00-022_Август/20024782-c98f-4734-bce7-57ca92e9d516.jpg","open")</f>
        <v/>
      </c>
      <c r="C11233" t="inlineStr">
        <is>
          <t>5e5b9944-4f9e-4223-bf96-0bc0c8a93dfa</t>
        </is>
      </c>
      <c r="D11233" t="n">
        <v>55.71754</v>
      </c>
      <c r="E11233" t="n">
        <v>37.64732</v>
      </c>
      <c r="F11233" t="inlineStr"/>
      <c r="G11233" t="inlineStr"/>
      <c r="H11233" t="inlineStr"/>
    </row>
    <row r="11234">
      <c r="A11234" t="inlineStr">
        <is>
          <t>20e88003-816f-410a-8875-f85946f6a6ba.jpg</t>
        </is>
      </c>
      <c r="B11234">
        <f>HYPERLINK("Объекты недвижимости, не соответствующие градостроительным нормам_00-022_Август/20e88003-816f-410a-8875-f85946f6a6ba.jpg","open")</f>
        <v/>
      </c>
      <c r="C11234" t="inlineStr">
        <is>
          <t>ad64e6b9-1ed5-44d7-a101-4945a1f9dec6</t>
        </is>
      </c>
      <c r="D11234" t="n">
        <v>55.53335</v>
      </c>
      <c r="E11234" t="n">
        <v>37.53106</v>
      </c>
      <c r="F11234" t="inlineStr"/>
      <c r="G11234" t="inlineStr"/>
      <c r="H11234" t="inlineStr"/>
    </row>
    <row r="11235">
      <c r="A11235" t="inlineStr">
        <is>
          <t>949e8039-d8c3-4b06-b2a1-3559b07ddf73.jpg</t>
        </is>
      </c>
      <c r="B11235">
        <f>HYPERLINK("Объекты недвижимости, не соответствующие градостроительным нормам_00-022_Август/949e8039-d8c3-4b06-b2a1-3559b07ddf73.jpg","open")</f>
        <v/>
      </c>
      <c r="C11235" t="inlineStr">
        <is>
          <t>caa4772d-6278-4484-a046-ee25514bf521</t>
        </is>
      </c>
      <c r="D11235" t="n">
        <v>55.65958</v>
      </c>
      <c r="E11235" t="n">
        <v>37.71852</v>
      </c>
      <c r="F11235" t="inlineStr"/>
      <c r="G11235" t="inlineStr"/>
      <c r="H11235" t="inlineStr"/>
    </row>
    <row r="11236">
      <c r="A11236" t="inlineStr">
        <is>
          <t>7e3de71f-a2f8-4ff8-bac4-c07982af51a7.jpg</t>
        </is>
      </c>
      <c r="B11236">
        <f>HYPERLINK("Объекты недвижимости, не соответствующие градостроительным нормам_00-022_Август/7e3de71f-a2f8-4ff8-bac4-c07982af51a7.jpg","open")</f>
        <v/>
      </c>
      <c r="C11236" t="inlineStr">
        <is>
          <t>99f3abba-c55b-49f0-9de5-9f88e9597cc0</t>
        </is>
      </c>
      <c r="D11236" t="n">
        <v>55.64186</v>
      </c>
      <c r="E11236" t="n">
        <v>37.61391</v>
      </c>
      <c r="F11236" t="inlineStr"/>
      <c r="G11236" t="inlineStr"/>
      <c r="H11236" t="inlineStr"/>
    </row>
    <row r="11237">
      <c r="A11237" t="inlineStr">
        <is>
          <t>05babd7d-e93f-4545-8cef-e3e537421d48.jpg</t>
        </is>
      </c>
      <c r="B11237">
        <f>HYPERLINK("Объекты недвижимости, не соответствующие градостроительным нормам_00-022_Август/05babd7d-e93f-4545-8cef-e3e537421d48.jpg","open")</f>
        <v/>
      </c>
      <c r="C11237" t="inlineStr">
        <is>
          <t>99f3abba-c55b-49f0-9de5-9f88e9597cc0</t>
        </is>
      </c>
      <c r="D11237" t="n">
        <v>55.64191</v>
      </c>
      <c r="E11237" t="n">
        <v>37.61506</v>
      </c>
      <c r="F11237" t="inlineStr"/>
      <c r="G11237" t="inlineStr"/>
      <c r="H11237" t="inlineStr"/>
    </row>
    <row r="11238">
      <c r="A11238" t="inlineStr">
        <is>
          <t>470f493f-2f1d-451b-91a2-4f646df698f3.jpg</t>
        </is>
      </c>
      <c r="B11238">
        <f>HYPERLINK("Объекты недвижимости, не соответствующие градостроительным нормам_00-022_Август/470f493f-2f1d-451b-91a2-4f646df698f3.jpg","open")</f>
        <v/>
      </c>
      <c r="C11238" t="inlineStr">
        <is>
          <t>fb9a37cc-57a6-447c-98bb-0b299f09c809</t>
        </is>
      </c>
      <c r="D11238" t="n">
        <v>55.77847</v>
      </c>
      <c r="E11238" t="n">
        <v>37.82989</v>
      </c>
      <c r="F11238" t="inlineStr"/>
      <c r="G11238" t="inlineStr"/>
      <c r="H11238" t="inlineStr"/>
    </row>
    <row r="11239">
      <c r="A11239" t="inlineStr">
        <is>
          <t>18cfbd91-8036-4638-ab8e-d1d6efb4d725.jpg</t>
        </is>
      </c>
      <c r="B11239">
        <f>HYPERLINK("Объекты недвижимости, не соответствующие градостроительным нормам_00-022_Август/18cfbd91-8036-4638-ab8e-d1d6efb4d725.jpg","open")</f>
        <v/>
      </c>
      <c r="C11239" t="inlineStr">
        <is>
          <t>caa4772d-6278-4484-a046-ee25514bf521</t>
        </is>
      </c>
      <c r="D11239" t="n">
        <v>55.66492</v>
      </c>
      <c r="E11239" t="n">
        <v>37.74763</v>
      </c>
      <c r="F11239" t="inlineStr"/>
      <c r="G11239" t="inlineStr"/>
      <c r="H11239" t="inlineStr"/>
    </row>
    <row r="11240">
      <c r="A11240" t="inlineStr">
        <is>
          <t>9d065ee0-ab84-4b84-b61f-e52c4150ed67.jpg</t>
        </is>
      </c>
      <c r="B11240">
        <f>HYPERLINK("Объекты недвижимости, не соответствующие градостроительным нормам_00-022_Август/9d065ee0-ab84-4b84-b61f-e52c4150ed67.jpg","open")</f>
        <v/>
      </c>
      <c r="C11240" t="inlineStr">
        <is>
          <t>56702d00-3d38-4721-8f83-3846a59c1e44</t>
        </is>
      </c>
      <c r="D11240" t="n">
        <v>55.97944</v>
      </c>
      <c r="E11240" t="n">
        <v>37.29576</v>
      </c>
      <c r="F11240" t="inlineStr"/>
      <c r="G11240" t="inlineStr"/>
      <c r="H11240" t="inlineStr"/>
    </row>
    <row r="11241">
      <c r="A11241" t="inlineStr">
        <is>
          <t>a475cd06-5466-4b24-a9da-db7a8c730ebf.jpg</t>
        </is>
      </c>
      <c r="B11241">
        <f>HYPERLINK("Объекты недвижимости, не соответствующие градостроительным нормам_00-022_Август/a475cd06-5466-4b24-a9da-db7a8c730ebf.jpg","open")</f>
        <v/>
      </c>
      <c r="C11241" t="inlineStr">
        <is>
          <t>50e4626c-a80e-42ab-b999-b5092c2c063f</t>
        </is>
      </c>
      <c r="D11241" t="n">
        <v>55.97944</v>
      </c>
      <c r="E11241" t="n">
        <v>37.29576</v>
      </c>
      <c r="F11241" t="inlineStr"/>
      <c r="G11241" t="inlineStr"/>
      <c r="H11241" t="inlineStr"/>
    </row>
    <row r="11242">
      <c r="A11242" t="inlineStr">
        <is>
          <t>76e17271-c9ca-4e8b-b4de-a2bfc9e81403.jpg</t>
        </is>
      </c>
      <c r="B11242">
        <f>HYPERLINK("Объекты недвижимости, не соответствующие градостроительным нормам_00-022_Август/76e17271-c9ca-4e8b-b4de-a2bfc9e81403.jpg","open")</f>
        <v/>
      </c>
      <c r="C11242" t="inlineStr">
        <is>
          <t>e85aff3b-73e8-4856-827e-477ccc0aea77</t>
        </is>
      </c>
      <c r="D11242" t="n">
        <v>55.86496</v>
      </c>
      <c r="E11242" t="n">
        <v>37.65849</v>
      </c>
      <c r="F11242" t="inlineStr"/>
      <c r="G11242" t="inlineStr"/>
      <c r="H11242" t="inlineStr"/>
    </row>
    <row r="11243">
      <c r="A11243" t="inlineStr">
        <is>
          <t>7a558285-7023-40e5-ac1a-6d2384461682.jpg</t>
        </is>
      </c>
      <c r="B11243">
        <f>HYPERLINK("Объекты недвижимости, не соответствующие градостроительным нормам_00-022_Август/7a558285-7023-40e5-ac1a-6d2384461682.jpg","open")</f>
        <v/>
      </c>
      <c r="C11243" t="inlineStr">
        <is>
          <t>036c664f-5408-4fd0-b479-342c00468eeb</t>
        </is>
      </c>
      <c r="D11243" t="n">
        <v>55.73782</v>
      </c>
      <c r="E11243" t="n">
        <v>37.54362</v>
      </c>
      <c r="F11243" t="inlineStr"/>
      <c r="G11243" t="inlineStr"/>
      <c r="H11243" t="inlineStr"/>
    </row>
    <row r="11244">
      <c r="A11244" t="inlineStr">
        <is>
          <t>6cb18f40-3542-4487-b1db-fe8835118ec6.jpg</t>
        </is>
      </c>
      <c r="B11244">
        <f>HYPERLINK("Объекты недвижимости, не соответствующие градостроительным нормам_00-022_Август/6cb18f40-3542-4487-b1db-fe8835118ec6.jpg","open")</f>
        <v/>
      </c>
      <c r="C11244" t="inlineStr">
        <is>
          <t>0ae6fd20-177f-4af7-9257-efb3c784b357</t>
        </is>
      </c>
      <c r="D11244" t="n">
        <v>55.86496</v>
      </c>
      <c r="E11244" t="n">
        <v>37.65849</v>
      </c>
      <c r="F11244" t="inlineStr"/>
      <c r="G11244" t="inlineStr"/>
      <c r="H11244" t="inlineStr"/>
    </row>
    <row r="11245">
      <c r="A11245" t="inlineStr">
        <is>
          <t>2c4d5c60-7b5d-4370-b14c-95bf0de512b4.jpg</t>
        </is>
      </c>
      <c r="B11245">
        <f>HYPERLINK("Объекты недвижимости, не соответствующие градостроительным нормам_00-022_Август/2c4d5c60-7b5d-4370-b14c-95bf0de512b4.jpg","open")</f>
        <v/>
      </c>
      <c r="C11245" t="inlineStr">
        <is>
          <t>9fb3d110-951f-48da-9d90-cfd7e1b5800d</t>
        </is>
      </c>
      <c r="D11245" t="n">
        <v>55.68104</v>
      </c>
      <c r="E11245" t="n">
        <v>37.45482</v>
      </c>
      <c r="F11245" t="inlineStr"/>
      <c r="G11245" t="inlineStr"/>
      <c r="H11245" t="inlineStr"/>
    </row>
    <row r="11246">
      <c r="A11246" t="inlineStr">
        <is>
          <t>394057d4-a5e0-4e38-9936-6860b50231cb.jpg</t>
        </is>
      </c>
      <c r="B11246">
        <f>HYPERLINK("Объекты недвижимости, не соответствующие градостроительным нормам_00-022_Август/394057d4-a5e0-4e38-9936-6860b50231cb.jpg","open")</f>
        <v/>
      </c>
      <c r="C11246" t="inlineStr">
        <is>
          <t>e85aff3b-73e8-4856-827e-477ccc0aea77</t>
        </is>
      </c>
      <c r="D11246" t="n">
        <v>55.86496</v>
      </c>
      <c r="E11246" t="n">
        <v>37.65849</v>
      </c>
      <c r="F11246" t="inlineStr"/>
      <c r="G11246" t="inlineStr"/>
      <c r="H11246" t="inlineStr"/>
    </row>
    <row r="11247">
      <c r="A11247" t="inlineStr">
        <is>
          <t>07fd4fc0-01da-4dcd-a0c0-eadc389257b3.jpg</t>
        </is>
      </c>
      <c r="B11247">
        <f>HYPERLINK("Объекты недвижимости, не соответствующие градостроительным нормам_00-022_Август/07fd4fc0-01da-4dcd-a0c0-eadc389257b3.jpg","open")</f>
        <v/>
      </c>
      <c r="C11247" t="inlineStr">
        <is>
          <t>0ae6fd20-177f-4af7-9257-efb3c784b357</t>
        </is>
      </c>
      <c r="D11247" t="n">
        <v>55.86496</v>
      </c>
      <c r="E11247" t="n">
        <v>37.65849</v>
      </c>
      <c r="F11247" t="inlineStr"/>
      <c r="G11247" t="inlineStr"/>
      <c r="H11247" t="inlineStr"/>
    </row>
    <row r="11248">
      <c r="A11248" t="inlineStr">
        <is>
          <t>6dcf25aa-faab-46b6-b19a-707b9c39d892.jpg</t>
        </is>
      </c>
      <c r="B11248">
        <f>HYPERLINK("Объекты недвижимости, не соответствующие градостроительным нормам_00-022_Август/6dcf25aa-faab-46b6-b19a-707b9c39d892.jpg","open")</f>
        <v/>
      </c>
      <c r="C11248" t="inlineStr">
        <is>
          <t>dd48f742-b338-42e2-bbaf-b3a9701b437c</t>
        </is>
      </c>
      <c r="D11248" t="n">
        <v>55.87048</v>
      </c>
      <c r="E11248" t="n">
        <v>37.6785</v>
      </c>
      <c r="F11248" t="inlineStr"/>
      <c r="G11248" t="inlineStr"/>
      <c r="H11248" t="inlineStr"/>
    </row>
    <row r="11249">
      <c r="A11249" t="inlineStr">
        <is>
          <t>e9bc560d-ed0a-465b-9688-d088e8ec6ca0.jpg</t>
        </is>
      </c>
      <c r="B11249">
        <f>HYPERLINK("Объекты недвижимости, не соответствующие градостроительным нормам_00-022_Август/e9bc560d-ed0a-465b-9688-d088e8ec6ca0.jpg","open")</f>
        <v/>
      </c>
      <c r="C11249" t="inlineStr">
        <is>
          <t>f6f80c84-5569-48fd-b627-6f41ce4c61c4</t>
        </is>
      </c>
      <c r="D11249" t="n">
        <v>55.67107</v>
      </c>
      <c r="E11249" t="n">
        <v>37.74836</v>
      </c>
      <c r="F11249" t="inlineStr"/>
      <c r="G11249" t="inlineStr"/>
      <c r="H11249" t="inlineStr"/>
    </row>
    <row r="11250">
      <c r="A11250" t="inlineStr">
        <is>
          <t>1b2c003c-6ade-497e-83fa-453c3f1e3098.jpg</t>
        </is>
      </c>
      <c r="B11250">
        <f>HYPERLINK("Объекты недвижимости, не соответствующие градостроительным нормам_00-022_Август/1b2c003c-6ade-497e-83fa-453c3f1e3098.jpg","open")</f>
        <v/>
      </c>
      <c r="C11250" t="inlineStr">
        <is>
          <t>f389b777-2837-46f0-983f-56af24850601</t>
        </is>
      </c>
      <c r="D11250" t="n">
        <v>55.75765</v>
      </c>
      <c r="E11250" t="n">
        <v>37.53652</v>
      </c>
      <c r="F11250" t="inlineStr"/>
      <c r="G11250" t="inlineStr"/>
      <c r="H11250" t="inlineStr"/>
    </row>
    <row r="11251">
      <c r="A11251" t="inlineStr">
        <is>
          <t>387decfa-b394-441f-be09-a24eda1c6439.jpg</t>
        </is>
      </c>
      <c r="B11251">
        <f>HYPERLINK("Объекты недвижимости, не соответствующие градостроительным нормам_00-022_Август/387decfa-b394-441f-be09-a24eda1c6439.jpg","open")</f>
        <v/>
      </c>
      <c r="C11251" t="inlineStr">
        <is>
          <t>57812597-37e6-414c-8b11-8c661dbfeb70</t>
        </is>
      </c>
      <c r="D11251" t="n">
        <v>55.75765</v>
      </c>
      <c r="E11251" t="n">
        <v>37.53652</v>
      </c>
      <c r="F11251" t="inlineStr"/>
      <c r="G11251" t="inlineStr"/>
      <c r="H11251" t="inlineStr"/>
    </row>
    <row r="11252">
      <c r="A11252" t="inlineStr">
        <is>
          <t>8545491e-fc5d-4309-a432-4cf3d53e8bc3.jpg</t>
        </is>
      </c>
      <c r="B11252">
        <f>HYPERLINK("Объекты недвижимости, не соответствующие градостроительным нормам_00-022_Август/8545491e-fc5d-4309-a432-4cf3d53e8bc3.jpg","open")</f>
        <v/>
      </c>
      <c r="C11252" t="inlineStr">
        <is>
          <t>12e795ad-2aa7-49de-b2da-2c6aa35a4559</t>
        </is>
      </c>
      <c r="D11252" t="n">
        <v>55.53549</v>
      </c>
      <c r="E11252" t="n">
        <v>37.52377</v>
      </c>
      <c r="F11252" t="inlineStr"/>
      <c r="G11252" t="inlineStr"/>
      <c r="H11252" t="inlineStr"/>
    </row>
    <row r="11253">
      <c r="A11253" t="inlineStr">
        <is>
          <t>670b08ce-ede5-4f04-b59f-ae1f170c35d9.jpg</t>
        </is>
      </c>
      <c r="B11253">
        <f>HYPERLINK("Объекты недвижимости, не соответствующие градостроительным нормам_00-022_Август/670b08ce-ede5-4f04-b59f-ae1f170c35d9.jpg","open")</f>
        <v/>
      </c>
      <c r="C11253" t="inlineStr">
        <is>
          <t>1a55986c-2c3f-40c0-b3d1-014dce77832e</t>
        </is>
      </c>
      <c r="D11253" t="n">
        <v>55.40557</v>
      </c>
      <c r="E11253" t="n">
        <v>37.18425</v>
      </c>
      <c r="F11253" t="inlineStr"/>
      <c r="G11253" t="inlineStr"/>
      <c r="H11253" t="inlineStr"/>
    </row>
    <row r="11254">
      <c r="A11254" t="inlineStr">
        <is>
          <t>5b1b18c8-df6f-4d41-8481-1cb3d0ad51c1.jpg</t>
        </is>
      </c>
      <c r="B11254">
        <f>HYPERLINK("Объекты недвижимости, не соответствующие градостроительным нормам_00-022_Август/5b1b18c8-df6f-4d41-8481-1cb3d0ad51c1.jpg","open")</f>
        <v/>
      </c>
      <c r="C11254" t="inlineStr">
        <is>
          <t>b0429a31-0c70-4b9f-8ea5-73929d82f89e</t>
        </is>
      </c>
      <c r="D11254" t="n">
        <v>55.65931</v>
      </c>
      <c r="E11254" t="n">
        <v>37.61995</v>
      </c>
      <c r="F11254" t="inlineStr"/>
      <c r="G11254" t="inlineStr"/>
      <c r="H11254" t="inlineStr"/>
    </row>
    <row r="11255">
      <c r="A11255" t="inlineStr">
        <is>
          <t>dd7af1d4-f47e-4b87-bbde-dd9cda73a5ec.jpg</t>
        </is>
      </c>
      <c r="B11255">
        <f>HYPERLINK("Объекты недвижимости, не соответствующие градостроительным нормам_00-022_Август/dd7af1d4-f47e-4b87-bbde-dd9cda73a5ec.jpg","open")</f>
        <v/>
      </c>
      <c r="C11255" t="inlineStr">
        <is>
          <t>c008bda0-324b-4c90-9c2f-36cfc930e0b5</t>
        </is>
      </c>
      <c r="D11255" t="n">
        <v>55.7732</v>
      </c>
      <c r="E11255" t="n">
        <v>37.68707</v>
      </c>
      <c r="F11255" t="inlineStr"/>
      <c r="G11255" t="inlineStr"/>
      <c r="H11255" t="inlineStr"/>
    </row>
    <row r="11256">
      <c r="A11256" t="inlineStr">
        <is>
          <t>16c3f4b5-504f-4282-8dec-af79d6056d4f.jpg</t>
        </is>
      </c>
      <c r="B11256">
        <f>HYPERLINK("Объекты недвижимости, не соответствующие градостроительным нормам_00-022_Август/16c3f4b5-504f-4282-8dec-af79d6056d4f.jpg","open")</f>
        <v/>
      </c>
      <c r="C11256" t="inlineStr">
        <is>
          <t>29ad9edb-d533-4272-a986-be24eb004851</t>
        </is>
      </c>
      <c r="D11256" t="n">
        <v>55.77327</v>
      </c>
      <c r="E11256" t="n">
        <v>37.68689</v>
      </c>
      <c r="F11256" t="inlineStr"/>
      <c r="G11256" t="inlineStr"/>
      <c r="H11256" t="inlineStr"/>
    </row>
    <row r="11257">
      <c r="A11257" t="inlineStr">
        <is>
          <t>ebbc2629-dc3f-4ab4-98c0-c614fcfd534a.jpg</t>
        </is>
      </c>
      <c r="B11257">
        <f>HYPERLINK("Объекты недвижимости, не соответствующие градостроительным нормам_00-022_Август/ebbc2629-dc3f-4ab4-98c0-c614fcfd534a.jpg","open")</f>
        <v/>
      </c>
      <c r="C11257" t="inlineStr">
        <is>
          <t>ed2bf0f1-3a66-4913-896e-4420a9796c0b</t>
        </is>
      </c>
      <c r="D11257" t="n">
        <v>55.40816</v>
      </c>
      <c r="E11257" t="n">
        <v>37.17762</v>
      </c>
      <c r="F11257" t="inlineStr"/>
      <c r="G11257" t="inlineStr"/>
      <c r="H11257" t="inlineStr"/>
    </row>
    <row r="11258">
      <c r="A11258" t="inlineStr">
        <is>
          <t>98fe0a6a-4bf8-4d6b-86b0-775c63926fe0.jpg</t>
        </is>
      </c>
      <c r="B11258">
        <f>HYPERLINK("Объекты недвижимости, не соответствующие градостроительным нормам_00-022_Август/98fe0a6a-4bf8-4d6b-86b0-775c63926fe0.jpg","open")</f>
        <v/>
      </c>
      <c r="C11258" t="inlineStr">
        <is>
          <t>57812597-37e6-414c-8b11-8c661dbfeb70</t>
        </is>
      </c>
      <c r="D11258" t="n">
        <v>55.75765</v>
      </c>
      <c r="E11258" t="n">
        <v>37.53652</v>
      </c>
      <c r="F11258" t="inlineStr"/>
      <c r="G11258" t="inlineStr"/>
      <c r="H11258" t="inlineStr"/>
    </row>
    <row r="11259">
      <c r="A11259" t="inlineStr">
        <is>
          <t>31f302b9-82b8-4ff5-9713-7e123584ee99.jpg</t>
        </is>
      </c>
      <c r="B11259">
        <f>HYPERLINK("Объекты недвижимости, не соответствующие градостроительным нормам_00-022_Август/31f302b9-82b8-4ff5-9713-7e123584ee99.jpg","open")</f>
        <v/>
      </c>
      <c r="C11259" t="inlineStr">
        <is>
          <t>50e4626c-a80e-42ab-b999-b5092c2c063f</t>
        </is>
      </c>
      <c r="D11259" t="n">
        <v>55.98812</v>
      </c>
      <c r="E11259" t="n">
        <v>37.235</v>
      </c>
      <c r="F11259" t="inlineStr"/>
      <c r="G11259" t="inlineStr"/>
      <c r="H11259" t="inlineStr"/>
    </row>
    <row r="11260">
      <c r="A11260" t="inlineStr">
        <is>
          <t>0d87ade1-bbdb-40f8-b3d8-fe3177a9ec69.jpg</t>
        </is>
      </c>
      <c r="B11260">
        <f>HYPERLINK("Объекты недвижимости, не соответствующие градостроительным нормам_00-022_Август/0d87ade1-bbdb-40f8-b3d8-fe3177a9ec69.jpg","open")</f>
        <v/>
      </c>
      <c r="C11260" t="inlineStr">
        <is>
          <t>ffd931da-542f-43e9-979f-5552b17fe3dc</t>
        </is>
      </c>
      <c r="D11260" t="n">
        <v>55.81721</v>
      </c>
      <c r="E11260" t="n">
        <v>37.82662</v>
      </c>
      <c r="F11260" t="inlineStr"/>
      <c r="G11260" t="inlineStr"/>
      <c r="H11260" t="inlineStr"/>
    </row>
    <row r="11261">
      <c r="A11261" t="inlineStr">
        <is>
          <t>f9760a4c-0d9b-4635-b8fd-cdd31025d02e.jpg</t>
        </is>
      </c>
      <c r="B11261">
        <f>HYPERLINK("Объекты недвижимости, не соответствующие градостроительным нормам_00-022_Август/f9760a4c-0d9b-4635-b8fd-cdd31025d02e.jpg","open")</f>
        <v/>
      </c>
      <c r="C11261" t="inlineStr">
        <is>
          <t>caa4772d-6278-4484-a046-ee25514bf521</t>
        </is>
      </c>
      <c r="D11261" t="n">
        <v>55.67719</v>
      </c>
      <c r="E11261" t="n">
        <v>37.74451</v>
      </c>
      <c r="F11261" t="inlineStr"/>
      <c r="G11261" t="inlineStr"/>
      <c r="H11261" t="inlineStr"/>
    </row>
    <row r="11262">
      <c r="A11262" t="inlineStr">
        <is>
          <t>f555439b-a1a1-4b94-ad84-5e5da43ce175.jpg</t>
        </is>
      </c>
      <c r="B11262">
        <f>HYPERLINK("Объекты недвижимости, не соответствующие градостроительным нормам_00-022_Август/f555439b-a1a1-4b94-ad84-5e5da43ce175.jpg","open")</f>
        <v/>
      </c>
      <c r="C11262" t="inlineStr">
        <is>
          <t>c008bda0-324b-4c90-9c2f-36cfc930e0b5</t>
        </is>
      </c>
      <c r="D11262" t="n">
        <v>55.7825</v>
      </c>
      <c r="E11262" t="n">
        <v>37.67088</v>
      </c>
      <c r="F11262" t="inlineStr"/>
      <c r="G11262" t="inlineStr"/>
      <c r="H11262" t="inlineStr"/>
    </row>
    <row r="11263">
      <c r="A11263" t="inlineStr">
        <is>
          <t>a415774a-3501-42b3-808b-b230a0ac5b0d.jpg</t>
        </is>
      </c>
      <c r="B11263">
        <f>HYPERLINK("Объекты недвижимости, не соответствующие градостроительным нормам_00-022_Август/a415774a-3501-42b3-808b-b230a0ac5b0d.jpg","open")</f>
        <v/>
      </c>
      <c r="C11263" t="inlineStr">
        <is>
          <t>8cde1fd0-eca1-4510-86ab-3c743b65fdfc</t>
        </is>
      </c>
      <c r="D11263" t="n">
        <v>55.79761</v>
      </c>
      <c r="E11263" t="n">
        <v>37.54026</v>
      </c>
      <c r="F11263" t="inlineStr"/>
      <c r="G11263" t="inlineStr"/>
      <c r="H11263" t="inlineStr"/>
    </row>
    <row r="11264">
      <c r="A11264" t="inlineStr">
        <is>
          <t>42673768-9729-4764-beb1-7b402d2fd161.jpg</t>
        </is>
      </c>
      <c r="B11264">
        <f>HYPERLINK("Объекты недвижимости, не соответствующие градостроительным нормам_00-022_Август/42673768-9729-4764-beb1-7b402d2fd161.jpg","open")</f>
        <v/>
      </c>
      <c r="C11264" t="inlineStr">
        <is>
          <t>caa4772d-6278-4484-a046-ee25514bf521</t>
        </is>
      </c>
      <c r="D11264" t="n">
        <v>55.67254</v>
      </c>
      <c r="E11264" t="n">
        <v>37.73986</v>
      </c>
      <c r="F11264" t="inlineStr"/>
      <c r="G11264" t="inlineStr"/>
      <c r="H11264" t="inlineStr"/>
    </row>
    <row r="11265">
      <c r="A11265" t="inlineStr">
        <is>
          <t>7d51cb87-52a8-49be-89d8-687c4809f307.jpg</t>
        </is>
      </c>
      <c r="B11265">
        <f>HYPERLINK("Объекты недвижимости, не соответствующие градостроительным нормам_00-022_Август/7d51cb87-52a8-49be-89d8-687c4809f307.jpg","open")</f>
        <v/>
      </c>
      <c r="C11265" t="inlineStr">
        <is>
          <t>b0b7ea82-53be-40d0-b992-e2fd18611d5c</t>
        </is>
      </c>
      <c r="D11265" t="n">
        <v>55.68121</v>
      </c>
      <c r="E11265" t="n">
        <v>37.71788</v>
      </c>
      <c r="F11265" t="inlineStr"/>
      <c r="G11265" t="inlineStr"/>
      <c r="H11265" t="inlineStr"/>
    </row>
    <row r="11266">
      <c r="A11266" t="inlineStr">
        <is>
          <t>2778c1c0-8e2b-4b7b-bbd8-cf22d45f1ddd.jpg</t>
        </is>
      </c>
      <c r="B11266">
        <f>HYPERLINK("Объекты недвижимости, не соответствующие градостроительным нормам_00-022_Август/2778c1c0-8e2b-4b7b-bbd8-cf22d45f1ddd.jpg","open")</f>
        <v/>
      </c>
      <c r="C11266" t="inlineStr">
        <is>
          <t>fce890a6-27da-4062-a046-08262a160ee6</t>
        </is>
      </c>
      <c r="D11266" t="n">
        <v>55.6959</v>
      </c>
      <c r="E11266" t="n">
        <v>37.62165</v>
      </c>
      <c r="F11266" t="inlineStr"/>
      <c r="G11266" t="inlineStr"/>
      <c r="H11266" t="inlineStr"/>
    </row>
    <row r="11267">
      <c r="A11267" t="inlineStr">
        <is>
          <t>2d828532-243d-4e25-8cd7-cb0a3dd649f9.jpg</t>
        </is>
      </c>
      <c r="B11267">
        <f>HYPERLINK("Объекты недвижимости, не соответствующие градостроительным нормам_00-022_Август/2d828532-243d-4e25-8cd7-cb0a3dd649f9.jpg","open")</f>
        <v/>
      </c>
      <c r="C11267" t="inlineStr">
        <is>
          <t>fce890a6-27da-4062-a046-08262a160ee6</t>
        </is>
      </c>
      <c r="D11267" t="n">
        <v>55.6959</v>
      </c>
      <c r="E11267" t="n">
        <v>37.62165</v>
      </c>
      <c r="F11267" t="inlineStr"/>
      <c r="G11267" t="inlineStr"/>
      <c r="H11267" t="inlineStr"/>
    </row>
    <row r="11268">
      <c r="A11268" t="inlineStr">
        <is>
          <t>f3ebdef0-563d-4528-bab6-4619f913b311.jpg</t>
        </is>
      </c>
      <c r="B11268">
        <f>HYPERLINK("Объекты недвижимости, не соответствующие градостроительным нормам_00-022_Август/f3ebdef0-563d-4528-bab6-4619f913b311.jpg","open")</f>
        <v/>
      </c>
      <c r="C11268" t="inlineStr">
        <is>
          <t>e26f5fc2-1353-4f29-85f3-87c56419161c</t>
        </is>
      </c>
      <c r="D11268" t="n">
        <v>55.79241</v>
      </c>
      <c r="E11268" t="n">
        <v>37.59168</v>
      </c>
      <c r="F11268" t="inlineStr"/>
      <c r="G11268" t="inlineStr"/>
      <c r="H11268" t="inlineStr"/>
    </row>
    <row r="11269">
      <c r="A11269" t="inlineStr">
        <is>
          <t>6ecfea63-7123-42da-8624-ddf5f3d3e743.jpg</t>
        </is>
      </c>
      <c r="B11269">
        <f>HYPERLINK("Объекты недвижимости, не соответствующие градостроительным нормам_00-022_Август/6ecfea63-7123-42da-8624-ddf5f3d3e743.jpg","open")</f>
        <v/>
      </c>
      <c r="C11269" t="inlineStr">
        <is>
          <t>a28f597e-d1cd-4d3b-b572-c86d033412e9</t>
        </is>
      </c>
      <c r="D11269" t="n">
        <v>55.73083</v>
      </c>
      <c r="E11269" t="n">
        <v>37.44517</v>
      </c>
      <c r="F11269" t="inlineStr"/>
      <c r="G11269" t="inlineStr"/>
      <c r="H11269" t="inlineStr"/>
    </row>
    <row r="11270">
      <c r="A11270" t="inlineStr">
        <is>
          <t>d5735f7b-35ff-4a1c-837b-6b6e5f37896f.jpg</t>
        </is>
      </c>
      <c r="B11270">
        <f>HYPERLINK("Объекты недвижимости, не соответствующие градостроительным нормам_00-022_Август/d5735f7b-35ff-4a1c-837b-6b6e5f37896f.jpg","open")</f>
        <v/>
      </c>
      <c r="C11270" t="inlineStr">
        <is>
          <t>e26f5fc2-1353-4f29-85f3-87c56419161c</t>
        </is>
      </c>
      <c r="D11270" t="n">
        <v>55.7924</v>
      </c>
      <c r="E11270" t="n">
        <v>37.59152</v>
      </c>
      <c r="F11270" t="inlineStr"/>
      <c r="G11270" t="inlineStr"/>
      <c r="H11270" t="inlineStr"/>
    </row>
    <row r="11271">
      <c r="A11271" t="inlineStr">
        <is>
          <t>b17a6123-0fc0-44d9-8f3f-55c4d6449cf2.jpg</t>
        </is>
      </c>
      <c r="B11271">
        <f>HYPERLINK("Объекты недвижимости, не соответствующие градостроительным нормам_00-022_Август/b17a6123-0fc0-44d9-8f3f-55c4d6449cf2.jpg","open")</f>
        <v/>
      </c>
      <c r="C11271" t="inlineStr">
        <is>
          <t>fce890a6-27da-4062-a046-08262a160ee6</t>
        </is>
      </c>
      <c r="D11271" t="n">
        <v>55.6959</v>
      </c>
      <c r="E11271" t="n">
        <v>37.62165</v>
      </c>
      <c r="F11271" t="inlineStr"/>
      <c r="G11271" t="inlineStr"/>
      <c r="H11271" t="inlineStr"/>
    </row>
    <row r="11272">
      <c r="A11272" t="inlineStr">
        <is>
          <t>eef30cef-41b9-4b74-ac4b-56cea8b7cd96.jpg</t>
        </is>
      </c>
      <c r="B11272">
        <f>HYPERLINK("Объекты недвижимости, не соответствующие градостроительным нормам_00-022_Август/eef30cef-41b9-4b74-ac4b-56cea8b7cd96.jpg","open")</f>
        <v/>
      </c>
      <c r="C11272" t="inlineStr">
        <is>
          <t>caa4772d-6278-4484-a046-ee25514bf521</t>
        </is>
      </c>
      <c r="D11272" t="n">
        <v>55.66773</v>
      </c>
      <c r="E11272" t="n">
        <v>37.75253</v>
      </c>
      <c r="F11272" t="inlineStr"/>
      <c r="G11272" t="inlineStr"/>
      <c r="H11272" t="inlineStr"/>
    </row>
    <row r="11273">
      <c r="A11273" t="inlineStr">
        <is>
          <t>5d682af7-59b4-428b-a99b-afd0e5ca79cd.jpg</t>
        </is>
      </c>
      <c r="B11273">
        <f>HYPERLINK("Объекты недвижимости, не соответствующие градостроительным нормам_00-022_Август/5d682af7-59b4-428b-a99b-afd0e5ca79cd.jpg","open")</f>
        <v/>
      </c>
      <c r="C11273" t="inlineStr">
        <is>
          <t>6e2567a0-1fb9-40d5-a0e7-0adb480d2965</t>
        </is>
      </c>
      <c r="D11273" t="n">
        <v>55.78202</v>
      </c>
      <c r="E11273" t="n">
        <v>37.67139</v>
      </c>
      <c r="F11273" t="inlineStr"/>
      <c r="G11273" t="inlineStr"/>
      <c r="H11273" t="inlineStr"/>
    </row>
    <row r="11274">
      <c r="A11274" t="inlineStr">
        <is>
          <t>b1235940-87df-4c5f-af6b-9c2084d9e21a.jpg</t>
        </is>
      </c>
      <c r="B11274">
        <f>HYPERLINK("Объекты недвижимости, не соответствующие градостроительным нормам_00-022_Август/b1235940-87df-4c5f-af6b-9c2084d9e21a.jpg","open")</f>
        <v/>
      </c>
      <c r="C11274" t="inlineStr">
        <is>
          <t>e26f5fc2-1353-4f29-85f3-87c56419161c</t>
        </is>
      </c>
      <c r="D11274" t="n">
        <v>55.83379</v>
      </c>
      <c r="E11274" t="n">
        <v>37.57306</v>
      </c>
      <c r="F11274" t="inlineStr"/>
      <c r="G11274" t="inlineStr"/>
      <c r="H11274" t="inlineStr"/>
    </row>
    <row r="11275">
      <c r="A11275" t="inlineStr">
        <is>
          <t>fc243775-1dbe-4b46-befa-a6e04ca7de6d.jpg</t>
        </is>
      </c>
      <c r="B11275">
        <f>HYPERLINK("Объекты недвижимости, не соответствующие градостроительным нормам_00-022_Август/fc243775-1dbe-4b46-befa-a6e04ca7de6d.jpg","open")</f>
        <v/>
      </c>
      <c r="C11275" t="inlineStr">
        <is>
          <t>f20fbc2b-b369-4734-bb66-92af02fbb0d1</t>
        </is>
      </c>
      <c r="D11275" t="n">
        <v>55.67639</v>
      </c>
      <c r="E11275" t="n">
        <v>37.71808</v>
      </c>
      <c r="F11275" t="inlineStr"/>
      <c r="G11275" t="inlineStr"/>
      <c r="H11275" t="inlineStr"/>
    </row>
    <row r="11276">
      <c r="A11276" t="inlineStr">
        <is>
          <t>6c6d9dad-af2a-4fe6-9b3e-c1a374765a01.jpg</t>
        </is>
      </c>
      <c r="B11276">
        <f>HYPERLINK("Объекты недвижимости, не соответствующие градостроительным нормам_00-022_Август/6c6d9dad-af2a-4fe6-9b3e-c1a374765a01.jpg","open")</f>
        <v/>
      </c>
      <c r="C11276" t="inlineStr">
        <is>
          <t>b0b7ea82-53be-40d0-b992-e2fd18611d5c</t>
        </is>
      </c>
      <c r="D11276" t="n">
        <v>55.67634</v>
      </c>
      <c r="E11276" t="n">
        <v>37.7185</v>
      </c>
      <c r="F11276" t="inlineStr"/>
      <c r="G11276" t="inlineStr"/>
      <c r="H11276" t="inlineStr"/>
    </row>
    <row r="11277">
      <c r="A11277" t="inlineStr">
        <is>
          <t>f2aa2e59-5fbf-488d-8a32-4758e6046f20.jpg</t>
        </is>
      </c>
      <c r="B11277">
        <f>HYPERLINK("Объекты недвижимости, не соответствующие градостроительным нормам_00-022_Август/f2aa2e59-5fbf-488d-8a32-4758e6046f20.jpg","open")</f>
        <v/>
      </c>
      <c r="C11277" t="inlineStr">
        <is>
          <t>50e4626c-a80e-42ab-b999-b5092c2c063f</t>
        </is>
      </c>
      <c r="D11277" t="n">
        <v>55.99296</v>
      </c>
      <c r="E11277" t="n">
        <v>37.25153</v>
      </c>
      <c r="F11277" t="inlineStr"/>
      <c r="G11277" t="inlineStr"/>
      <c r="H11277" t="inlineStr"/>
    </row>
    <row r="11278">
      <c r="A11278" t="inlineStr">
        <is>
          <t>1db00662-001d-4c5a-ba82-1391afdae6e1.jpg</t>
        </is>
      </c>
      <c r="B11278">
        <f>HYPERLINK("Объекты недвижимости, не соответствующие градостроительным нормам_00-022_Август/1db00662-001d-4c5a-ba82-1391afdae6e1.jpg","open")</f>
        <v/>
      </c>
      <c r="C11278" t="inlineStr">
        <is>
          <t>b0b7ea82-53be-40d0-b992-e2fd18611d5c</t>
        </is>
      </c>
      <c r="D11278" t="n">
        <v>55.67564</v>
      </c>
      <c r="E11278" t="n">
        <v>37.71754</v>
      </c>
      <c r="F11278" t="inlineStr"/>
      <c r="G11278" t="inlineStr"/>
      <c r="H11278" t="inlineStr"/>
    </row>
    <row r="11279">
      <c r="A11279" t="inlineStr">
        <is>
          <t>ebd8ceb0-489e-4ff7-90ea-0ace6511b34d.jpg</t>
        </is>
      </c>
      <c r="B11279">
        <f>HYPERLINK("Объекты недвижимости, не соответствующие градостроительным нормам_00-022_Август/ebd8ceb0-489e-4ff7-90ea-0ace6511b34d.jpg","open")</f>
        <v/>
      </c>
      <c r="C11279" t="inlineStr">
        <is>
          <t>fb9a37cc-57a6-447c-98bb-0b299f09c809</t>
        </is>
      </c>
      <c r="D11279" t="n">
        <v>55.78124</v>
      </c>
      <c r="E11279" t="n">
        <v>37.71426</v>
      </c>
      <c r="F11279" t="inlineStr"/>
      <c r="G11279" t="inlineStr"/>
      <c r="H11279" t="inlineStr"/>
    </row>
    <row r="11280">
      <c r="A11280" t="inlineStr">
        <is>
          <t>b83511bc-96a7-4b83-9ec4-336556fdc8d4.jpg</t>
        </is>
      </c>
      <c r="B11280">
        <f>HYPERLINK("Объекты недвижимости, не соответствующие градостроительным нормам_00-022_Август/b83511bc-96a7-4b83-9ec4-336556fdc8d4.jpg","open")</f>
        <v/>
      </c>
      <c r="C11280" t="inlineStr">
        <is>
          <t>fb9a37cc-57a6-447c-98bb-0b299f09c809</t>
        </is>
      </c>
      <c r="D11280" t="n">
        <v>55.78163</v>
      </c>
      <c r="E11280" t="n">
        <v>37.71226</v>
      </c>
      <c r="F11280" t="inlineStr"/>
      <c r="G11280" t="inlineStr"/>
      <c r="H11280" t="inlineStr"/>
    </row>
    <row r="11281">
      <c r="A11281" t="inlineStr">
        <is>
          <t>197b965c-718f-4b3e-a0ec-2fe4aff9d34e.jpg</t>
        </is>
      </c>
      <c r="B11281">
        <f>HYPERLINK("Объекты недвижимости, не соответствующие градостроительным нормам_00-022_Август/197b965c-718f-4b3e-a0ec-2fe4aff9d34e.jpg","open")</f>
        <v/>
      </c>
      <c r="C11281" t="inlineStr">
        <is>
          <t>fce890a6-27da-4062-a046-08262a160ee6</t>
        </is>
      </c>
      <c r="D11281" t="n">
        <v>55.6959</v>
      </c>
      <c r="E11281" t="n">
        <v>37.62165</v>
      </c>
      <c r="F11281" t="inlineStr"/>
      <c r="G11281" t="inlineStr"/>
      <c r="H11281" t="inlineStr"/>
    </row>
    <row r="11282">
      <c r="A11282" t="inlineStr">
        <is>
          <t>0de5d92e-8c1e-4620-b5aa-fc2fe11c0eb5.jpg</t>
        </is>
      </c>
      <c r="B11282">
        <f>HYPERLINK("Объекты недвижимости, не соответствующие градостроительным нормам_00-022_Август/0de5d92e-8c1e-4620-b5aa-fc2fe11c0eb5.jpg","open")</f>
        <v/>
      </c>
      <c r="C11282" t="inlineStr">
        <is>
          <t>f20fbc2b-b369-4734-bb66-92af02fbb0d1</t>
        </is>
      </c>
      <c r="D11282" t="n">
        <v>55.67629</v>
      </c>
      <c r="E11282" t="n">
        <v>37.71817</v>
      </c>
      <c r="F11282" t="inlineStr"/>
      <c r="G11282" t="inlineStr"/>
      <c r="H11282" t="inlineStr"/>
    </row>
    <row r="11283">
      <c r="A11283" t="inlineStr">
        <is>
          <t>59302bae-0e73-493f-a779-c60ad1ccffaa.jpg</t>
        </is>
      </c>
      <c r="B11283">
        <f>HYPERLINK("Объекты недвижимости, не соответствующие градостроительным нормам_00-022_Август/59302bae-0e73-493f-a779-c60ad1ccffaa.jpg","open")</f>
        <v/>
      </c>
      <c r="C11283" t="inlineStr">
        <is>
          <t>9fb3d110-951f-48da-9d90-cfd7e1b5800d</t>
        </is>
      </c>
      <c r="D11283" t="n">
        <v>55.68347</v>
      </c>
      <c r="E11283" t="n">
        <v>37.45441</v>
      </c>
      <c r="F11283" t="inlineStr"/>
      <c r="G11283" t="inlineStr"/>
      <c r="H11283" t="inlineStr"/>
    </row>
    <row r="11284">
      <c r="A11284" t="inlineStr">
        <is>
          <t>a23cf8a7-b434-4ff5-bdcc-6acb62c02f09.jpg</t>
        </is>
      </c>
      <c r="B11284">
        <f>HYPERLINK("Объекты недвижимости, не соответствующие градостроительным нормам_00-022_Август/a23cf8a7-b434-4ff5-bdcc-6acb62c02f09.jpg","open")</f>
        <v/>
      </c>
      <c r="C11284" t="inlineStr">
        <is>
          <t>9fb3d110-951f-48da-9d90-cfd7e1b5800d</t>
        </is>
      </c>
      <c r="D11284" t="n">
        <v>55.68347</v>
      </c>
      <c r="E11284" t="n">
        <v>37.45441</v>
      </c>
      <c r="F11284" t="inlineStr"/>
      <c r="G11284" t="inlineStr"/>
      <c r="H11284" t="inlineStr"/>
    </row>
    <row r="11285">
      <c r="A11285" t="inlineStr">
        <is>
          <t>e897916b-9060-4cdb-88c5-797efc202cfd.jpg</t>
        </is>
      </c>
      <c r="B11285">
        <f>HYPERLINK("Объекты недвижимости, не соответствующие градостроительным нормам_00-022_Август/e897916b-9060-4cdb-88c5-797efc202cfd.jpg","open")</f>
        <v/>
      </c>
      <c r="C11285" t="inlineStr">
        <is>
          <t>8cde1fd0-eca1-4510-86ab-3c743b65fdfc</t>
        </is>
      </c>
      <c r="D11285" t="n">
        <v>55.96854</v>
      </c>
      <c r="E11285" t="n">
        <v>37.4295</v>
      </c>
      <c r="F11285" t="inlineStr"/>
      <c r="G11285" t="inlineStr"/>
      <c r="H11285" t="inlineStr"/>
    </row>
    <row r="11286">
      <c r="A11286" t="inlineStr">
        <is>
          <t>fa9b6c41-9860-4138-b45f-103bcfaa9d00.jpg</t>
        </is>
      </c>
      <c r="B11286">
        <f>HYPERLINK("Объекты недвижимости, не соответствующие градостроительным нормам_00-022_Август/fa9b6c41-9860-4138-b45f-103bcfaa9d00.jpg","open")</f>
        <v/>
      </c>
      <c r="C11286" t="inlineStr">
        <is>
          <t>b23a39fd-838c-435a-bacd-b4d6bb842c62</t>
        </is>
      </c>
      <c r="D11286" t="n">
        <v>55.77982</v>
      </c>
      <c r="E11286" t="n">
        <v>37.7164</v>
      </c>
      <c r="F11286" t="inlineStr"/>
      <c r="G11286" t="inlineStr"/>
      <c r="H11286" t="inlineStr"/>
    </row>
    <row r="11287">
      <c r="A11287" t="inlineStr">
        <is>
          <t>b9b70338-76b0-4e9d-a09b-f935e8e32e43.jpg</t>
        </is>
      </c>
      <c r="B11287">
        <f>HYPERLINK("Объекты недвижимости, не соответствующие градостроительным нормам_00-022_Август/b9b70338-76b0-4e9d-a09b-f935e8e32e43.jpg","open")</f>
        <v/>
      </c>
      <c r="C11287" t="inlineStr">
        <is>
          <t>5e5b9944-4f9e-4223-bf96-0bc0c8a93dfa</t>
        </is>
      </c>
      <c r="D11287" t="n">
        <v>55.72339</v>
      </c>
      <c r="E11287" t="n">
        <v>37.63696</v>
      </c>
      <c r="F11287" t="inlineStr"/>
      <c r="G11287" t="inlineStr"/>
      <c r="H11287" t="inlineStr"/>
    </row>
    <row r="11288">
      <c r="A11288" t="inlineStr">
        <is>
          <t>cd899eae-d93a-43fd-a245-bd157a6bedb2.jpg</t>
        </is>
      </c>
      <c r="B11288">
        <f>HYPERLINK("Объекты недвижимости, не соответствующие градостроительным нормам_00-022_Август/cd899eae-d93a-43fd-a245-bd157a6bedb2.jpg","open")</f>
        <v/>
      </c>
      <c r="C11288" t="inlineStr">
        <is>
          <t>fce890a6-27da-4062-a046-08262a160ee6</t>
        </is>
      </c>
      <c r="D11288" t="n">
        <v>55.6959</v>
      </c>
      <c r="E11288" t="n">
        <v>37.62165</v>
      </c>
      <c r="F11288" t="inlineStr"/>
      <c r="G11288" t="inlineStr"/>
      <c r="H11288" t="inlineStr"/>
    </row>
    <row r="11289">
      <c r="A11289" t="inlineStr">
        <is>
          <t>1f820c70-7602-4efa-aca8-61b9ff23e1c7.jpg</t>
        </is>
      </c>
      <c r="B11289">
        <f>HYPERLINK("Объекты недвижимости, не соответствующие градостроительным нормам_00-022_Август/1f820c70-7602-4efa-aca8-61b9ff23e1c7.jpg","open")</f>
        <v/>
      </c>
      <c r="C11289" t="inlineStr">
        <is>
          <t>50e4626c-a80e-42ab-b999-b5092c2c063f</t>
        </is>
      </c>
      <c r="D11289" t="n">
        <v>55.99296</v>
      </c>
      <c r="E11289" t="n">
        <v>37.25153</v>
      </c>
      <c r="F11289" t="inlineStr"/>
      <c r="G11289" t="inlineStr"/>
      <c r="H11289" t="inlineStr"/>
    </row>
    <row r="11290">
      <c r="A11290" t="inlineStr">
        <is>
          <t>77cf9ee0-5ad2-4d85-a2c9-88e9c44e8c1f.jpg</t>
        </is>
      </c>
      <c r="B11290">
        <f>HYPERLINK("Объекты недвижимости, не соответствующие градостроительным нормам_00-022_Август/77cf9ee0-5ad2-4d85-a2c9-88e9c44e8c1f.jpg","open")</f>
        <v/>
      </c>
      <c r="C11290" t="inlineStr">
        <is>
          <t>8cde1fd0-eca1-4510-86ab-3c743b65fdfc</t>
        </is>
      </c>
      <c r="D11290" t="n">
        <v>55.96621</v>
      </c>
      <c r="E11290" t="n">
        <v>37.40331</v>
      </c>
      <c r="F11290" t="inlineStr"/>
      <c r="G11290" t="inlineStr"/>
      <c r="H11290" t="inlineStr"/>
    </row>
    <row r="11291">
      <c r="A11291" t="inlineStr">
        <is>
          <t>a6dc9a12-fc64-4950-9fd3-4a2e9bd009df.jpg</t>
        </is>
      </c>
      <c r="B11291">
        <f>HYPERLINK("Объекты недвижимости, не соответствующие градостроительным нормам_00-022_Август/a6dc9a12-fc64-4950-9fd3-4a2e9bd009df.jpg","open")</f>
        <v/>
      </c>
      <c r="C11291" t="inlineStr">
        <is>
          <t>99f3abba-c55b-49f0-9de5-9f88e9597cc0</t>
        </is>
      </c>
      <c r="D11291" t="n">
        <v>55.66776</v>
      </c>
      <c r="E11291" t="n">
        <v>37.60991</v>
      </c>
      <c r="F11291" t="inlineStr"/>
      <c r="G11291" t="inlineStr"/>
      <c r="H11291" t="inlineStr"/>
    </row>
    <row r="11292">
      <c r="A11292" t="inlineStr">
        <is>
          <t>487200cd-c410-4ef6-a06c-7b4bd39d5363.jpg</t>
        </is>
      </c>
      <c r="B11292">
        <f>HYPERLINK("Объекты недвижимости, не соответствующие градостроительным нормам_00-022_Август/487200cd-c410-4ef6-a06c-7b4bd39d5363.jpg","open")</f>
        <v/>
      </c>
      <c r="C11292" t="inlineStr">
        <is>
          <t>a28f597e-d1cd-4d3b-b572-c86d033412e9</t>
        </is>
      </c>
      <c r="D11292" t="n">
        <v>55.97559</v>
      </c>
      <c r="E11292" t="n">
        <v>37.39953</v>
      </c>
      <c r="F11292" t="inlineStr"/>
      <c r="G11292" t="inlineStr"/>
      <c r="H11292" t="inlineStr"/>
    </row>
    <row r="11293">
      <c r="A11293" t="inlineStr">
        <is>
          <t>7b8ff2c9-f4fe-4b8c-bd89-7ff163638447.jpg</t>
        </is>
      </c>
      <c r="B11293">
        <f>HYPERLINK("Объекты недвижимости, не соответствующие градостроительным нормам_00-022_Август/7b8ff2c9-f4fe-4b8c-bd89-7ff163638447.jpg","open")</f>
        <v/>
      </c>
      <c r="C11293" t="inlineStr">
        <is>
          <t>036c664f-5408-4fd0-b479-342c00468eeb</t>
        </is>
      </c>
      <c r="D11293" t="n">
        <v>55.97606</v>
      </c>
      <c r="E11293" t="n">
        <v>37.39976</v>
      </c>
      <c r="F11293" t="inlineStr"/>
      <c r="G11293" t="inlineStr"/>
      <c r="H11293" t="inlineStr"/>
    </row>
    <row r="11294">
      <c r="A11294" t="inlineStr">
        <is>
          <t>880a63a0-04d1-40b8-8a97-8c62366b34e7.jpg</t>
        </is>
      </c>
      <c r="B11294">
        <f>HYPERLINK("Объекты недвижимости, не соответствующие градостроительным нормам_00-022_Август/880a63a0-04d1-40b8-8a97-8c62366b34e7.jpg","open")</f>
        <v/>
      </c>
      <c r="C11294" t="inlineStr">
        <is>
          <t>cb4060b2-34d3-44a4-9f60-115fb1e9278e</t>
        </is>
      </c>
      <c r="D11294" t="n">
        <v>55.72187</v>
      </c>
      <c r="E11294" t="n">
        <v>37.70222</v>
      </c>
      <c r="F11294" t="inlineStr"/>
      <c r="G11294" t="inlineStr"/>
      <c r="H11294" t="inlineStr"/>
    </row>
    <row r="11295">
      <c r="A11295" t="inlineStr">
        <is>
          <t>4358ed1a-6b21-4639-b714-0f5d4afe5cdf.jpg</t>
        </is>
      </c>
      <c r="B11295">
        <f>HYPERLINK("Объекты недвижимости, не соответствующие градостроительным нормам_00-022_Август/4358ed1a-6b21-4639-b714-0f5d4afe5cdf.jpg","open")</f>
        <v/>
      </c>
      <c r="C11295" t="inlineStr">
        <is>
          <t>fb9a37cc-57a6-447c-98bb-0b299f09c809</t>
        </is>
      </c>
      <c r="D11295" t="n">
        <v>55.78464</v>
      </c>
      <c r="E11295" t="n">
        <v>37.70365</v>
      </c>
      <c r="F11295" t="inlineStr"/>
      <c r="G11295" t="inlineStr"/>
      <c r="H11295" t="inlineStr"/>
    </row>
    <row r="11296">
      <c r="A11296" t="inlineStr">
        <is>
          <t>b98311e2-4b8e-4cea-a12b-e820e7019cf9.jpg</t>
        </is>
      </c>
      <c r="B11296">
        <f>HYPERLINK("Объекты недвижимости, не соответствующие градостроительным нормам_00-022_Август/b98311e2-4b8e-4cea-a12b-e820e7019cf9.jpg","open")</f>
        <v/>
      </c>
      <c r="C11296" t="inlineStr">
        <is>
          <t>dd22c7c9-0046-46d8-8631-55150dbf8ae5</t>
        </is>
      </c>
      <c r="D11296" t="n">
        <v>55.78605</v>
      </c>
      <c r="E11296" t="n">
        <v>37.56644</v>
      </c>
      <c r="F11296" t="inlineStr"/>
      <c r="G11296" t="inlineStr"/>
      <c r="H11296" t="inlineStr"/>
    </row>
    <row r="11297">
      <c r="A11297" t="inlineStr">
        <is>
          <t>19e2cd6c-625f-465a-9821-8b6e2665054e.jpg</t>
        </is>
      </c>
      <c r="B11297">
        <f>HYPERLINK("Объекты недвижимости, не соответствующие градостроительным нормам_00-022_Август/19e2cd6c-625f-465a-9821-8b6e2665054e.jpg","open")</f>
        <v/>
      </c>
      <c r="C11297" t="inlineStr">
        <is>
          <t>6e2567a0-1fb9-40d5-a0e7-0adb480d2965</t>
        </is>
      </c>
      <c r="D11297" t="n">
        <v>55.71003</v>
      </c>
      <c r="E11297" t="n">
        <v>37.66943</v>
      </c>
      <c r="F11297" t="inlineStr"/>
      <c r="G11297" t="inlineStr"/>
      <c r="H11297" t="inlineStr"/>
    </row>
    <row r="11298">
      <c r="A11298" t="inlineStr">
        <is>
          <t>ce1fe39d-cbbe-4315-9f9a-55855988e068.jpg</t>
        </is>
      </c>
      <c r="B11298">
        <f>HYPERLINK("Объекты недвижимости, не соответствующие градостроительным нормам_00-022_Август/ce1fe39d-cbbe-4315-9f9a-55855988e068.jpg","open")</f>
        <v/>
      </c>
      <c r="C11298" t="inlineStr">
        <is>
          <t>29ad9edb-d533-4272-a986-be24eb004851</t>
        </is>
      </c>
      <c r="D11298" t="n">
        <v>55.76954</v>
      </c>
      <c r="E11298" t="n">
        <v>37.62119</v>
      </c>
      <c r="F11298" t="inlineStr"/>
      <c r="G11298" t="inlineStr"/>
      <c r="H11298" t="inlineStr"/>
    </row>
    <row r="11299">
      <c r="A11299" t="inlineStr">
        <is>
          <t>8dcd60f4-531d-4087-a9ce-36df5ea03cdb.jpg</t>
        </is>
      </c>
      <c r="B11299">
        <f>HYPERLINK("Объекты недвижимости, не соответствующие градостроительным нормам_00-022_Август/8dcd60f4-531d-4087-a9ce-36df5ea03cdb.jpg","open")</f>
        <v/>
      </c>
      <c r="C11299" t="inlineStr">
        <is>
          <t>fb9a37cc-57a6-447c-98bb-0b299f09c809</t>
        </is>
      </c>
      <c r="D11299" t="n">
        <v>55.78265</v>
      </c>
      <c r="E11299" t="n">
        <v>37.69648</v>
      </c>
      <c r="F11299" t="inlineStr"/>
      <c r="G11299" t="inlineStr"/>
      <c r="H11299" t="inlineStr"/>
    </row>
    <row r="11300">
      <c r="A11300" t="inlineStr">
        <is>
          <t>f08aeb8b-81db-4161-82c5-973f8f503f42.jpg</t>
        </is>
      </c>
      <c r="B11300">
        <f>HYPERLINK("Объекты недвижимости, не соответствующие градостроительным нормам_00-022_Август/f08aeb8b-81db-4161-82c5-973f8f503f42.jpg","open")</f>
        <v/>
      </c>
      <c r="C11300" t="inlineStr">
        <is>
          <t>c008bda0-324b-4c90-9c2f-36cfc930e0b5</t>
        </is>
      </c>
      <c r="D11300" t="n">
        <v>55.76453</v>
      </c>
      <c r="E11300" t="n">
        <v>37.61475</v>
      </c>
      <c r="F11300" t="inlineStr"/>
      <c r="G11300" t="inlineStr"/>
      <c r="H11300" t="inlineStr"/>
    </row>
    <row r="11301">
      <c r="A11301" t="inlineStr">
        <is>
          <t>7be00bf6-640f-4531-86a6-ecb50bfa5969.jpg</t>
        </is>
      </c>
      <c r="B11301">
        <f>HYPERLINK("Объекты недвижимости, не соответствующие градостроительным нормам_00-022_Август/7be00bf6-640f-4531-86a6-ecb50bfa5969.jpg","open")</f>
        <v/>
      </c>
      <c r="C11301" t="inlineStr">
        <is>
          <t>29ad9edb-d533-4272-a986-be24eb004851</t>
        </is>
      </c>
      <c r="D11301" t="n">
        <v>55.76453</v>
      </c>
      <c r="E11301" t="n">
        <v>37.61475</v>
      </c>
      <c r="F11301" t="inlineStr"/>
      <c r="G11301" t="inlineStr"/>
      <c r="H11301" t="inlineStr"/>
    </row>
    <row r="11302">
      <c r="A11302" t="inlineStr">
        <is>
          <t>b481431b-ef08-4d97-a61f-f99c574658cd.jpg</t>
        </is>
      </c>
      <c r="B11302">
        <f>HYPERLINK("Объекты недвижимости, не соответствующие градостроительным нормам_00-022_Август/b481431b-ef08-4d97-a61f-f99c574658cd.jpg","open")</f>
        <v/>
      </c>
      <c r="C11302" t="inlineStr">
        <is>
          <t>6e2567a0-1fb9-40d5-a0e7-0adb480d2965</t>
        </is>
      </c>
      <c r="D11302" t="n">
        <v>55.69147</v>
      </c>
      <c r="E11302" t="n">
        <v>37.60157</v>
      </c>
      <c r="F11302" t="inlineStr"/>
      <c r="G11302" t="inlineStr"/>
      <c r="H11302" t="inlineStr"/>
    </row>
    <row r="11303">
      <c r="A11303" t="inlineStr">
        <is>
          <t>a1494ae5-7c02-40c9-a0f5-3bc72b203b1b.jpg</t>
        </is>
      </c>
      <c r="B11303">
        <f>HYPERLINK("Объекты недвижимости, не соответствующие градостроительным нормам_00-022_Август/a1494ae5-7c02-40c9-a0f5-3bc72b203b1b.jpg","open")</f>
        <v/>
      </c>
      <c r="C11303" t="inlineStr">
        <is>
          <t>dd22c7c9-0046-46d8-8631-55150dbf8ae5</t>
        </is>
      </c>
      <c r="D11303" t="n">
        <v>55.78605</v>
      </c>
      <c r="E11303" t="n">
        <v>37.56644</v>
      </c>
      <c r="F11303" t="inlineStr"/>
      <c r="G11303" t="inlineStr"/>
      <c r="H11303" t="inlineStr"/>
    </row>
    <row r="11304">
      <c r="A11304" t="inlineStr">
        <is>
          <t>7f865bec-90f2-40bd-9553-e8bce2097d1f.jpg</t>
        </is>
      </c>
      <c r="B11304">
        <f>HYPERLINK("Объекты недвижимости, не соответствующие градостроительным нормам_00-022_Август/7f865bec-90f2-40bd-9553-e8bce2097d1f.jpg","open")</f>
        <v/>
      </c>
      <c r="C11304" t="inlineStr">
        <is>
          <t>fb9a37cc-57a6-447c-98bb-0b299f09c809</t>
        </is>
      </c>
      <c r="D11304" t="n">
        <v>55.77469</v>
      </c>
      <c r="E11304" t="n">
        <v>37.71218</v>
      </c>
      <c r="F11304" t="inlineStr"/>
      <c r="G11304" t="inlineStr"/>
      <c r="H11304" t="inlineStr"/>
    </row>
    <row r="11305">
      <c r="A11305" t="inlineStr">
        <is>
          <t>cd3dbc34-124d-466c-8b36-510ccc472108.jpg</t>
        </is>
      </c>
      <c r="B11305">
        <f>HYPERLINK("Объекты недвижимости, не соответствующие градостроительным нормам_00-022_Август/cd3dbc34-124d-466c-8b36-510ccc472108.jpg","open")</f>
        <v/>
      </c>
      <c r="C11305" t="inlineStr">
        <is>
          <t>57aae8a4-582b-4309-8045-c8127a9f86ae</t>
        </is>
      </c>
      <c r="D11305" t="n">
        <v>55.7509</v>
      </c>
      <c r="E11305" t="n">
        <v>37.77647</v>
      </c>
      <c r="F11305" t="inlineStr"/>
      <c r="G11305" t="inlineStr"/>
      <c r="H11305" t="inlineStr"/>
    </row>
    <row r="11306">
      <c r="A11306" t="inlineStr">
        <is>
          <t>39a687d7-7353-4e73-bf7e-a759f33cc516.jpg</t>
        </is>
      </c>
      <c r="B11306">
        <f>HYPERLINK("Объекты недвижимости, не соответствующие градостроительным нормам_00-022_Август/39a687d7-7353-4e73-bf7e-a759f33cc516.jpg","open")</f>
        <v/>
      </c>
      <c r="C11306" t="inlineStr">
        <is>
          <t>e85aff3b-73e8-4856-827e-477ccc0aea77</t>
        </is>
      </c>
      <c r="D11306" t="n">
        <v>55.86496</v>
      </c>
      <c r="E11306" t="n">
        <v>37.65849</v>
      </c>
      <c r="F11306" t="inlineStr"/>
      <c r="G11306" t="inlineStr"/>
      <c r="H11306" t="inlineStr"/>
    </row>
    <row r="11307">
      <c r="A11307" t="inlineStr">
        <is>
          <t>5bb0ecb8-3693-42b3-aa37-54dfa46467f8.jpg</t>
        </is>
      </c>
      <c r="B11307">
        <f>HYPERLINK("Объекты недвижимости, не соответствующие градостроительным нормам_00-022_Август/5bb0ecb8-3693-42b3-aa37-54dfa46467f8.jpg","open")</f>
        <v/>
      </c>
      <c r="C11307" t="inlineStr">
        <is>
          <t>fb9a37cc-57a6-447c-98bb-0b299f09c809</t>
        </is>
      </c>
      <c r="D11307" t="n">
        <v>55.76656</v>
      </c>
      <c r="E11307" t="n">
        <v>37.72498</v>
      </c>
      <c r="F11307" t="inlineStr"/>
      <c r="G11307" t="inlineStr"/>
      <c r="H11307" t="inlineStr"/>
    </row>
    <row r="11308">
      <c r="A11308" t="inlineStr">
        <is>
          <t>484edd3d-f5ff-4508-b840-a431d7a135fd.jpg</t>
        </is>
      </c>
      <c r="B11308">
        <f>HYPERLINK("Объекты недвижимости, не соответствующие градостроительным нормам_00-022_Август/484edd3d-f5ff-4508-b840-a431d7a135fd.jpg","open")</f>
        <v/>
      </c>
      <c r="C11308" t="inlineStr">
        <is>
          <t>fb9a37cc-57a6-447c-98bb-0b299f09c809</t>
        </is>
      </c>
      <c r="D11308" t="n">
        <v>55.76647</v>
      </c>
      <c r="E11308" t="n">
        <v>37.72352</v>
      </c>
      <c r="F11308" t="inlineStr"/>
      <c r="G11308" t="inlineStr"/>
      <c r="H11308" t="inlineStr"/>
    </row>
    <row r="11309">
      <c r="A11309" t="inlineStr">
        <is>
          <t>694a9b90-d53a-4040-b6f4-5bb04d734291.jpg</t>
        </is>
      </c>
      <c r="B11309">
        <f>HYPERLINK("Объекты недвижимости, не соответствующие градостроительным нормам_00-022_Август/694a9b90-d53a-4040-b6f4-5bb04d734291.jpg","open")</f>
        <v/>
      </c>
      <c r="C11309" t="inlineStr">
        <is>
          <t>29ad9edb-d533-4272-a986-be24eb004851</t>
        </is>
      </c>
      <c r="D11309" t="n">
        <v>55.76518</v>
      </c>
      <c r="E11309" t="n">
        <v>37.6275</v>
      </c>
      <c r="F11309" t="inlineStr"/>
      <c r="G11309" t="inlineStr"/>
      <c r="H11309" t="inlineStr"/>
    </row>
    <row r="11310">
      <c r="A11310" t="inlineStr">
        <is>
          <t>f72a9ace-cc09-4145-be3c-775670900824.jpg</t>
        </is>
      </c>
      <c r="B11310">
        <f>HYPERLINK("Объекты недвижимости, не соответствующие градостроительным нормам_00-022_Август/f72a9ace-cc09-4145-be3c-775670900824.jpg","open")</f>
        <v/>
      </c>
      <c r="C11310" t="inlineStr">
        <is>
          <t>61936922-4d4b-458e-80ea-6d4c450aa1d5</t>
        </is>
      </c>
      <c r="D11310" t="n">
        <v>55.96647</v>
      </c>
      <c r="E11310" t="n">
        <v>37.4049</v>
      </c>
      <c r="F11310" t="inlineStr"/>
      <c r="G11310" t="inlineStr"/>
      <c r="H11310" t="inlineStr"/>
    </row>
    <row r="11311">
      <c r="A11311" t="inlineStr">
        <is>
          <t>13aa5d08-e387-4fc5-8d17-ab4c98d29833.jpg</t>
        </is>
      </c>
      <c r="B11311">
        <f>HYPERLINK("Объекты недвижимости, не соответствующие градостроительным нормам_00-022_Август/13aa5d08-e387-4fc5-8d17-ab4c98d29833.jpg","open")</f>
        <v/>
      </c>
      <c r="C11311" t="inlineStr">
        <is>
          <t>31a713a9-b910-424b-b847-e0eaa2f70c70</t>
        </is>
      </c>
      <c r="D11311" t="n">
        <v>55.86693</v>
      </c>
      <c r="E11311" t="n">
        <v>37.4917</v>
      </c>
      <c r="F11311" t="inlineStr"/>
      <c r="G11311" t="inlineStr"/>
      <c r="H11311" t="inlineStr"/>
    </row>
    <row r="11312">
      <c r="A11312" t="inlineStr">
        <is>
          <t>0812d000-b6a7-4805-80a1-b353a5acb895.jpg</t>
        </is>
      </c>
      <c r="B11312">
        <f>HYPERLINK("Объекты недвижимости, не соответствующие градостроительным нормам_00-022_Август/0812d000-b6a7-4805-80a1-b353a5acb895.jpg","open")</f>
        <v/>
      </c>
      <c r="C11312" t="inlineStr">
        <is>
          <t>789f6c51-64ee-4078-b7bd-443af8b8b68a</t>
        </is>
      </c>
      <c r="D11312" t="n">
        <v>55.81713</v>
      </c>
      <c r="E11312" t="n">
        <v>37.65236</v>
      </c>
      <c r="F11312" t="inlineStr"/>
      <c r="G11312" t="inlineStr"/>
      <c r="H11312" t="inlineStr"/>
    </row>
    <row r="11313">
      <c r="A11313" t="inlineStr">
        <is>
          <t>8b5835b3-b95d-44b7-9b45-4e95df123c58.jpg</t>
        </is>
      </c>
      <c r="B11313">
        <f>HYPERLINK("Объекты недвижимости, не соответствующие градостроительным нормам_00-022_Август/8b5835b3-b95d-44b7-9b45-4e95df123c58.jpg","open")</f>
        <v/>
      </c>
      <c r="C11313" t="inlineStr">
        <is>
          <t>2acfb2da-e3f6-464c-bd17-4b713522c142</t>
        </is>
      </c>
      <c r="D11313" t="n">
        <v>55.81713</v>
      </c>
      <c r="E11313" t="n">
        <v>37.65223</v>
      </c>
      <c r="F11313" t="inlineStr"/>
      <c r="G11313" t="inlineStr"/>
      <c r="H11313" t="inlineStr"/>
    </row>
    <row r="11314">
      <c r="A11314" t="inlineStr">
        <is>
          <t>d3100628-0885-48cd-ba48-a0add82515bc.jpg</t>
        </is>
      </c>
      <c r="B11314">
        <f>HYPERLINK("Объекты недвижимости, не соответствующие градостроительным нормам_00-022_Август/d3100628-0885-48cd-ba48-a0add82515bc.jpg","open")</f>
        <v/>
      </c>
      <c r="C11314" t="inlineStr">
        <is>
          <t>030e8755-17c1-44eb-9530-707d0d3121cb</t>
        </is>
      </c>
      <c r="D11314" t="n">
        <v>55.6058</v>
      </c>
      <c r="E11314" t="n">
        <v>37.7425</v>
      </c>
      <c r="F11314" t="inlineStr"/>
      <c r="G11314" t="inlineStr"/>
      <c r="H11314" t="inlineStr"/>
    </row>
    <row r="11315">
      <c r="A11315" t="inlineStr">
        <is>
          <t>c69ab66e-6358-43ff-b933-0fa5676d9da7.jpg</t>
        </is>
      </c>
      <c r="B11315">
        <f>HYPERLINK("Объекты недвижимости, не соответствующие градостроительным нормам_00-022_Август/c69ab66e-6358-43ff-b933-0fa5676d9da7.jpg","open")</f>
        <v/>
      </c>
      <c r="C11315" t="inlineStr">
        <is>
          <t>fb9a37cc-57a6-447c-98bb-0b299f09c809</t>
        </is>
      </c>
      <c r="D11315" t="n">
        <v>55.76788</v>
      </c>
      <c r="E11315" t="n">
        <v>37.72998</v>
      </c>
      <c r="F11315" t="inlineStr"/>
      <c r="G11315" t="inlineStr"/>
      <c r="H11315" t="inlineStr"/>
    </row>
    <row r="11316">
      <c r="A11316" t="inlineStr">
        <is>
          <t>48f252ef-92cd-4362-8d94-be6f76eeb3de.jpg</t>
        </is>
      </c>
      <c r="B11316">
        <f>HYPERLINK("Объекты недвижимости, не соответствующие градостроительным нормам_00-022_Август/48f252ef-92cd-4362-8d94-be6f76eeb3de.jpg","open")</f>
        <v/>
      </c>
      <c r="C11316" t="inlineStr">
        <is>
          <t>fb9a37cc-57a6-447c-98bb-0b299f09c809</t>
        </is>
      </c>
      <c r="D11316" t="n">
        <v>55.76787</v>
      </c>
      <c r="E11316" t="n">
        <v>37.72998</v>
      </c>
      <c r="F11316" t="inlineStr"/>
      <c r="G11316" t="inlineStr"/>
      <c r="H11316" t="inlineStr"/>
    </row>
    <row r="11317">
      <c r="A11317" t="inlineStr">
        <is>
          <t>00edd99d-3f44-4d53-a80a-6f4d0f1eb8a6.jpg</t>
        </is>
      </c>
      <c r="B11317">
        <f>HYPERLINK("Объекты недвижимости, не соответствующие градостроительным нормам_00-022_Август/00edd99d-3f44-4d53-a80a-6f4d0f1eb8a6.jpg","open")</f>
        <v/>
      </c>
      <c r="C11317" t="inlineStr">
        <is>
          <t>c008bda0-324b-4c90-9c2f-36cfc930e0b5</t>
        </is>
      </c>
      <c r="D11317" t="n">
        <v>55.78975</v>
      </c>
      <c r="E11317" t="n">
        <v>37.55495</v>
      </c>
      <c r="F11317" t="inlineStr"/>
      <c r="G11317" t="inlineStr"/>
      <c r="H11317" t="inlineStr"/>
    </row>
    <row r="11318">
      <c r="A11318" t="inlineStr">
        <is>
          <t>2223a27c-bd21-4ef8-bc41-7364e3294528.jpg</t>
        </is>
      </c>
      <c r="B11318">
        <f>HYPERLINK("Объекты недвижимости, не соответствующие градостроительным нормам_00-022_Август/2223a27c-bd21-4ef8-bc41-7364e3294528.jpg","open")</f>
        <v/>
      </c>
      <c r="C11318" t="inlineStr">
        <is>
          <t>29ad9edb-d533-4272-a986-be24eb004851</t>
        </is>
      </c>
      <c r="D11318" t="n">
        <v>55.78975</v>
      </c>
      <c r="E11318" t="n">
        <v>37.55495</v>
      </c>
      <c r="F11318" t="inlineStr"/>
      <c r="G11318" t="inlineStr"/>
      <c r="H11318" t="inlineStr"/>
    </row>
    <row r="11319">
      <c r="A11319" t="inlineStr">
        <is>
          <t>5482705d-6e36-4ee6-a6eb-fd3df778c2d0.jpg</t>
        </is>
      </c>
      <c r="B11319">
        <f>HYPERLINK("Объекты недвижимости, не соответствующие градостроительным нормам_00-022_Август/5482705d-6e36-4ee6-a6eb-fd3df778c2d0.jpg","open")</f>
        <v/>
      </c>
      <c r="C11319" t="inlineStr">
        <is>
          <t>12e795ad-2aa7-49de-b2da-2c6aa35a4559</t>
        </is>
      </c>
      <c r="D11319" t="n">
        <v>55.53794</v>
      </c>
      <c r="E11319" t="n">
        <v>37.53117</v>
      </c>
      <c r="F11319" t="inlineStr"/>
      <c r="G11319" t="inlineStr"/>
      <c r="H11319" t="inlineStr"/>
    </row>
    <row r="11320">
      <c r="A11320" t="inlineStr">
        <is>
          <t>a3f37a5d-f64d-4a63-999a-3ff39ad05d13.jpg</t>
        </is>
      </c>
      <c r="B11320">
        <f>HYPERLINK("Объекты недвижимости, не соответствующие градостроительным нормам_00-022_Август/a3f37a5d-f64d-4a63-999a-3ff39ad05d13.jpg","open")</f>
        <v/>
      </c>
      <c r="C11320" t="inlineStr">
        <is>
          <t>ad64e6b9-1ed5-44d7-a101-4945a1f9dec6</t>
        </is>
      </c>
      <c r="D11320" t="n">
        <v>55.5381</v>
      </c>
      <c r="E11320" t="n">
        <v>37.53205</v>
      </c>
      <c r="F11320" t="inlineStr"/>
      <c r="G11320" t="inlineStr"/>
      <c r="H11320" t="inlineStr"/>
    </row>
    <row r="11321">
      <c r="A11321" t="inlineStr">
        <is>
          <t>c02250b4-b6a1-40a0-9815-5bd1f7cc937a.jpg</t>
        </is>
      </c>
      <c r="B11321">
        <f>HYPERLINK("Объекты недвижимости, не соответствующие градостроительным нормам_00-022_Август/c02250b4-b6a1-40a0-9815-5bd1f7cc937a.jpg","open")</f>
        <v/>
      </c>
      <c r="C11321" t="inlineStr">
        <is>
          <t>12e795ad-2aa7-49de-b2da-2c6aa35a4559</t>
        </is>
      </c>
      <c r="D11321" t="n">
        <v>55.5381</v>
      </c>
      <c r="E11321" t="n">
        <v>37.53207</v>
      </c>
      <c r="F11321" t="inlineStr"/>
      <c r="G11321" t="inlineStr"/>
      <c r="H11321" t="inlineStr"/>
    </row>
    <row r="11322">
      <c r="A11322" t="inlineStr">
        <is>
          <t>91e7b692-9c69-4da3-a2b0-ad6b3e83958b.jpg</t>
        </is>
      </c>
      <c r="B11322">
        <f>HYPERLINK("Объекты недвижимости, не соответствующие градостроительным нормам_00-022_Август/91e7b692-9c69-4da3-a2b0-ad6b3e83958b.jpg","open")</f>
        <v/>
      </c>
      <c r="C11322" t="inlineStr">
        <is>
          <t>31a713a9-b910-424b-b847-e0eaa2f70c70</t>
        </is>
      </c>
      <c r="D11322" t="n">
        <v>55.86814</v>
      </c>
      <c r="E11322" t="n">
        <v>37.49302</v>
      </c>
      <c r="F11322" t="inlineStr"/>
      <c r="G11322" t="inlineStr"/>
      <c r="H11322" t="inlineStr"/>
    </row>
    <row r="11323">
      <c r="A11323" t="inlineStr">
        <is>
          <t>133af44c-9932-42fa-91a1-88ab8a1e41f6.jpg</t>
        </is>
      </c>
      <c r="B11323">
        <f>HYPERLINK("Объекты недвижимости, не соответствующие градостроительным нормам_00-022_Август/133af44c-9932-42fa-91a1-88ab8a1e41f6.jpg","open")</f>
        <v/>
      </c>
      <c r="C11323" t="inlineStr">
        <is>
          <t>dd22c7c9-0046-46d8-8631-55150dbf8ae5</t>
        </is>
      </c>
      <c r="D11323" t="n">
        <v>55.78605</v>
      </c>
      <c r="E11323" t="n">
        <v>37.56644</v>
      </c>
      <c r="F11323" t="inlineStr"/>
      <c r="G11323" t="inlineStr"/>
      <c r="H11323" t="inlineStr"/>
    </row>
    <row r="11324">
      <c r="A11324" t="inlineStr">
        <is>
          <t>cbaaeff4-4c11-4292-be85-d182207b1784.jpg</t>
        </is>
      </c>
      <c r="B11324">
        <f>HYPERLINK("Объекты недвижимости, не соответствующие градостроительным нормам_00-022_Август/cbaaeff4-4c11-4292-be85-d182207b1784.jpg","open")</f>
        <v/>
      </c>
      <c r="C11324" t="inlineStr">
        <is>
          <t>f20fbc2b-b369-4734-bb66-92af02fbb0d1</t>
        </is>
      </c>
      <c r="D11324" t="n">
        <v>55.67709</v>
      </c>
      <c r="E11324" t="n">
        <v>37.72074</v>
      </c>
      <c r="F11324" t="inlineStr"/>
      <c r="G11324" t="inlineStr"/>
      <c r="H11324" t="inlineStr"/>
    </row>
    <row r="11325">
      <c r="A11325" t="inlineStr">
        <is>
          <t>3eb0b27e-e5f2-44ff-aafd-04e0aa2084e3.jpg</t>
        </is>
      </c>
      <c r="B11325">
        <f>HYPERLINK("Объекты недвижимости, не соответствующие градостроительным нормам_00-022_Август/3eb0b27e-e5f2-44ff-aafd-04e0aa2084e3.jpg","open")</f>
        <v/>
      </c>
      <c r="C11325" t="inlineStr">
        <is>
          <t>93848fc8-17e7-4748-9ebc-c7e379e11d2f</t>
        </is>
      </c>
      <c r="D11325" t="n">
        <v>55.66209</v>
      </c>
      <c r="E11325" t="n">
        <v>37.60499</v>
      </c>
      <c r="F11325" t="inlineStr"/>
      <c r="G11325" t="inlineStr"/>
      <c r="H11325" t="inlineStr"/>
    </row>
    <row r="11326">
      <c r="A11326" t="inlineStr">
        <is>
          <t>7039e866-7a0a-455d-9a3a-2e2330871d42.jpg</t>
        </is>
      </c>
      <c r="B11326">
        <f>HYPERLINK("Объекты недвижимости, не соответствующие градостроительным нормам_00-022_Август/7039e866-7a0a-455d-9a3a-2e2330871d42.jpg","open")</f>
        <v/>
      </c>
      <c r="C11326" t="inlineStr">
        <is>
          <t>12e795ad-2aa7-49de-b2da-2c6aa35a4559</t>
        </is>
      </c>
      <c r="D11326" t="n">
        <v>55.5379</v>
      </c>
      <c r="E11326" t="n">
        <v>37.53121</v>
      </c>
      <c r="F11326" t="inlineStr"/>
      <c r="G11326" t="inlineStr"/>
      <c r="H11326" t="inlineStr"/>
    </row>
    <row r="11327">
      <c r="A11327" t="inlineStr">
        <is>
          <t>a9bc37d0-9eb8-4888-9266-f502657a5d1d.jpg</t>
        </is>
      </c>
      <c r="B11327">
        <f>HYPERLINK("Объекты недвижимости, не соответствующие градостроительным нормам_00-022_Август/a9bc37d0-9eb8-4888-9266-f502657a5d1d.jpg","open")</f>
        <v/>
      </c>
      <c r="C11327" t="inlineStr">
        <is>
          <t>61936922-4d4b-458e-80ea-6d4c450aa1d5</t>
        </is>
      </c>
      <c r="D11327" t="n">
        <v>55.67932</v>
      </c>
      <c r="E11327" t="n">
        <v>37.45326</v>
      </c>
      <c r="F11327" t="inlineStr"/>
      <c r="G11327" t="inlineStr"/>
      <c r="H11327" t="inlineStr"/>
    </row>
    <row r="11328">
      <c r="A11328" t="inlineStr">
        <is>
          <t>0066f4c1-b7bc-408e-8d14-c31416b283c1.jpg</t>
        </is>
      </c>
      <c r="B11328">
        <f>HYPERLINK("Объекты недвижимости, не соответствующие градостроительным нормам_00-022_Август/0066f4c1-b7bc-408e-8d14-c31416b283c1.jpg","open")</f>
        <v/>
      </c>
      <c r="C11328" t="inlineStr">
        <is>
          <t>57812597-37e6-414c-8b11-8c661dbfeb70</t>
        </is>
      </c>
      <c r="D11328" t="n">
        <v>55.75765</v>
      </c>
      <c r="E11328" t="n">
        <v>37.53652</v>
      </c>
      <c r="F11328" t="inlineStr"/>
      <c r="G11328" t="inlineStr"/>
      <c r="H11328" t="inlineStr"/>
    </row>
    <row r="11329">
      <c r="A11329" t="inlineStr">
        <is>
          <t>816f6533-7901-4790-a75b-cec5150ea918.jpg</t>
        </is>
      </c>
      <c r="B11329">
        <f>HYPERLINK("Объекты недвижимости, не соответствующие градостроительным нормам_00-022_Август/816f6533-7901-4790-a75b-cec5150ea918.jpg","open")</f>
        <v/>
      </c>
      <c r="C11329" t="inlineStr">
        <is>
          <t>61936922-4d4b-458e-80ea-6d4c450aa1d5</t>
        </is>
      </c>
      <c r="D11329" t="n">
        <v>55.68029</v>
      </c>
      <c r="E11329" t="n">
        <v>37.45528</v>
      </c>
      <c r="F11329" t="inlineStr"/>
      <c r="G11329" t="inlineStr"/>
      <c r="H11329" t="inlineStr"/>
    </row>
    <row r="11330">
      <c r="A11330" t="inlineStr">
        <is>
          <t>b2053ce9-0455-4ba5-b432-a1bd7a815232.jpg</t>
        </is>
      </c>
      <c r="B11330">
        <f>HYPERLINK("Объекты недвижимости, не соответствующие градостроительным нормам_00-022_Август/b2053ce9-0455-4ba5-b432-a1bd7a815232.jpg","open")</f>
        <v/>
      </c>
      <c r="C11330" t="inlineStr">
        <is>
          <t>e90a3ac0-5b70-4ede-abeb-382371713306</t>
        </is>
      </c>
      <c r="D11330" t="n">
        <v>55.80422</v>
      </c>
      <c r="E11330" t="n">
        <v>37.5312</v>
      </c>
      <c r="F11330" t="inlineStr"/>
      <c r="G11330" t="inlineStr"/>
      <c r="H11330" t="inlineStr"/>
    </row>
    <row r="11331">
      <c r="A11331" t="inlineStr">
        <is>
          <t>b95a0f88-6e07-4ed0-a9a2-b91c88ecf010.jpg</t>
        </is>
      </c>
      <c r="B11331">
        <f>HYPERLINK("Объекты недвижимости, не соответствующие градостроительным нормам_00-022_Август/b95a0f88-6e07-4ed0-a9a2-b91c88ecf010.jpg","open")</f>
        <v/>
      </c>
      <c r="C11331" t="inlineStr">
        <is>
          <t>e90a3ac0-5b70-4ede-abeb-382371713306</t>
        </is>
      </c>
      <c r="D11331" t="n">
        <v>55.80422</v>
      </c>
      <c r="E11331" t="n">
        <v>37.5312</v>
      </c>
      <c r="F11331" t="inlineStr"/>
      <c r="G11331" t="inlineStr"/>
      <c r="H11331" t="inlineStr"/>
    </row>
    <row r="11332">
      <c r="A11332" t="inlineStr">
        <is>
          <t>7fd9b677-b5f0-4099-b7d1-19c552f7f5b9.jpg</t>
        </is>
      </c>
      <c r="B11332">
        <f>HYPERLINK("Объекты недвижимости, не соответствующие градостроительным нормам_00-022_Август/7fd9b677-b5f0-4099-b7d1-19c552f7f5b9.jpg","open")</f>
        <v/>
      </c>
      <c r="C11332" t="inlineStr">
        <is>
          <t>e90a3ac0-5b70-4ede-abeb-382371713306</t>
        </is>
      </c>
      <c r="D11332" t="n">
        <v>55.80422</v>
      </c>
      <c r="E11332" t="n">
        <v>37.5312</v>
      </c>
      <c r="F11332" t="inlineStr"/>
      <c r="G11332" t="inlineStr"/>
      <c r="H11332" t="inlineStr"/>
    </row>
    <row r="11333">
      <c r="A11333" t="inlineStr">
        <is>
          <t>d7df5784-90ab-4b60-aa66-2be4f045fa8c.jpg</t>
        </is>
      </c>
      <c r="B11333">
        <f>HYPERLINK("Объекты недвижимости, не соответствующие градостроительным нормам_00-022_Август/d7df5784-90ab-4b60-aa66-2be4f045fa8c.jpg","open")</f>
        <v/>
      </c>
      <c r="C11333" t="inlineStr">
        <is>
          <t>e90a3ac0-5b70-4ede-abeb-382371713306</t>
        </is>
      </c>
      <c r="D11333" t="n">
        <v>55.80422</v>
      </c>
      <c r="E11333" t="n">
        <v>37.5312</v>
      </c>
      <c r="F11333" t="inlineStr"/>
      <c r="G11333" t="inlineStr"/>
      <c r="H11333" t="inlineStr"/>
    </row>
    <row r="11334">
      <c r="A11334" t="inlineStr">
        <is>
          <t>91449e25-5dd5-4a19-867c-71b2f191f2d7.jpg</t>
        </is>
      </c>
      <c r="B11334">
        <f>HYPERLINK("Объекты недвижимости, не соответствующие градостроительным нормам_00-022_Август/91449e25-5dd5-4a19-867c-71b2f191f2d7.jpg","open")</f>
        <v/>
      </c>
      <c r="C11334" t="inlineStr">
        <is>
          <t>93848fc8-17e7-4748-9ebc-c7e379e11d2f</t>
        </is>
      </c>
      <c r="D11334" t="n">
        <v>55.65335</v>
      </c>
      <c r="E11334" t="n">
        <v>37.60274</v>
      </c>
      <c r="F11334" t="inlineStr"/>
      <c r="G11334" t="inlineStr"/>
      <c r="H11334" t="inlineStr"/>
    </row>
    <row r="11335">
      <c r="A11335" t="inlineStr">
        <is>
          <t>c604d31d-e710-4221-a2cd-c213eb9f0a84.jpg</t>
        </is>
      </c>
      <c r="B11335">
        <f>HYPERLINK("Объекты недвижимости, не соответствующие градостроительным нормам_00-022_Август/c604d31d-e710-4221-a2cd-c213eb9f0a84.jpg","open")</f>
        <v/>
      </c>
      <c r="C11335" t="inlineStr">
        <is>
          <t>4cd87d14-7440-44b7-a5b2-a738e10006f7</t>
        </is>
      </c>
      <c r="D11335" t="n">
        <v>55.859</v>
      </c>
      <c r="E11335" t="n">
        <v>37.60466</v>
      </c>
      <c r="F11335" t="inlineStr"/>
      <c r="G11335" t="inlineStr"/>
      <c r="H11335" t="inlineStr"/>
    </row>
    <row r="11336">
      <c r="A11336" t="inlineStr">
        <is>
          <t>99dcc697-e973-473d-b62d-6c6006d59cba.jpg</t>
        </is>
      </c>
      <c r="B11336">
        <f>HYPERLINK("Объекты недвижимости, не соответствующие градостроительным нормам_00-022_Август/99dcc697-e973-473d-b62d-6c6006d59cba.jpg","open")</f>
        <v/>
      </c>
      <c r="C11336" t="inlineStr">
        <is>
          <t>b0b7ea82-53be-40d0-b992-e2fd18611d5c</t>
        </is>
      </c>
      <c r="D11336" t="n">
        <v>55.67365</v>
      </c>
      <c r="E11336" t="n">
        <v>37.72054</v>
      </c>
      <c r="F11336" t="inlineStr"/>
      <c r="G11336" t="inlineStr"/>
      <c r="H11336" t="inlineStr"/>
    </row>
    <row r="11337">
      <c r="A11337" t="inlineStr">
        <is>
          <t>df86b14a-cb74-4578-b176-c23dc663e27e.jpg</t>
        </is>
      </c>
      <c r="B11337">
        <f>HYPERLINK("Объекты недвижимости, не соответствующие градостроительным нормам_00-022_Август/df86b14a-cb74-4578-b176-c23dc663e27e.jpg","open")</f>
        <v/>
      </c>
      <c r="C11337" t="inlineStr">
        <is>
          <t>e26f5fc2-1353-4f29-85f3-87c56419161c</t>
        </is>
      </c>
      <c r="D11337" t="n">
        <v>55.85834</v>
      </c>
      <c r="E11337" t="n">
        <v>37.59798</v>
      </c>
      <c r="F11337" t="inlineStr"/>
      <c r="G11337" t="inlineStr"/>
      <c r="H11337" t="inlineStr"/>
    </row>
    <row r="11338">
      <c r="A11338" t="inlineStr">
        <is>
          <t>64c60618-6976-472e-87f5-7fcf8c60aed4.jpg</t>
        </is>
      </c>
      <c r="B11338">
        <f>HYPERLINK("Объекты недвижимости, не соответствующие градостроительным нормам_00-022_Август/64c60618-6976-472e-87f5-7fcf8c60aed4.jpg","open")</f>
        <v/>
      </c>
      <c r="C11338" t="inlineStr">
        <is>
          <t>12e795ad-2aa7-49de-b2da-2c6aa35a4559</t>
        </is>
      </c>
      <c r="D11338" t="n">
        <v>55.53719</v>
      </c>
      <c r="E11338" t="n">
        <v>37.53764</v>
      </c>
      <c r="F11338" t="inlineStr"/>
      <c r="G11338" t="inlineStr"/>
      <c r="H11338" t="inlineStr"/>
    </row>
    <row r="11339">
      <c r="A11339" t="inlineStr">
        <is>
          <t>e6f2be4c-6bc2-4ef5-8e44-1990a19a6fd9.jpg</t>
        </is>
      </c>
      <c r="B11339">
        <f>HYPERLINK("Объекты недвижимости, не соответствующие градостроительным нормам_00-022_Август/e6f2be4c-6bc2-4ef5-8e44-1990a19a6fd9.jpg","open")</f>
        <v/>
      </c>
      <c r="C11339" t="inlineStr">
        <is>
          <t>8cde1fd0-eca1-4510-86ab-3c743b65fdfc</t>
        </is>
      </c>
      <c r="D11339" t="n">
        <v>55.80905</v>
      </c>
      <c r="E11339" t="n">
        <v>37.5282</v>
      </c>
      <c r="F11339" t="inlineStr"/>
      <c r="G11339" t="inlineStr"/>
      <c r="H11339" t="inlineStr"/>
    </row>
    <row r="11340">
      <c r="A11340" t="inlineStr">
        <is>
          <t>46fda86c-8edc-4561-8515-e75313bff5cf.jpg</t>
        </is>
      </c>
      <c r="B11340">
        <f>HYPERLINK("Объекты недвижимости, не соответствующие градостроительным нормам_00-022_Август/46fda86c-8edc-4561-8515-e75313bff5cf.jpg","open")</f>
        <v/>
      </c>
      <c r="C11340" t="inlineStr">
        <is>
          <t>1a55986c-2c3f-40c0-b3d1-014dce77832e</t>
        </is>
      </c>
      <c r="D11340" t="n">
        <v>55.41426</v>
      </c>
      <c r="E11340" t="n">
        <v>37.09815</v>
      </c>
      <c r="F11340" t="inlineStr"/>
      <c r="G11340" t="inlineStr"/>
      <c r="H11340" t="inlineStr"/>
    </row>
    <row r="11341">
      <c r="A11341" t="inlineStr">
        <is>
          <t>446c2d8e-4037-4d5f-96f2-11bc0a1f608b.jpg</t>
        </is>
      </c>
      <c r="B11341">
        <f>HYPERLINK("Объекты недвижимости, не соответствующие градостроительным нормам_00-022_Август/446c2d8e-4037-4d5f-96f2-11bc0a1f608b.jpg","open")</f>
        <v/>
      </c>
      <c r="C11341" t="inlineStr">
        <is>
          <t>29ad9edb-d533-4272-a986-be24eb004851</t>
        </is>
      </c>
      <c r="D11341" t="n">
        <v>55.78259</v>
      </c>
      <c r="E11341" t="n">
        <v>37.6683</v>
      </c>
      <c r="F11341" t="inlineStr"/>
      <c r="G11341" t="inlineStr"/>
      <c r="H11341" t="inlineStr"/>
    </row>
    <row r="11342">
      <c r="A11342" t="inlineStr">
        <is>
          <t>98c0c47b-43fb-4f64-9fb6-bddb129e4614.jpg</t>
        </is>
      </c>
      <c r="B11342">
        <f>HYPERLINK("Объекты недвижимости, не соответствующие градостроительным нормам_00-022_Август/98c0c47b-43fb-4f64-9fb6-bddb129e4614.jpg","open")</f>
        <v/>
      </c>
      <c r="C11342" t="inlineStr">
        <is>
          <t>e90a3ac0-5b70-4ede-abeb-382371713306</t>
        </is>
      </c>
      <c r="D11342" t="n">
        <v>55.80422</v>
      </c>
      <c r="E11342" t="n">
        <v>37.5312</v>
      </c>
      <c r="F11342" t="inlineStr"/>
      <c r="G11342" t="inlineStr"/>
      <c r="H11342" t="inlineStr"/>
    </row>
    <row r="11343">
      <c r="A11343" t="inlineStr">
        <is>
          <t>3b0f4230-a35e-45c0-928f-3b7846e1e3aa.jpg</t>
        </is>
      </c>
      <c r="B11343">
        <f>HYPERLINK("Объекты недвижимости, не соответствующие градостроительным нормам_00-022_Август/3b0f4230-a35e-45c0-928f-3b7846e1e3aa.jpg","open")</f>
        <v/>
      </c>
      <c r="C11343" t="inlineStr">
        <is>
          <t>db8b536c-32f2-4d9a-ae08-679d227e61f1</t>
        </is>
      </c>
      <c r="D11343" t="n">
        <v>55.80422</v>
      </c>
      <c r="E11343" t="n">
        <v>37.5312</v>
      </c>
      <c r="F11343" t="inlineStr"/>
      <c r="G11343" t="inlineStr"/>
      <c r="H11343" t="inlineStr"/>
    </row>
    <row r="11344">
      <c r="A11344" t="inlineStr">
        <is>
          <t>8248c14b-2c75-41c6-8fd0-95a85c1b43f6.jpg</t>
        </is>
      </c>
      <c r="B11344">
        <f>HYPERLINK("Объекты недвижимости, не соответствующие градостроительным нормам_00-022_Август/8248c14b-2c75-41c6-8fd0-95a85c1b43f6.jpg","open")</f>
        <v/>
      </c>
      <c r="C11344" t="inlineStr">
        <is>
          <t>e90a3ac0-5b70-4ede-abeb-382371713306</t>
        </is>
      </c>
      <c r="D11344" t="n">
        <v>55.80422</v>
      </c>
      <c r="E11344" t="n">
        <v>37.5312</v>
      </c>
      <c r="F11344" t="inlineStr"/>
      <c r="G11344" t="inlineStr"/>
      <c r="H11344" t="inlineStr"/>
    </row>
    <row r="11345">
      <c r="A11345" t="inlineStr">
        <is>
          <t>be28eb4b-aaa0-4eca-8711-4bb9c216fa45.jpg</t>
        </is>
      </c>
      <c r="B11345">
        <f>HYPERLINK("Объекты недвижимости, не соответствующие градостроительным нормам_00-022_Август/be28eb4b-aaa0-4eca-8711-4bb9c216fa45.jpg","open")</f>
        <v/>
      </c>
      <c r="C11345" t="inlineStr">
        <is>
          <t>e90a3ac0-5b70-4ede-abeb-382371713306</t>
        </is>
      </c>
      <c r="D11345" t="n">
        <v>55.80422</v>
      </c>
      <c r="E11345" t="n">
        <v>37.5312</v>
      </c>
      <c r="F11345" t="inlineStr"/>
      <c r="G11345" t="inlineStr"/>
      <c r="H11345" t="inlineStr"/>
    </row>
    <row r="11346">
      <c r="A11346" t="inlineStr">
        <is>
          <t>7c06d1aa-8911-44f6-b064-2d6873e0e420.jpg</t>
        </is>
      </c>
      <c r="B11346">
        <f>HYPERLINK("Объекты недвижимости, не соответствующие градостроительным нормам_00-022_Август/7c06d1aa-8911-44f6-b064-2d6873e0e420.jpg","open")</f>
        <v/>
      </c>
      <c r="C11346" t="inlineStr">
        <is>
          <t>e90a3ac0-5b70-4ede-abeb-382371713306</t>
        </is>
      </c>
      <c r="D11346" t="n">
        <v>55.80422</v>
      </c>
      <c r="E11346" t="n">
        <v>37.5312</v>
      </c>
      <c r="F11346" t="inlineStr"/>
      <c r="G11346" t="inlineStr"/>
      <c r="H11346" t="inlineStr"/>
    </row>
    <row r="11347">
      <c r="A11347" t="inlineStr">
        <is>
          <t>50dcb3f0-398c-4432-9bcd-001127c76a43.jpg</t>
        </is>
      </c>
      <c r="B11347">
        <f>HYPERLINK("Объекты недвижимости, не соответствующие градостроительным нормам_00-022_Август/50dcb3f0-398c-4432-9bcd-001127c76a43.jpg","open")</f>
        <v/>
      </c>
      <c r="C11347" t="inlineStr">
        <is>
          <t>e90a3ac0-5b70-4ede-abeb-382371713306</t>
        </is>
      </c>
      <c r="D11347" t="n">
        <v>55.80422</v>
      </c>
      <c r="E11347" t="n">
        <v>37.5312</v>
      </c>
      <c r="F11347" t="inlineStr"/>
      <c r="G11347" t="inlineStr"/>
      <c r="H11347" t="inlineStr"/>
    </row>
    <row r="11348">
      <c r="A11348" t="inlineStr">
        <is>
          <t>5d84c22d-3445-4cf2-aa1e-02c277a15966.jpg</t>
        </is>
      </c>
      <c r="B11348">
        <f>HYPERLINK("Объекты недвижимости, не соответствующие градостроительным нормам_00-022_Август/5d84c22d-3445-4cf2-aa1e-02c277a15966.jpg","open")</f>
        <v/>
      </c>
      <c r="C11348" t="inlineStr">
        <is>
          <t>db8b536c-32f2-4d9a-ae08-679d227e61f1</t>
        </is>
      </c>
      <c r="D11348" t="n">
        <v>55.80422</v>
      </c>
      <c r="E11348" t="n">
        <v>37.5312</v>
      </c>
      <c r="F11348" t="inlineStr"/>
      <c r="G11348" t="inlineStr"/>
      <c r="H11348" t="inlineStr"/>
    </row>
    <row r="11349">
      <c r="A11349" t="inlineStr">
        <is>
          <t>6e563e95-8cc7-4e07-86d9-9abce2f47dab.jpg</t>
        </is>
      </c>
      <c r="B11349">
        <f>HYPERLINK("Объекты недвижимости, не соответствующие градостроительным нормам_00-022_Август/6e563e95-8cc7-4e07-86d9-9abce2f47dab.jpg","open")</f>
        <v/>
      </c>
      <c r="C11349" t="inlineStr">
        <is>
          <t>db8b536c-32f2-4d9a-ae08-679d227e61f1</t>
        </is>
      </c>
      <c r="D11349" t="n">
        <v>55.80422</v>
      </c>
      <c r="E11349" t="n">
        <v>37.5312</v>
      </c>
      <c r="F11349" t="inlineStr"/>
      <c r="G11349" t="inlineStr"/>
      <c r="H11349" t="inlineStr"/>
    </row>
    <row r="11350">
      <c r="A11350" t="inlineStr">
        <is>
          <t>8bda33fa-9860-48b9-befb-8fc7ba6a1d41.jpg</t>
        </is>
      </c>
      <c r="B11350">
        <f>HYPERLINK("Объекты недвижимости, не соответствующие градостроительным нормам_00-022_Август/8bda33fa-9860-48b9-befb-8fc7ba6a1d41.jpg","open")</f>
        <v/>
      </c>
      <c r="C11350" t="inlineStr">
        <is>
          <t>e90a3ac0-5b70-4ede-abeb-382371713306</t>
        </is>
      </c>
      <c r="D11350" t="n">
        <v>55.80422</v>
      </c>
      <c r="E11350" t="n">
        <v>37.5312</v>
      </c>
      <c r="F11350" t="inlineStr"/>
      <c r="G11350" t="inlineStr"/>
      <c r="H11350" t="inlineStr"/>
    </row>
    <row r="11351">
      <c r="A11351" t="inlineStr">
        <is>
          <t>25b877f6-edc2-405d-976f-71999e70addc.jpg</t>
        </is>
      </c>
      <c r="B11351">
        <f>HYPERLINK("Объекты недвижимости, не соответствующие градостроительным нормам_00-022_Август/25b877f6-edc2-405d-976f-71999e70addc.jpg","open")</f>
        <v/>
      </c>
      <c r="C11351" t="inlineStr">
        <is>
          <t>e90a3ac0-5b70-4ede-abeb-382371713306</t>
        </is>
      </c>
      <c r="D11351" t="n">
        <v>55.80422</v>
      </c>
      <c r="E11351" t="n">
        <v>37.5312</v>
      </c>
      <c r="F11351" t="inlineStr"/>
      <c r="G11351" t="inlineStr"/>
      <c r="H11351" t="inlineStr"/>
    </row>
    <row r="11352">
      <c r="A11352" t="inlineStr">
        <is>
          <t>a6640bd9-c12b-4b31-8032-9e866e830c77.jpg</t>
        </is>
      </c>
      <c r="B11352">
        <f>HYPERLINK("Объекты недвижимости, не соответствующие градостроительным нормам_00-022_Август/a6640bd9-c12b-4b31-8032-9e866e830c77.jpg","open")</f>
        <v/>
      </c>
      <c r="C11352" t="inlineStr">
        <is>
          <t>db8b536c-32f2-4d9a-ae08-679d227e61f1</t>
        </is>
      </c>
      <c r="D11352" t="n">
        <v>55.80422</v>
      </c>
      <c r="E11352" t="n">
        <v>37.5312</v>
      </c>
      <c r="F11352" t="inlineStr"/>
      <c r="G11352" t="inlineStr"/>
      <c r="H11352" t="inlineStr"/>
    </row>
    <row r="11353">
      <c r="A11353" t="inlineStr">
        <is>
          <t>aead43b8-af34-41a5-a478-1d1c67a342cd.jpg</t>
        </is>
      </c>
      <c r="B11353">
        <f>HYPERLINK("Объекты недвижимости, не соответствующие градостроительным нормам_00-022_Август/aead43b8-af34-41a5-a478-1d1c67a342cd.jpg","open")</f>
        <v/>
      </c>
      <c r="C11353" t="inlineStr">
        <is>
          <t>e90a3ac0-5b70-4ede-abeb-382371713306</t>
        </is>
      </c>
      <c r="D11353" t="n">
        <v>55.80422</v>
      </c>
      <c r="E11353" t="n">
        <v>37.5312</v>
      </c>
      <c r="F11353" t="inlineStr"/>
      <c r="G11353" t="inlineStr"/>
      <c r="H11353" t="inlineStr"/>
    </row>
    <row r="11354">
      <c r="A11354" t="inlineStr">
        <is>
          <t>705b17c9-3f4a-41fa-9eb0-0cee9c8f7afc.jpg</t>
        </is>
      </c>
      <c r="B11354">
        <f>HYPERLINK("Объекты недвижимости, не соответствующие градостроительным нормам_00-022_Август/705b17c9-3f4a-41fa-9eb0-0cee9c8f7afc.jpg","open")</f>
        <v/>
      </c>
      <c r="C11354" t="inlineStr">
        <is>
          <t>db8b536c-32f2-4d9a-ae08-679d227e61f1</t>
        </is>
      </c>
      <c r="D11354" t="n">
        <v>55.80422</v>
      </c>
      <c r="E11354" t="n">
        <v>37.5312</v>
      </c>
      <c r="F11354" t="inlineStr"/>
      <c r="G11354" t="inlineStr"/>
      <c r="H11354" t="inlineStr"/>
    </row>
    <row r="11355">
      <c r="A11355" t="inlineStr">
        <is>
          <t>4d02e74f-5799-4e14-9352-ad23b24a5fe9.jpg</t>
        </is>
      </c>
      <c r="B11355">
        <f>HYPERLINK("Объекты недвижимости, не соответствующие градостроительным нормам_00-022_Август/4d02e74f-5799-4e14-9352-ad23b24a5fe9.jpg","open")</f>
        <v/>
      </c>
      <c r="C11355" t="inlineStr">
        <is>
          <t>db8b536c-32f2-4d9a-ae08-679d227e61f1</t>
        </is>
      </c>
      <c r="D11355" t="n">
        <v>55.80422</v>
      </c>
      <c r="E11355" t="n">
        <v>37.5312</v>
      </c>
      <c r="F11355" t="inlineStr"/>
      <c r="G11355" t="inlineStr"/>
      <c r="H11355" t="inlineStr"/>
    </row>
    <row r="11356">
      <c r="A11356" t="inlineStr">
        <is>
          <t>ce1a8094-ace4-4778-8a72-a58b80461f9a.jpg</t>
        </is>
      </c>
      <c r="B11356">
        <f>HYPERLINK("Объекты недвижимости, не соответствующие градостроительным нормам_00-022_Август/ce1a8094-ace4-4778-8a72-a58b80461f9a.jpg","open")</f>
        <v/>
      </c>
      <c r="C11356" t="inlineStr">
        <is>
          <t>e90a3ac0-5b70-4ede-abeb-382371713306</t>
        </is>
      </c>
      <c r="D11356" t="n">
        <v>55.80422</v>
      </c>
      <c r="E11356" t="n">
        <v>37.5312</v>
      </c>
      <c r="F11356" t="inlineStr"/>
      <c r="G11356" t="inlineStr"/>
      <c r="H11356" t="inlineStr"/>
    </row>
    <row r="11357">
      <c r="A11357" t="inlineStr">
        <is>
          <t>bac164cd-a32a-46fc-a4d9-60c0defcd4a3.jpg</t>
        </is>
      </c>
      <c r="B11357">
        <f>HYPERLINK("Объекты недвижимости, не соответствующие градостроительным нормам_00-022_Август/bac164cd-a32a-46fc-a4d9-60c0defcd4a3.jpg","open")</f>
        <v/>
      </c>
      <c r="C11357" t="inlineStr">
        <is>
          <t>e90a3ac0-5b70-4ede-abeb-382371713306</t>
        </is>
      </c>
      <c r="D11357" t="n">
        <v>55.80422</v>
      </c>
      <c r="E11357" t="n">
        <v>37.5312</v>
      </c>
      <c r="F11357" t="inlineStr"/>
      <c r="G11357" t="inlineStr"/>
      <c r="H11357" t="inlineStr"/>
    </row>
    <row r="11358">
      <c r="A11358" t="inlineStr">
        <is>
          <t>eee86090-5a2f-42ae-bb2a-69c43b54dfda.jpg</t>
        </is>
      </c>
      <c r="B11358">
        <f>HYPERLINK("Объекты недвижимости, не соответствующие градостроительным нормам_00-022_Август/eee86090-5a2f-42ae-bb2a-69c43b54dfda.jpg","open")</f>
        <v/>
      </c>
      <c r="C11358" t="inlineStr">
        <is>
          <t>e26f5fc2-1353-4f29-85f3-87c56419161c</t>
        </is>
      </c>
      <c r="D11358" t="n">
        <v>55.85521</v>
      </c>
      <c r="E11358" t="n">
        <v>37.57367</v>
      </c>
      <c r="F11358" t="inlineStr"/>
      <c r="G11358" t="inlineStr"/>
      <c r="H11358" t="inlineStr"/>
    </row>
    <row r="11359">
      <c r="A11359" t="inlineStr">
        <is>
          <t>c12e808a-3a4d-472a-a4c0-91a3bf145d09.jpg</t>
        </is>
      </c>
      <c r="B11359">
        <f>HYPERLINK("Объекты недвижимости, не соответствующие градостроительным нормам_00-022_Август/c12e808a-3a4d-472a-a4c0-91a3bf145d09.jpg","open")</f>
        <v/>
      </c>
      <c r="C11359" t="inlineStr">
        <is>
          <t>db8b536c-32f2-4d9a-ae08-679d227e61f1</t>
        </is>
      </c>
      <c r="D11359" t="n">
        <v>55.80422</v>
      </c>
      <c r="E11359" t="n">
        <v>37.5312</v>
      </c>
      <c r="F11359" t="inlineStr"/>
      <c r="G11359" t="inlineStr"/>
      <c r="H11359" t="inlineStr"/>
    </row>
    <row r="11360">
      <c r="A11360" t="inlineStr">
        <is>
          <t>1ed246b3-5b33-41a2-86b7-0c8c55fbb286.jpg</t>
        </is>
      </c>
      <c r="B11360">
        <f>HYPERLINK("Объекты недвижимости, не соответствующие градостроительным нормам_00-022_Август/1ed246b3-5b33-41a2-86b7-0c8c55fbb286.jpg","open")</f>
        <v/>
      </c>
      <c r="C11360" t="inlineStr">
        <is>
          <t>6e2567a0-1fb9-40d5-a0e7-0adb480d2965</t>
        </is>
      </c>
      <c r="D11360" t="n">
        <v>55.69121</v>
      </c>
      <c r="E11360" t="n">
        <v>37.58623</v>
      </c>
      <c r="F11360" t="inlineStr"/>
      <c r="G11360" t="inlineStr"/>
      <c r="H11360" t="inlineStr"/>
    </row>
    <row r="11361">
      <c r="A11361" t="inlineStr">
        <is>
          <t>167f6255-10f6-4e3c-8aaa-dcd9725b05c1.jpg</t>
        </is>
      </c>
      <c r="B11361">
        <f>HYPERLINK("Объекты недвижимости, не соответствующие градостроительным нормам_00-022_Август/167f6255-10f6-4e3c-8aaa-dcd9725b05c1.jpg","open")</f>
        <v/>
      </c>
      <c r="C11361" t="inlineStr">
        <is>
          <t>db8b536c-32f2-4d9a-ae08-679d227e61f1</t>
        </is>
      </c>
      <c r="D11361" t="n">
        <v>55.80422</v>
      </c>
      <c r="E11361" t="n">
        <v>37.5312</v>
      </c>
      <c r="F11361" t="inlineStr"/>
      <c r="G11361" t="inlineStr"/>
      <c r="H11361" t="inlineStr"/>
    </row>
    <row r="11362">
      <c r="A11362" t="inlineStr">
        <is>
          <t>31e9e88f-49c9-4874-ab50-42a7d3fc34e3.jpg</t>
        </is>
      </c>
      <c r="B11362">
        <f>HYPERLINK("Объекты недвижимости, не соответствующие градостроительным нормам_00-022_Август/31e9e88f-49c9-4874-ab50-42a7d3fc34e3.jpg","open")</f>
        <v/>
      </c>
      <c r="C11362" t="inlineStr">
        <is>
          <t>cb4060b2-34d3-44a4-9f60-115fb1e9278e</t>
        </is>
      </c>
      <c r="D11362" t="n">
        <v>55.69322</v>
      </c>
      <c r="E11362" t="n">
        <v>37.58342</v>
      </c>
      <c r="F11362" t="inlineStr"/>
      <c r="G11362" t="inlineStr"/>
      <c r="H11362" t="inlineStr"/>
    </row>
    <row r="11363">
      <c r="A11363" t="inlineStr">
        <is>
          <t>6b6bc38d-917d-4c64-aeea-30ac197a9b35.jpg</t>
        </is>
      </c>
      <c r="B11363">
        <f>HYPERLINK("Объекты недвижимости, не соответствующие градостроительным нормам_00-022_Август/6b6bc38d-917d-4c64-aeea-30ac197a9b35.jpg","open")</f>
        <v/>
      </c>
      <c r="C11363" t="inlineStr">
        <is>
          <t>6e2567a0-1fb9-40d5-a0e7-0adb480d2965</t>
        </is>
      </c>
      <c r="D11363" t="n">
        <v>55.69318</v>
      </c>
      <c r="E11363" t="n">
        <v>37.58325</v>
      </c>
      <c r="F11363" t="inlineStr"/>
      <c r="G11363" t="inlineStr"/>
      <c r="H11363" t="inlineStr"/>
    </row>
    <row r="11364">
      <c r="A11364" t="inlineStr">
        <is>
          <t>47a09cad-3244-4b41-84c4-96cfc7526136.jpg</t>
        </is>
      </c>
      <c r="B11364">
        <f>HYPERLINK("Объекты недвижимости, не соответствующие градостроительным нормам_00-022_Август/47a09cad-3244-4b41-84c4-96cfc7526136.jpg","open")</f>
        <v/>
      </c>
      <c r="C11364" t="inlineStr">
        <is>
          <t>caa4772d-6278-4484-a046-ee25514bf521</t>
        </is>
      </c>
      <c r="D11364" t="n">
        <v>55.64073</v>
      </c>
      <c r="E11364" t="n">
        <v>37.86146</v>
      </c>
      <c r="F11364" t="inlineStr"/>
      <c r="G11364" t="inlineStr"/>
      <c r="H11364" t="inlineStr"/>
    </row>
    <row r="11365">
      <c r="A11365" t="inlineStr">
        <is>
          <t>ca7bdf86-54e6-4325-917f-e2d6354f6da3.jpg</t>
        </is>
      </c>
      <c r="B11365">
        <f>HYPERLINK("Объекты недвижимости, не соответствующие градостроительным нормам_00-022_Август/ca7bdf86-54e6-4325-917f-e2d6354f6da3.jpg","open")</f>
        <v/>
      </c>
      <c r="C11365" t="inlineStr">
        <is>
          <t>e90a3ac0-5b70-4ede-abeb-382371713306</t>
        </is>
      </c>
      <c r="D11365" t="n">
        <v>55.80422</v>
      </c>
      <c r="E11365" t="n">
        <v>37.5312</v>
      </c>
      <c r="F11365" t="inlineStr"/>
      <c r="G11365" t="inlineStr"/>
      <c r="H11365" t="inlineStr"/>
    </row>
    <row r="11366">
      <c r="A11366" t="inlineStr">
        <is>
          <t>365f923c-2821-4b58-8e06-d3c74d024def.jpg</t>
        </is>
      </c>
      <c r="B11366">
        <f>HYPERLINK("Объекты недвижимости, не соответствующие градостроительным нормам_00-022_Август/365f923c-2821-4b58-8e06-d3c74d024def.jpg","open")</f>
        <v/>
      </c>
      <c r="C11366" t="inlineStr">
        <is>
          <t>31a713a9-b910-424b-b847-e0eaa2f70c70</t>
        </is>
      </c>
      <c r="D11366" t="n">
        <v>55.86448</v>
      </c>
      <c r="E11366" t="n">
        <v>37.50791</v>
      </c>
      <c r="F11366" t="inlineStr"/>
      <c r="G11366" t="inlineStr"/>
      <c r="H11366" t="inlineStr"/>
    </row>
    <row r="11367">
      <c r="A11367" t="inlineStr">
        <is>
          <t>581a694d-3711-4b67-af94-004ea6215d6f.jpg</t>
        </is>
      </c>
      <c r="B11367">
        <f>HYPERLINK("Объекты недвижимости, не соответствующие градостроительным нормам_00-022_Август/581a694d-3711-4b67-af94-004ea6215d6f.jpg","open")</f>
        <v/>
      </c>
      <c r="C11367" t="inlineStr">
        <is>
          <t>caa4772d-6278-4484-a046-ee25514bf521</t>
        </is>
      </c>
      <c r="D11367" t="n">
        <v>55.67729</v>
      </c>
      <c r="E11367" t="n">
        <v>37.74442</v>
      </c>
      <c r="F11367" t="inlineStr"/>
      <c r="G11367" t="inlineStr"/>
      <c r="H11367" t="inlineStr"/>
    </row>
    <row r="11368">
      <c r="A11368" t="inlineStr">
        <is>
          <t>74958e1f-d5dd-49a9-9b1a-aedb893f1619.jpg</t>
        </is>
      </c>
      <c r="B11368">
        <f>HYPERLINK("Объекты недвижимости, не соответствующие градостроительным нормам_00-022_Август/74958e1f-d5dd-49a9-9b1a-aedb893f1619.jpg","open")</f>
        <v/>
      </c>
      <c r="C11368" t="inlineStr">
        <is>
          <t>ffd931da-542f-43e9-979f-5552b17fe3dc</t>
        </is>
      </c>
      <c r="D11368" t="n">
        <v>55.81164</v>
      </c>
      <c r="E11368" t="n">
        <v>37.783</v>
      </c>
      <c r="F11368" t="inlineStr"/>
      <c r="G11368" t="inlineStr"/>
      <c r="H11368" t="inlineStr"/>
    </row>
    <row r="11369">
      <c r="A11369" t="inlineStr">
        <is>
          <t>2e667e26-7833-4feb-87d8-3680de0466db.jpg</t>
        </is>
      </c>
      <c r="B11369">
        <f>HYPERLINK("Объекты недвижимости, не соответствующие градостроительным нормам_00-022_Август/2e667e26-7833-4feb-87d8-3680de0466db.jpg","open")</f>
        <v/>
      </c>
      <c r="C11369" t="inlineStr">
        <is>
          <t>31a713a9-b910-424b-b847-e0eaa2f70c70</t>
        </is>
      </c>
      <c r="D11369" t="n">
        <v>55.87482</v>
      </c>
      <c r="E11369" t="n">
        <v>37.49525</v>
      </c>
      <c r="F11369" t="inlineStr"/>
      <c r="G11369" t="inlineStr"/>
      <c r="H11369" t="inlineStr"/>
    </row>
    <row r="11370">
      <c r="A11370" t="inlineStr">
        <is>
          <t>95541931-752a-438e-b1bc-b2cd58f22875.jpg</t>
        </is>
      </c>
      <c r="B11370">
        <f>HYPERLINK("Объекты недвижимости, не соответствующие градостроительным нормам_00-022_Август/95541931-752a-438e-b1bc-b2cd58f22875.jpg","open")</f>
        <v/>
      </c>
      <c r="C11370" t="inlineStr">
        <is>
          <t>ffd931da-542f-43e9-979f-5552b17fe3dc</t>
        </is>
      </c>
      <c r="D11370" t="n">
        <v>55.81166</v>
      </c>
      <c r="E11370" t="n">
        <v>37.78303</v>
      </c>
      <c r="F11370" t="inlineStr"/>
      <c r="G11370" t="inlineStr"/>
      <c r="H11370" t="inlineStr"/>
    </row>
    <row r="11371">
      <c r="A11371" t="inlineStr">
        <is>
          <t>e91d4a1e-6231-4527-8e27-c6129e71ea5c.jpg</t>
        </is>
      </c>
      <c r="B11371">
        <f>HYPERLINK("Объекты недвижимости, не соответствующие градостроительным нормам_00-022_Август/e91d4a1e-6231-4527-8e27-c6129e71ea5c.jpg","open")</f>
        <v/>
      </c>
      <c r="C11371" t="inlineStr">
        <is>
          <t>18a5c468-d9e6-4814-8477-1caf4a2e1fe9</t>
        </is>
      </c>
      <c r="D11371" t="n">
        <v>55.67109</v>
      </c>
      <c r="E11371" t="n">
        <v>37.48499</v>
      </c>
      <c r="F11371" t="inlineStr"/>
      <c r="G11371" t="inlineStr"/>
      <c r="H11371" t="inlineStr"/>
    </row>
    <row r="11372">
      <c r="A11372" t="inlineStr">
        <is>
          <t>ae2d90f8-7414-4041-a669-0f2d20dea756.jpg</t>
        </is>
      </c>
      <c r="B11372">
        <f>HYPERLINK("Объекты недвижимости, не соответствующие градостроительным нормам_00-022_Август/ae2d90f8-7414-4041-a669-0f2d20dea756.jpg","open")</f>
        <v/>
      </c>
      <c r="C11372" t="inlineStr">
        <is>
          <t>18a5c468-d9e6-4814-8477-1caf4a2e1fe9</t>
        </is>
      </c>
      <c r="D11372" t="n">
        <v>55.67109</v>
      </c>
      <c r="E11372" t="n">
        <v>37.48499</v>
      </c>
      <c r="F11372" t="inlineStr"/>
      <c r="G11372" t="inlineStr"/>
      <c r="H11372" t="inlineStr"/>
    </row>
    <row r="11373">
      <c r="A11373" t="inlineStr">
        <is>
          <t>b6eca98d-7398-4fc0-9c1b-da382a37fb46.jpg</t>
        </is>
      </c>
      <c r="B11373">
        <f>HYPERLINK("Объекты недвижимости, не соответствующие градостроительным нормам_00-022_Август/b6eca98d-7398-4fc0-9c1b-da382a37fb46.jpg","open")</f>
        <v/>
      </c>
      <c r="C11373" t="inlineStr">
        <is>
          <t>b0429a31-0c70-4b9f-8ea5-73929d82f89e</t>
        </is>
      </c>
      <c r="D11373" t="n">
        <v>55.60234</v>
      </c>
      <c r="E11373" t="n">
        <v>37.59769</v>
      </c>
      <c r="F11373" t="inlineStr"/>
      <c r="G11373" t="inlineStr"/>
      <c r="H11373" t="inlineStr"/>
    </row>
    <row r="11374">
      <c r="A11374" t="inlineStr">
        <is>
          <t>c4051a21-1ec6-4093-9474-c417d388af84.jpg</t>
        </is>
      </c>
      <c r="B11374">
        <f>HYPERLINK("Объекты недвижимости, не соответствующие градостроительным нормам_00-022_Август/c4051a21-1ec6-4093-9474-c417d388af84.jpg","open")</f>
        <v/>
      </c>
      <c r="C11374" t="inlineStr">
        <is>
          <t>8996eb30-6497-4318-8a0e-b95314b8172e</t>
        </is>
      </c>
      <c r="D11374" t="n">
        <v>55.82288</v>
      </c>
      <c r="E11374" t="n">
        <v>37.36205</v>
      </c>
      <c r="F11374" t="inlineStr"/>
      <c r="G11374" t="inlineStr"/>
      <c r="H11374" t="inlineStr"/>
    </row>
    <row r="11375">
      <c r="A11375" t="inlineStr">
        <is>
          <t>9345ea2a-cf23-41e4-8d2f-b157f273e8b9.jpg</t>
        </is>
      </c>
      <c r="B11375">
        <f>HYPERLINK("Объекты недвижимости, не соответствующие градостроительным нормам_00-022_Август/9345ea2a-cf23-41e4-8d2f-b157f273e8b9.jpg","open")</f>
        <v/>
      </c>
      <c r="C11375" t="inlineStr">
        <is>
          <t>57812597-37e6-414c-8b11-8c661dbfeb70</t>
        </is>
      </c>
      <c r="D11375" t="n">
        <v>55.78878</v>
      </c>
      <c r="E11375" t="n">
        <v>37.62919</v>
      </c>
      <c r="F11375" t="inlineStr"/>
      <c r="G11375" t="inlineStr"/>
      <c r="H11375" t="inlineStr"/>
    </row>
    <row r="11376">
      <c r="A11376" t="inlineStr">
        <is>
          <t>da02bf7d-ffcd-48dc-bd13-365508cf83c4.jpg</t>
        </is>
      </c>
      <c r="B11376">
        <f>HYPERLINK("Объекты недвижимости, не соответствующие градостроительным нормам_00-022_Август/da02bf7d-ffcd-48dc-bd13-365508cf83c4.jpg","open")</f>
        <v/>
      </c>
      <c r="C11376" t="inlineStr">
        <is>
          <t>036c664f-5408-4fd0-b479-342c00468eeb</t>
        </is>
      </c>
      <c r="D11376" t="n">
        <v>55.74105</v>
      </c>
      <c r="E11376" t="n">
        <v>37.42783</v>
      </c>
      <c r="F11376" t="inlineStr"/>
      <c r="G11376" t="inlineStr"/>
      <c r="H11376" t="inlineStr"/>
    </row>
    <row r="11377">
      <c r="A11377" t="inlineStr">
        <is>
          <t>8203029e-ead1-4eb7-b7a2-753875d47b71.jpg</t>
        </is>
      </c>
      <c r="B11377">
        <f>HYPERLINK("Объекты недвижимости, не соответствующие градостроительным нормам_00-022_Август/8203029e-ead1-4eb7-b7a2-753875d47b71.jpg","open")</f>
        <v/>
      </c>
      <c r="C11377" t="inlineStr">
        <is>
          <t>50e4626c-a80e-42ab-b999-b5092c2c063f</t>
        </is>
      </c>
      <c r="D11377" t="n">
        <v>55.97512</v>
      </c>
      <c r="E11377" t="n">
        <v>37.43028</v>
      </c>
      <c r="F11377" t="inlineStr"/>
      <c r="G11377" t="inlineStr"/>
      <c r="H11377" t="inlineStr"/>
    </row>
    <row r="11378">
      <c r="A11378" t="inlineStr">
        <is>
          <t>f8e91932-7cd9-4477-98de-5ae2eacd10b9.jpg</t>
        </is>
      </c>
      <c r="B11378">
        <f>HYPERLINK("Объекты недвижимости, не соответствующие градостроительным нормам_00-022_Август/f8e91932-7cd9-4477-98de-5ae2eacd10b9.jpg","open")</f>
        <v/>
      </c>
      <c r="C11378" t="inlineStr">
        <is>
          <t>a28f597e-d1cd-4d3b-b572-c86d033412e9</t>
        </is>
      </c>
      <c r="D11378" t="n">
        <v>55.74098</v>
      </c>
      <c r="E11378" t="n">
        <v>37.42792</v>
      </c>
      <c r="F11378" t="inlineStr"/>
      <c r="G11378" t="inlineStr"/>
      <c r="H11378" t="inlineStr"/>
    </row>
    <row r="11379">
      <c r="A11379" t="inlineStr">
        <is>
          <t>fba00d4b-443b-42ce-bcd6-0006e025f86a.jpg</t>
        </is>
      </c>
      <c r="B11379">
        <f>HYPERLINK("Объекты недвижимости, не соответствующие градостроительным нормам_00-022_Август/fba00d4b-443b-42ce-bcd6-0006e025f86a.jpg","open")</f>
        <v/>
      </c>
      <c r="C11379" t="inlineStr">
        <is>
          <t>18a5c468-d9e6-4814-8477-1caf4a2e1fe9</t>
        </is>
      </c>
      <c r="D11379" t="n">
        <v>55.67109</v>
      </c>
      <c r="E11379" t="n">
        <v>37.48499</v>
      </c>
      <c r="F11379" t="inlineStr"/>
      <c r="G11379" t="inlineStr"/>
      <c r="H11379" t="inlineStr"/>
    </row>
    <row r="11380">
      <c r="A11380" t="inlineStr">
        <is>
          <t>62b6f9c1-afff-4e81-991d-988a49e2db8a.jpg</t>
        </is>
      </c>
      <c r="B11380">
        <f>HYPERLINK("Объекты недвижимости, не соответствующие градостроительным нормам_00-022_Август/62b6f9c1-afff-4e81-991d-988a49e2db8a.jpg","open")</f>
        <v/>
      </c>
      <c r="C11380" t="inlineStr">
        <is>
          <t>f20fbc2b-b369-4734-bb66-92af02fbb0d1</t>
        </is>
      </c>
      <c r="D11380" t="n">
        <v>55.67216</v>
      </c>
      <c r="E11380" t="n">
        <v>37.72246</v>
      </c>
      <c r="F11380" t="inlineStr"/>
      <c r="G11380" t="inlineStr"/>
      <c r="H11380" t="inlineStr"/>
    </row>
    <row r="11381">
      <c r="A11381" t="inlineStr">
        <is>
          <t>10b08688-f4d7-451e-9745-205a37191b68.jpg</t>
        </is>
      </c>
      <c r="B11381">
        <f>HYPERLINK("Объекты недвижимости, не соответствующие градостроительным нормам_00-022_Август/10b08688-f4d7-451e-9745-205a37191b68.jpg","open")</f>
        <v/>
      </c>
      <c r="C11381" t="inlineStr">
        <is>
          <t>8996eb30-6497-4318-8a0e-b95314b8172e</t>
        </is>
      </c>
      <c r="D11381" t="n">
        <v>55.83278</v>
      </c>
      <c r="E11381" t="n">
        <v>37.39199</v>
      </c>
      <c r="F11381" t="inlineStr"/>
      <c r="G11381" t="inlineStr"/>
      <c r="H11381" t="inlineStr"/>
    </row>
    <row r="11382">
      <c r="A11382" t="inlineStr">
        <is>
          <t>1c37a35f-faac-4e89-84ea-7d3094a0605f.jpg</t>
        </is>
      </c>
      <c r="B11382">
        <f>HYPERLINK("Объекты недвижимости, не соответствующие градостроительным нормам_00-022_Август/1c37a35f-faac-4e89-84ea-7d3094a0605f.jpg","open")</f>
        <v/>
      </c>
      <c r="C11382" t="inlineStr">
        <is>
          <t>48b533d5-d106-4175-ac9b-d5ce8d90cccf</t>
        </is>
      </c>
      <c r="D11382" t="n">
        <v>55.83277</v>
      </c>
      <c r="E11382" t="n">
        <v>37.3921</v>
      </c>
      <c r="F11382" t="inlineStr"/>
      <c r="G11382" t="inlineStr"/>
      <c r="H11382" t="inlineStr"/>
    </row>
    <row r="11383">
      <c r="A11383" t="inlineStr">
        <is>
          <t>2083f83b-3376-4bbf-9402-4917a8118f6b.jpg</t>
        </is>
      </c>
      <c r="B11383">
        <f>HYPERLINK("Объекты недвижимости, не соответствующие градостроительным нормам_00-022_Август/2083f83b-3376-4bbf-9402-4917a8118f6b.jpg","open")</f>
        <v/>
      </c>
      <c r="C11383" t="inlineStr">
        <is>
          <t>8996eb30-6497-4318-8a0e-b95314b8172e</t>
        </is>
      </c>
      <c r="D11383" t="n">
        <v>55.83248</v>
      </c>
      <c r="E11383" t="n">
        <v>37.39465</v>
      </c>
      <c r="F11383" t="inlineStr"/>
      <c r="G11383" t="inlineStr"/>
      <c r="H11383" t="inlineStr"/>
    </row>
    <row r="11384">
      <c r="A11384" t="inlineStr">
        <is>
          <t>8d46c407-135c-409c-a733-07cfba95dfd8.jpg</t>
        </is>
      </c>
      <c r="B11384">
        <f>HYPERLINK("Объекты недвижимости, не соответствующие градостроительным нормам_00-022_Август/8d46c407-135c-409c-a733-07cfba95dfd8.jpg","open")</f>
        <v/>
      </c>
      <c r="C11384" t="inlineStr">
        <is>
          <t>036c664f-5408-4fd0-b479-342c00468eeb</t>
        </is>
      </c>
      <c r="D11384" t="n">
        <v>55.73782</v>
      </c>
      <c r="E11384" t="n">
        <v>37.43145</v>
      </c>
      <c r="F11384" t="inlineStr"/>
      <c r="G11384" t="inlineStr"/>
      <c r="H11384" t="inlineStr"/>
    </row>
    <row r="11385">
      <c r="A11385" t="inlineStr">
        <is>
          <t>e11fd68d-2a71-44fc-9f69-3b2f42375202.jpg</t>
        </is>
      </c>
      <c r="B11385">
        <f>HYPERLINK("Объекты недвижимости, не соответствующие градостроительным нормам_00-022_Август/e11fd68d-2a71-44fc-9f69-3b2f42375202.jpg","open")</f>
        <v/>
      </c>
      <c r="C11385" t="inlineStr">
        <is>
          <t>0ae6fd20-177f-4af7-9257-efb3c784b357</t>
        </is>
      </c>
      <c r="D11385" t="n">
        <v>55.86496</v>
      </c>
      <c r="E11385" t="n">
        <v>37.65849</v>
      </c>
      <c r="F11385" t="inlineStr"/>
      <c r="G11385" t="inlineStr"/>
      <c r="H11385" t="inlineStr"/>
    </row>
    <row r="11386">
      <c r="A11386" t="inlineStr">
        <is>
          <t>4be10d91-1635-494e-8f2f-ac2aff1ac1a0.jpg</t>
        </is>
      </c>
      <c r="B11386">
        <f>HYPERLINK("Объекты недвижимости, не соответствующие градостроительным нормам_00-022_Август/4be10d91-1635-494e-8f2f-ac2aff1ac1a0.jpg","open")</f>
        <v/>
      </c>
      <c r="C11386" t="inlineStr">
        <is>
          <t>e85aff3b-73e8-4856-827e-477ccc0aea77</t>
        </is>
      </c>
      <c r="D11386" t="n">
        <v>55.86496</v>
      </c>
      <c r="E11386" t="n">
        <v>37.65849</v>
      </c>
      <c r="F11386" t="inlineStr"/>
      <c r="G11386" t="inlineStr"/>
      <c r="H11386" t="inlineStr"/>
    </row>
    <row r="11387">
      <c r="A11387" t="inlineStr">
        <is>
          <t>ddd0c9b9-d11c-499a-a947-5aedd8d9653f.jpg</t>
        </is>
      </c>
      <c r="B11387">
        <f>HYPERLINK("Объекты недвижимости, не соответствующие градостроительным нормам_00-022_Август/ddd0c9b9-d11c-499a-a947-5aedd8d9653f.jpg","open")</f>
        <v/>
      </c>
      <c r="C11387" t="inlineStr">
        <is>
          <t>036c664f-5408-4fd0-b479-342c00468eeb</t>
        </is>
      </c>
      <c r="D11387" t="n">
        <v>55.73099</v>
      </c>
      <c r="E11387" t="n">
        <v>37.43644</v>
      </c>
      <c r="F11387" t="inlineStr"/>
      <c r="G11387" t="inlineStr"/>
      <c r="H11387" t="inlineStr"/>
    </row>
    <row r="11388">
      <c r="A11388" t="inlineStr">
        <is>
          <t>8c95a131-ffcd-414b-874b-ceeb23f9c719.jpg</t>
        </is>
      </c>
      <c r="B11388">
        <f>HYPERLINK("Объекты недвижимости, не соответствующие градостроительным нормам_00-022_Август/8c95a131-ffcd-414b-874b-ceeb23f9c719.jpg","open")</f>
        <v/>
      </c>
      <c r="C11388" t="inlineStr">
        <is>
          <t>50e4626c-a80e-42ab-b999-b5092c2c063f</t>
        </is>
      </c>
      <c r="D11388" t="n">
        <v>55.97089</v>
      </c>
      <c r="E11388" t="n">
        <v>37.43044</v>
      </c>
      <c r="F11388" t="inlineStr"/>
      <c r="G11388" t="inlineStr"/>
      <c r="H11388" t="inlineStr"/>
    </row>
    <row r="11389">
      <c r="A11389" t="inlineStr">
        <is>
          <t>00120b0e-42e9-4768-a890-18b8fbcf2177.jpg</t>
        </is>
      </c>
      <c r="B11389">
        <f>HYPERLINK("Объекты недвижимости, не соответствующие градостроительным нормам_00-022_Август/00120b0e-42e9-4768-a890-18b8fbcf2177.jpg","open")</f>
        <v/>
      </c>
      <c r="C11389" t="inlineStr">
        <is>
          <t>789f6c51-64ee-4078-b7bd-443af8b8b68a</t>
        </is>
      </c>
      <c r="D11389" t="n">
        <v>55.82059</v>
      </c>
      <c r="E11389" t="n">
        <v>37.64529</v>
      </c>
      <c r="F11389" t="inlineStr"/>
      <c r="G11389" t="inlineStr"/>
      <c r="H11389" t="inlineStr"/>
    </row>
    <row r="11390">
      <c r="A11390" t="inlineStr">
        <is>
          <t>3c32b355-fb5d-4193-ba7e-3160d6d855d1.jpg</t>
        </is>
      </c>
      <c r="B11390">
        <f>HYPERLINK("Объекты недвижимости, не соответствующие градостроительным нормам_00-022_Август/3c32b355-fb5d-4193-ba7e-3160d6d855d1.jpg","open")</f>
        <v/>
      </c>
      <c r="C11390" t="inlineStr">
        <is>
          <t>57812597-37e6-414c-8b11-8c661dbfeb70</t>
        </is>
      </c>
      <c r="D11390" t="n">
        <v>55.79205</v>
      </c>
      <c r="E11390" t="n">
        <v>37.63197</v>
      </c>
      <c r="F11390" t="inlineStr"/>
      <c r="G11390" t="inlineStr"/>
      <c r="H11390" t="inlineStr"/>
    </row>
    <row r="11391">
      <c r="A11391" t="inlineStr">
        <is>
          <t>cfc67430-23de-44d5-8676-db7f647dee94.jpg</t>
        </is>
      </c>
      <c r="B11391">
        <f>HYPERLINK("Объекты недвижимости, не соответствующие градостроительным нормам_00-022_Август/cfc67430-23de-44d5-8676-db7f647dee94.jpg","open")</f>
        <v/>
      </c>
      <c r="C11391" t="inlineStr">
        <is>
          <t>685d9054-b74f-49ab-857b-109fd2cec80d</t>
        </is>
      </c>
      <c r="D11391" t="n">
        <v>55.64633</v>
      </c>
      <c r="E11391" t="n">
        <v>37.51927</v>
      </c>
      <c r="F11391" t="inlineStr"/>
      <c r="G11391" t="inlineStr"/>
      <c r="H11391" t="inlineStr"/>
    </row>
    <row r="11392">
      <c r="A11392" t="inlineStr">
        <is>
          <t>cbdd3c52-7852-482a-add8-d04ccc11edd7.jpg</t>
        </is>
      </c>
      <c r="B11392">
        <f>HYPERLINK("Объекты недвижимости, не соответствующие градостроительным нормам_00-022_Август/cbdd3c52-7852-482a-add8-d04ccc11edd7.jpg","open")</f>
        <v/>
      </c>
      <c r="C11392" t="inlineStr">
        <is>
          <t>f60286ac-55e7-4099-85bd-cc599a7a0c65</t>
        </is>
      </c>
      <c r="D11392" t="n">
        <v>55.80708</v>
      </c>
      <c r="E11392" t="n">
        <v>37.76595</v>
      </c>
      <c r="F11392" t="inlineStr"/>
      <c r="G11392" t="inlineStr"/>
      <c r="H11392" t="inlineStr"/>
    </row>
    <row r="11393">
      <c r="A11393" t="inlineStr">
        <is>
          <t>0cff0bfa-5698-41d4-a2c2-41074a7ad451.jpg</t>
        </is>
      </c>
      <c r="B11393">
        <f>HYPERLINK("Объекты недвижимости, не соответствующие градостроительным нормам_00-022_Август/0cff0bfa-5698-41d4-a2c2-41074a7ad451.jpg","open")</f>
        <v/>
      </c>
      <c r="C11393" t="inlineStr">
        <is>
          <t>31a713a9-b910-424b-b847-e0eaa2f70c70</t>
        </is>
      </c>
      <c r="D11393" t="n">
        <v>55.86626</v>
      </c>
      <c r="E11393" t="n">
        <v>37.47607</v>
      </c>
      <c r="F11393" t="inlineStr"/>
      <c r="G11393" t="inlineStr"/>
      <c r="H11393" t="inlineStr"/>
    </row>
    <row r="11394">
      <c r="A11394" t="inlineStr">
        <is>
          <t>f67cbf99-f9c2-480e-97e0-9c9f308f552a.jpg</t>
        </is>
      </c>
      <c r="B11394">
        <f>HYPERLINK("Объекты недвижимости, не соответствующие градостроительным нормам_00-022_Август/f67cbf99-f9c2-480e-97e0-9c9f308f552a.jpg","open")</f>
        <v/>
      </c>
      <c r="C11394" t="inlineStr">
        <is>
          <t>31a713a9-b910-424b-b847-e0eaa2f70c70</t>
        </is>
      </c>
      <c r="D11394" t="n">
        <v>55.86627</v>
      </c>
      <c r="E11394" t="n">
        <v>37.4761</v>
      </c>
      <c r="F11394" t="inlineStr"/>
      <c r="G11394" t="inlineStr"/>
      <c r="H11394" t="inlineStr"/>
    </row>
    <row r="11395">
      <c r="A11395" t="inlineStr">
        <is>
          <t>fdb3d295-99bd-4b75-aeb3-8f0ba004c81b.jpg</t>
        </is>
      </c>
      <c r="B11395">
        <f>HYPERLINK("Объекты недвижимости, не соответствующие градостроительным нормам_00-022_Август/fdb3d295-99bd-4b75-aeb3-8f0ba004c81b.jpg","open")</f>
        <v/>
      </c>
      <c r="C11395" t="inlineStr">
        <is>
          <t>61936922-4d4b-458e-80ea-6d4c450aa1d5</t>
        </is>
      </c>
      <c r="D11395" t="n">
        <v>55.67848</v>
      </c>
      <c r="E11395" t="n">
        <v>37.45202</v>
      </c>
      <c r="F11395" t="inlineStr"/>
      <c r="G11395" t="inlineStr"/>
      <c r="H11395" t="inlineStr"/>
    </row>
    <row r="11396">
      <c r="A11396" t="inlineStr">
        <is>
          <t>cb4190f4-b64f-446b-8580-f996de2315f6.jpg</t>
        </is>
      </c>
      <c r="B11396">
        <f>HYPERLINK("Объекты недвижимости, не соответствующие градостроительным нормам_00-022_Август/cb4190f4-b64f-446b-8580-f996de2315f6.jpg","open")</f>
        <v/>
      </c>
      <c r="C11396" t="inlineStr">
        <is>
          <t>9fb3d110-951f-48da-9d90-cfd7e1b5800d</t>
        </is>
      </c>
      <c r="D11396" t="n">
        <v>55.67848</v>
      </c>
      <c r="E11396" t="n">
        <v>37.45202</v>
      </c>
      <c r="F11396" t="inlineStr"/>
      <c r="G11396" t="inlineStr"/>
      <c r="H11396" t="inlineStr"/>
    </row>
    <row r="11397">
      <c r="A11397" t="inlineStr">
        <is>
          <t>451f6dd8-abef-4e2e-99a0-de1a8e9a9cc3.jpg</t>
        </is>
      </c>
      <c r="B11397">
        <f>HYPERLINK("Объекты недвижимости, не соответствующие градостроительным нормам_00-022_Август/451f6dd8-abef-4e2e-99a0-de1a8e9a9cc3.jpg","open")</f>
        <v/>
      </c>
      <c r="C11397" t="inlineStr">
        <is>
          <t>61936922-4d4b-458e-80ea-6d4c450aa1d5</t>
        </is>
      </c>
      <c r="D11397" t="n">
        <v>55.67848</v>
      </c>
      <c r="E11397" t="n">
        <v>37.45202</v>
      </c>
      <c r="F11397" t="inlineStr"/>
      <c r="G11397" t="inlineStr"/>
      <c r="H11397" t="inlineStr"/>
    </row>
    <row r="11398">
      <c r="A11398" t="inlineStr">
        <is>
          <t>6af372c3-52cf-4df5-a98d-45d2bdb55f54.jpg</t>
        </is>
      </c>
      <c r="B11398">
        <f>HYPERLINK("Объекты недвижимости, не соответствующие градостроительным нормам_00-022_Август/6af372c3-52cf-4df5-a98d-45d2bdb55f54.jpg","open")</f>
        <v/>
      </c>
      <c r="C11398" t="inlineStr">
        <is>
          <t>9fb3d110-951f-48da-9d90-cfd7e1b5800d</t>
        </is>
      </c>
      <c r="D11398" t="n">
        <v>55.67848</v>
      </c>
      <c r="E11398" t="n">
        <v>37.45202</v>
      </c>
      <c r="F11398" t="inlineStr"/>
      <c r="G11398" t="inlineStr"/>
      <c r="H11398" t="inlineStr"/>
    </row>
    <row r="11399">
      <c r="A11399" t="inlineStr">
        <is>
          <t>b8bc61ee-5062-4f8a-9d41-42e9b435d5ce.jpg</t>
        </is>
      </c>
      <c r="B11399">
        <f>HYPERLINK("Объекты недвижимости, не соответствующие градостроительным нормам_00-022_Август/b8bc61ee-5062-4f8a-9d41-42e9b435d5ce.jpg","open")</f>
        <v/>
      </c>
      <c r="C11399" t="inlineStr">
        <is>
          <t>31a713a9-b910-424b-b847-e0eaa2f70c70</t>
        </is>
      </c>
      <c r="D11399" t="n">
        <v>55.86627</v>
      </c>
      <c r="E11399" t="n">
        <v>37.47612</v>
      </c>
      <c r="F11399" t="inlineStr"/>
      <c r="G11399" t="inlineStr"/>
      <c r="H11399" t="inlineStr"/>
    </row>
    <row r="11400">
      <c r="A11400" t="inlineStr">
        <is>
          <t>8a989d01-9f70-4377-b773-bb0069525028.jpg</t>
        </is>
      </c>
      <c r="B11400">
        <f>HYPERLINK("Объекты недвижимости, не соответствующие градостроительным нормам_00-022_Август/8a989d01-9f70-4377-b773-bb0069525028.jpg","open")</f>
        <v/>
      </c>
      <c r="C11400" t="inlineStr">
        <is>
          <t>e85aff3b-73e8-4856-827e-477ccc0aea77</t>
        </is>
      </c>
      <c r="D11400" t="n">
        <v>55.86496</v>
      </c>
      <c r="E11400" t="n">
        <v>37.65849</v>
      </c>
      <c r="F11400" t="inlineStr"/>
      <c r="G11400" t="inlineStr"/>
      <c r="H11400" t="inlineStr"/>
    </row>
    <row r="11401">
      <c r="A11401" t="inlineStr">
        <is>
          <t>f6ebf52e-e835-4429-93ab-6b06f16706ec.jpg</t>
        </is>
      </c>
      <c r="B11401">
        <f>HYPERLINK("Объекты недвижимости, не соответствующие градостроительным нормам_00-022_Август/f6ebf52e-e835-4429-93ab-6b06f16706ec.jpg","open")</f>
        <v/>
      </c>
      <c r="C11401" t="inlineStr">
        <is>
          <t>99ad831f-cb97-41d7-860c-2a48cf549c05</t>
        </is>
      </c>
      <c r="D11401" t="n">
        <v>55.85175</v>
      </c>
      <c r="E11401" t="n">
        <v>37.51114</v>
      </c>
      <c r="F11401" t="inlineStr"/>
      <c r="G11401" t="inlineStr"/>
      <c r="H11401" t="inlineStr"/>
    </row>
    <row r="11402">
      <c r="A11402" t="inlineStr">
        <is>
          <t>be1fe65c-d8e9-4563-8725-5879bc6bb058.jpg</t>
        </is>
      </c>
      <c r="B11402">
        <f>HYPERLINK("Объекты недвижимости, не соответствующие градостроительным нормам_00-022_Август/be1fe65c-d8e9-4563-8725-5879bc6bb058.jpg","open")</f>
        <v/>
      </c>
      <c r="C11402" t="inlineStr">
        <is>
          <t>50e4626c-a80e-42ab-b999-b5092c2c063f</t>
        </is>
      </c>
      <c r="D11402" t="n">
        <v>55.97089</v>
      </c>
      <c r="E11402" t="n">
        <v>37.43044</v>
      </c>
      <c r="F11402" t="inlineStr"/>
      <c r="G11402" t="inlineStr"/>
      <c r="H11402" t="inlineStr"/>
    </row>
    <row r="11403">
      <c r="A11403" t="inlineStr">
        <is>
          <t>0730c740-59d1-464a-82a3-44456b9d7a1c.jpg</t>
        </is>
      </c>
      <c r="B11403">
        <f>HYPERLINK("Объекты недвижимости, не соответствующие градостроительным нормам_00-022_Август/0730c740-59d1-464a-82a3-44456b9d7a1c.jpg","open")</f>
        <v/>
      </c>
      <c r="C11403" t="inlineStr">
        <is>
          <t>31a713a9-b910-424b-b847-e0eaa2f70c70</t>
        </is>
      </c>
      <c r="D11403" t="n">
        <v>55.86813</v>
      </c>
      <c r="E11403" t="n">
        <v>37.49302</v>
      </c>
      <c r="F11403" t="inlineStr"/>
      <c r="G11403" t="inlineStr"/>
      <c r="H11403" t="inlineStr"/>
    </row>
    <row r="11404">
      <c r="A11404" t="inlineStr">
        <is>
          <t>8de34801-0698-406f-8347-fd5f7264eb81.jpg</t>
        </is>
      </c>
      <c r="B11404">
        <f>HYPERLINK("Объекты недвижимости, не соответствующие градостроительным нормам_00-022_Август/8de34801-0698-406f-8347-fd5f7264eb81.jpg","open")</f>
        <v/>
      </c>
      <c r="C11404" t="inlineStr">
        <is>
          <t>789f6c51-64ee-4078-b7bd-443af8b8b68a</t>
        </is>
      </c>
      <c r="D11404" t="n">
        <v>55.82043</v>
      </c>
      <c r="E11404" t="n">
        <v>37.64986</v>
      </c>
      <c r="F11404" t="inlineStr"/>
      <c r="G11404" t="inlineStr"/>
      <c r="H11404" t="inlineStr"/>
    </row>
    <row r="11405">
      <c r="A11405" t="inlineStr">
        <is>
          <t>b35d73f3-ff34-4c90-90ce-bc788e2494a3.jpg</t>
        </is>
      </c>
      <c r="B11405">
        <f>HYPERLINK("Объекты недвижимости, не соответствующие градостроительным нормам_00-022_Август/b35d73f3-ff34-4c90-90ce-bc788e2494a3.jpg","open")</f>
        <v/>
      </c>
      <c r="C11405" t="inlineStr">
        <is>
          <t>789f6c51-64ee-4078-b7bd-443af8b8b68a</t>
        </is>
      </c>
      <c r="D11405" t="n">
        <v>55.82053</v>
      </c>
      <c r="E11405" t="n">
        <v>37.64992</v>
      </c>
      <c r="F11405" t="inlineStr"/>
      <c r="G11405" t="inlineStr"/>
      <c r="H11405" t="inlineStr"/>
    </row>
    <row r="11406">
      <c r="A11406" t="inlineStr">
        <is>
          <t>e75c2132-9db3-4614-944f-b883fb818175.jpg</t>
        </is>
      </c>
      <c r="B11406">
        <f>HYPERLINK("Объекты недвижимости, не соответствующие градостроительным нормам_00-022_Август/e75c2132-9db3-4614-944f-b883fb818175.jpg","open")</f>
        <v/>
      </c>
      <c r="C11406" t="inlineStr">
        <is>
          <t>31a713a9-b910-424b-b847-e0eaa2f70c70</t>
        </is>
      </c>
      <c r="D11406" t="n">
        <v>55.87912</v>
      </c>
      <c r="E11406" t="n">
        <v>37.48452</v>
      </c>
      <c r="F11406" t="inlineStr"/>
      <c r="G11406" t="inlineStr"/>
      <c r="H11406" t="inlineStr"/>
    </row>
    <row r="11407">
      <c r="A11407" t="inlineStr">
        <is>
          <t>a2f6c6b2-7aa0-4956-9c3a-638433da6f3a.jpg</t>
        </is>
      </c>
      <c r="B11407">
        <f>HYPERLINK("Объекты недвижимости, не соответствующие градостроительным нормам_00-022_Август/a2f6c6b2-7aa0-4956-9c3a-638433da6f3a.jpg","open")</f>
        <v/>
      </c>
      <c r="C11407" t="inlineStr">
        <is>
          <t>e85aff3b-73e8-4856-827e-477ccc0aea77</t>
        </is>
      </c>
      <c r="D11407" t="n">
        <v>55.86496</v>
      </c>
      <c r="E11407" t="n">
        <v>37.65849</v>
      </c>
      <c r="F11407" t="inlineStr"/>
      <c r="G11407" t="inlineStr"/>
      <c r="H11407" t="inlineStr"/>
    </row>
    <row r="11408">
      <c r="A11408" t="inlineStr">
        <is>
          <t>d82075ee-982e-45f7-b67e-4d90851be20c.jpg</t>
        </is>
      </c>
      <c r="B11408">
        <f>HYPERLINK("Объекты недвижимости, не соответствующие градостроительным нормам_00-022_Август/d82075ee-982e-45f7-b67e-4d90851be20c.jpg","open")</f>
        <v/>
      </c>
      <c r="C11408" t="inlineStr">
        <is>
          <t>685d9054-b74f-49ab-857b-109fd2cec80d</t>
        </is>
      </c>
      <c r="D11408" t="n">
        <v>55.64499</v>
      </c>
      <c r="E11408" t="n">
        <v>37.50939</v>
      </c>
      <c r="F11408" t="inlineStr"/>
      <c r="G11408" t="inlineStr"/>
      <c r="H11408" t="inlineStr"/>
    </row>
    <row r="11409">
      <c r="A11409" t="inlineStr">
        <is>
          <t>26171d50-5a72-441e-bfe7-e028d5f6da04.jpg</t>
        </is>
      </c>
      <c r="B11409">
        <f>HYPERLINK("Объекты недвижимости, не соответствующие градостроительным нормам_00-022_Август/26171d50-5a72-441e-bfe7-e028d5f6da04.jpg","open")</f>
        <v/>
      </c>
      <c r="C11409" t="inlineStr">
        <is>
          <t>2acfb2da-e3f6-464c-bd17-4b713522c142</t>
        </is>
      </c>
      <c r="D11409" t="n">
        <v>55.81907</v>
      </c>
      <c r="E11409" t="n">
        <v>37.65127</v>
      </c>
      <c r="F11409" t="inlineStr"/>
      <c r="G11409" t="inlineStr"/>
      <c r="H11409" t="inlineStr"/>
    </row>
    <row r="11410">
      <c r="A11410" t="inlineStr">
        <is>
          <t>7de23651-d156-4847-83dc-c61bf84aa8c8.jpg</t>
        </is>
      </c>
      <c r="B11410">
        <f>HYPERLINK("Объекты недвижимости, не соответствующие градостроительным нормам_00-022_Август/7de23651-d156-4847-83dc-c61bf84aa8c8.jpg","open")</f>
        <v/>
      </c>
      <c r="C11410" t="inlineStr">
        <is>
          <t>acedacc2-0d8b-4fc1-9622-25621a89d071</t>
        </is>
      </c>
      <c r="D11410" t="n">
        <v>55.75802</v>
      </c>
      <c r="E11410" t="n">
        <v>37.77578</v>
      </c>
      <c r="F11410" t="inlineStr"/>
      <c r="G11410" t="inlineStr"/>
      <c r="H11410" t="inlineStr"/>
    </row>
    <row r="11411">
      <c r="A11411" t="inlineStr">
        <is>
          <t>f4e17efd-0520-4761-a4ba-3b8ae9de8151.jpg</t>
        </is>
      </c>
      <c r="B11411">
        <f>HYPERLINK("Объекты недвижимости, не соответствующие градостроительным нормам_00-022_Август/f4e17efd-0520-4761-a4ba-3b8ae9de8151.jpg","open")</f>
        <v/>
      </c>
      <c r="C11411" t="inlineStr">
        <is>
          <t>57aae8a4-582b-4309-8045-c8127a9f86ae</t>
        </is>
      </c>
      <c r="D11411" t="n">
        <v>55.75802</v>
      </c>
      <c r="E11411" t="n">
        <v>37.77578</v>
      </c>
      <c r="F11411" t="inlineStr"/>
      <c r="G11411" t="inlineStr"/>
      <c r="H11411" t="inlineStr"/>
    </row>
    <row r="11412">
      <c r="A11412" t="inlineStr">
        <is>
          <t>1e7b8a70-454b-4543-908d-449bac543199.jpg</t>
        </is>
      </c>
      <c r="B11412">
        <f>HYPERLINK("Объекты недвижимости, не соответствующие градостроительным нормам_00-022_Август/1e7b8a70-454b-4543-908d-449bac543199.jpg","open")</f>
        <v/>
      </c>
      <c r="C11412" t="inlineStr">
        <is>
          <t>b6b3590f-f506-4399-8205-e7ac710132e7</t>
        </is>
      </c>
      <c r="D11412" t="n">
        <v>55.85126</v>
      </c>
      <c r="E11412" t="n">
        <v>37.4942</v>
      </c>
      <c r="F11412" t="inlineStr"/>
      <c r="G11412" t="inlineStr"/>
      <c r="H11412" t="inlineStr"/>
    </row>
    <row r="11413">
      <c r="A11413" t="inlineStr">
        <is>
          <t>8ff3a7ba-d9c6-4edc-ae64-a0e1ec55a38c.jpg</t>
        </is>
      </c>
      <c r="B11413">
        <f>HYPERLINK("Объекты недвижимости, не соответствующие градостроительным нормам_00-022_Август/8ff3a7ba-d9c6-4edc-ae64-a0e1ec55a38c.jpg","open")</f>
        <v/>
      </c>
      <c r="C11413" t="inlineStr">
        <is>
          <t>61936922-4d4b-458e-80ea-6d4c450aa1d5</t>
        </is>
      </c>
      <c r="D11413" t="n">
        <v>55.98177</v>
      </c>
      <c r="E11413" t="n">
        <v>37.42085</v>
      </c>
      <c r="F11413" t="inlineStr"/>
      <c r="G11413" t="inlineStr"/>
      <c r="H11413" t="inlineStr"/>
    </row>
    <row r="11414">
      <c r="A11414" t="inlineStr">
        <is>
          <t>b694dbbd-8018-4b8b-9501-62a7230839c5.jpg</t>
        </is>
      </c>
      <c r="B11414">
        <f>HYPERLINK("Объекты недвижимости, не соответствующие градостроительным нормам_00-022_Август/b694dbbd-8018-4b8b-9501-62a7230839c5.jpg","open")</f>
        <v/>
      </c>
      <c r="C11414" t="inlineStr">
        <is>
          <t>31a713a9-b910-424b-b847-e0eaa2f70c70</t>
        </is>
      </c>
      <c r="D11414" t="n">
        <v>55.84996</v>
      </c>
      <c r="E11414" t="n">
        <v>37.5357</v>
      </c>
      <c r="F11414" t="inlineStr"/>
      <c r="G11414" t="inlineStr"/>
      <c r="H11414" t="inlineStr"/>
    </row>
    <row r="11415">
      <c r="A11415" t="inlineStr">
        <is>
          <t>6097ae2f-f9df-4446-a6cf-0c01d5bc6ff9.jpg</t>
        </is>
      </c>
      <c r="B11415">
        <f>HYPERLINK("Объекты недвижимости, не соответствующие градостроительным нормам_00-022_Август/6097ae2f-f9df-4446-a6cf-0c01d5bc6ff9.jpg","open")</f>
        <v/>
      </c>
      <c r="C11415" t="inlineStr">
        <is>
          <t>b23a39fd-838c-435a-bacd-b4d6bb842c62</t>
        </is>
      </c>
      <c r="D11415" t="n">
        <v>55.75902</v>
      </c>
      <c r="E11415" t="n">
        <v>37.73812</v>
      </c>
      <c r="F11415" t="inlineStr"/>
      <c r="G11415" t="inlineStr"/>
      <c r="H11415" t="inlineStr"/>
    </row>
    <row r="11416">
      <c r="A11416" t="inlineStr">
        <is>
          <t>30eb0ce3-3295-4333-b6e4-81c69fef2f94.jpg</t>
        </is>
      </c>
      <c r="B11416">
        <f>HYPERLINK("Объекты недвижимости, не соответствующие градостроительным нормам_00-022_Август/30eb0ce3-3295-4333-b6e4-81c69fef2f94.jpg","open")</f>
        <v/>
      </c>
      <c r="C11416" t="inlineStr">
        <is>
          <t>fb9a37cc-57a6-447c-98bb-0b299f09c809</t>
        </is>
      </c>
      <c r="D11416" t="n">
        <v>55.75888</v>
      </c>
      <c r="E11416" t="n">
        <v>37.73821</v>
      </c>
      <c r="F11416" t="inlineStr"/>
      <c r="G11416" t="inlineStr"/>
      <c r="H11416" t="inlineStr"/>
    </row>
    <row r="11417">
      <c r="A11417" t="inlineStr">
        <is>
          <t>d1a5ab28-7eae-4609-adae-d4c223b9fff7.jpg</t>
        </is>
      </c>
      <c r="B11417">
        <f>HYPERLINK("Объекты недвижимости, не соответствующие градостроительным нормам_00-022_Август/d1a5ab28-7eae-4609-adae-d4c223b9fff7.jpg","open")</f>
        <v/>
      </c>
      <c r="C11417" t="inlineStr">
        <is>
          <t>036c664f-5408-4fd0-b479-342c00468eeb</t>
        </is>
      </c>
      <c r="D11417" t="n">
        <v>55.97857</v>
      </c>
      <c r="E11417" t="n">
        <v>37.40192</v>
      </c>
      <c r="F11417" t="inlineStr"/>
      <c r="G11417" t="inlineStr"/>
      <c r="H11417" t="inlineStr"/>
    </row>
    <row r="11418">
      <c r="A11418" t="inlineStr">
        <is>
          <t>3f55be03-a38a-41f9-841c-7621e70ffade.jpg</t>
        </is>
      </c>
      <c r="B11418">
        <f>HYPERLINK("Объекты недвижимости, не соответствующие градостроительным нормам_00-022_Август/3f55be03-a38a-41f9-841c-7621e70ffade.jpg","open")</f>
        <v/>
      </c>
      <c r="C11418" t="inlineStr">
        <is>
          <t>fb9a37cc-57a6-447c-98bb-0b299f09c809</t>
        </is>
      </c>
      <c r="D11418" t="n">
        <v>55.75819</v>
      </c>
      <c r="E11418" t="n">
        <v>37.74588</v>
      </c>
      <c r="F11418" t="inlineStr"/>
      <c r="G11418" t="inlineStr"/>
      <c r="H11418" t="inlineStr"/>
    </row>
    <row r="11419">
      <c r="A11419" t="inlineStr">
        <is>
          <t>b25e8129-04ce-4865-ad8b-b35207d1676a.jpg</t>
        </is>
      </c>
      <c r="B11419">
        <f>HYPERLINK("Объекты недвижимости, не соответствующие градостроительным нормам_00-022_Август/b25e8129-04ce-4865-ad8b-b35207d1676a.jpg","open")</f>
        <v/>
      </c>
      <c r="C11419" t="inlineStr">
        <is>
          <t>b6b3590f-f506-4399-8205-e7ac710132e7</t>
        </is>
      </c>
      <c r="D11419" t="n">
        <v>55.82457</v>
      </c>
      <c r="E11419" t="n">
        <v>37.51677</v>
      </c>
      <c r="F11419" t="inlineStr"/>
      <c r="G11419" t="inlineStr"/>
      <c r="H11419" t="inlineStr"/>
    </row>
    <row r="11420">
      <c r="A11420" t="inlineStr">
        <is>
          <t>916b5340-b561-4947-b38f-fe94891e9efa.jpg</t>
        </is>
      </c>
      <c r="B11420">
        <f>HYPERLINK("Объекты недвижимости, не соответствующие градостроительным нормам_00-022_Август/916b5340-b561-4947-b38f-fe94891e9efa.jpg","open")</f>
        <v/>
      </c>
      <c r="C11420" t="inlineStr">
        <is>
          <t>ffd931da-542f-43e9-979f-5552b17fe3dc</t>
        </is>
      </c>
      <c r="D11420" t="n">
        <v>55.8103</v>
      </c>
      <c r="E11420" t="n">
        <v>37.78825</v>
      </c>
      <c r="F11420" t="inlineStr"/>
      <c r="G11420" t="inlineStr"/>
      <c r="H11420" t="inlineStr"/>
    </row>
    <row r="11421">
      <c r="A11421" t="inlineStr">
        <is>
          <t>99c3bcf1-733a-458a-96e6-0f02451ff456.jpg</t>
        </is>
      </c>
      <c r="B11421">
        <f>HYPERLINK("Объекты недвижимости, не соответствующие градостроительным нормам_00-022_Август/99c3bcf1-733a-458a-96e6-0f02451ff456.jpg","open")</f>
        <v/>
      </c>
      <c r="C11421" t="inlineStr">
        <is>
          <t>ad64e6b9-1ed5-44d7-a101-4945a1f9dec6</t>
        </is>
      </c>
      <c r="D11421" t="n">
        <v>55.54617</v>
      </c>
      <c r="E11421" t="n">
        <v>37.55849</v>
      </c>
      <c r="F11421" t="inlineStr"/>
      <c r="G11421" t="inlineStr"/>
      <c r="H11421" t="inlineStr"/>
    </row>
    <row r="11422">
      <c r="A11422" t="inlineStr">
        <is>
          <t>b2e90593-c7f1-4d0f-8ef8-708025a7d704.jpg</t>
        </is>
      </c>
      <c r="B11422">
        <f>HYPERLINK("Объекты недвижимости, не соответствующие градостроительным нормам_00-022_Август/b2e90593-c7f1-4d0f-8ef8-708025a7d704.jpg","open")</f>
        <v/>
      </c>
      <c r="C11422" t="inlineStr">
        <is>
          <t>fb9a37cc-57a6-447c-98bb-0b299f09c809</t>
        </is>
      </c>
      <c r="D11422" t="n">
        <v>55.77007</v>
      </c>
      <c r="E11422" t="n">
        <v>37.74445</v>
      </c>
      <c r="F11422" t="inlineStr"/>
      <c r="G11422" t="inlineStr"/>
      <c r="H11422" t="inlineStr"/>
    </row>
    <row r="11423">
      <c r="A11423" t="inlineStr">
        <is>
          <t>53d94d20-a400-4370-adc8-14a685a6c4c6.jpg</t>
        </is>
      </c>
      <c r="B11423">
        <f>HYPERLINK("Объекты недвижимости, не соответствующие градостроительным нормам_00-022_Август/53d94d20-a400-4370-adc8-14a685a6c4c6.jpg","open")</f>
        <v/>
      </c>
      <c r="C11423" t="inlineStr">
        <is>
          <t>12e795ad-2aa7-49de-b2da-2c6aa35a4559</t>
        </is>
      </c>
      <c r="D11423" t="n">
        <v>55.54642</v>
      </c>
      <c r="E11423" t="n">
        <v>37.55876</v>
      </c>
      <c r="F11423" t="inlineStr"/>
      <c r="G11423" t="inlineStr"/>
      <c r="H11423" t="inlineStr"/>
    </row>
    <row r="11424">
      <c r="A11424" t="inlineStr">
        <is>
          <t>0f2dd4d9-65bc-4051-b965-cb7a9cd2d2f7.jpg</t>
        </is>
      </c>
      <c r="B11424">
        <f>HYPERLINK("Объекты недвижимости, не соответствующие градостроительным нормам_00-022_Август/0f2dd4d9-65bc-4051-b965-cb7a9cd2d2f7.jpg","open")</f>
        <v/>
      </c>
      <c r="C11424" t="inlineStr">
        <is>
          <t>ad64e6b9-1ed5-44d7-a101-4945a1f9dec6</t>
        </is>
      </c>
      <c r="D11424" t="n">
        <v>55.54642</v>
      </c>
      <c r="E11424" t="n">
        <v>37.55872</v>
      </c>
      <c r="F11424" t="inlineStr"/>
      <c r="G11424" t="inlineStr"/>
      <c r="H11424" t="inlineStr"/>
    </row>
    <row r="11425">
      <c r="A11425" t="inlineStr">
        <is>
          <t>91204a66-5823-4bd2-b40b-30b732251b0e.jpg</t>
        </is>
      </c>
      <c r="B11425">
        <f>HYPERLINK("Объекты недвижимости, не соответствующие градостроительным нормам_00-022_Август/91204a66-5823-4bd2-b40b-30b732251b0e.jpg","open")</f>
        <v/>
      </c>
      <c r="C11425" t="inlineStr">
        <is>
          <t>12e795ad-2aa7-49de-b2da-2c6aa35a4559</t>
        </is>
      </c>
      <c r="D11425" t="n">
        <v>55.54644</v>
      </c>
      <c r="E11425" t="n">
        <v>37.5578</v>
      </c>
      <c r="F11425" t="inlineStr"/>
      <c r="G11425" t="inlineStr"/>
      <c r="H11425" t="inlineStr"/>
    </row>
    <row r="11426">
      <c r="A11426" t="inlineStr">
        <is>
          <t>8d995b5e-38d7-45bd-906d-f6b19287a94e.jpg</t>
        </is>
      </c>
      <c r="B11426">
        <f>HYPERLINK("Объекты недвижимости, не соответствующие градостроительным нормам_00-022_Август/8d995b5e-38d7-45bd-906d-f6b19287a94e.jpg","open")</f>
        <v/>
      </c>
      <c r="C11426" t="inlineStr">
        <is>
          <t>12e795ad-2aa7-49de-b2da-2c6aa35a4559</t>
        </is>
      </c>
      <c r="D11426" t="n">
        <v>55.54664</v>
      </c>
      <c r="E11426" t="n">
        <v>37.5606</v>
      </c>
      <c r="F11426" t="inlineStr"/>
      <c r="G11426" t="inlineStr"/>
      <c r="H11426" t="inlineStr"/>
    </row>
    <row r="11427">
      <c r="A11427" t="inlineStr">
        <is>
          <t>5817667d-65ef-4d5d-9e18-6fb09bcc0e98.jpg</t>
        </is>
      </c>
      <c r="B11427">
        <f>HYPERLINK("Объекты недвижимости, не соответствующие градостроительным нормам_00-022_Август/5817667d-65ef-4d5d-9e18-6fb09bcc0e98.jpg","open")</f>
        <v/>
      </c>
      <c r="C11427" t="inlineStr">
        <is>
          <t>b23a39fd-838c-435a-bacd-b4d6bb842c62</t>
        </is>
      </c>
      <c r="D11427" t="n">
        <v>55.76997</v>
      </c>
      <c r="E11427" t="n">
        <v>37.7445</v>
      </c>
      <c r="F11427" t="inlineStr"/>
      <c r="G11427" t="inlineStr"/>
      <c r="H11427" t="inlineStr"/>
    </row>
    <row r="11428">
      <c r="A11428" t="inlineStr">
        <is>
          <t>7dc7c1da-5f98-421b-b640-9b967e5f5a31.jpg</t>
        </is>
      </c>
      <c r="B11428">
        <f>HYPERLINK("Объекты недвижимости, не соответствующие градостроительным нормам_00-022_Август/7dc7c1da-5f98-421b-b640-9b967e5f5a31.jpg","open")</f>
        <v/>
      </c>
      <c r="C11428" t="inlineStr">
        <is>
          <t>12e795ad-2aa7-49de-b2da-2c6aa35a4559</t>
        </is>
      </c>
      <c r="D11428" t="n">
        <v>55.54665</v>
      </c>
      <c r="E11428" t="n">
        <v>37.55807</v>
      </c>
      <c r="F11428" t="inlineStr"/>
      <c r="G11428" t="inlineStr"/>
      <c r="H11428" t="inlineStr"/>
    </row>
    <row r="11429">
      <c r="A11429" t="inlineStr">
        <is>
          <t>36a24dd6-c9e3-4f06-a841-059d2798d73a.jpg</t>
        </is>
      </c>
      <c r="B11429">
        <f>HYPERLINK("Объекты недвижимости, не соответствующие градостроительным нормам_00-022_Август/36a24dd6-c9e3-4f06-a841-059d2798d73a.jpg","open")</f>
        <v/>
      </c>
      <c r="C11429" t="inlineStr">
        <is>
          <t>31a713a9-b910-424b-b847-e0eaa2f70c70</t>
        </is>
      </c>
      <c r="D11429" t="n">
        <v>55.73392</v>
      </c>
      <c r="E11429" t="n">
        <v>37.56828</v>
      </c>
      <c r="F11429" t="inlineStr"/>
      <c r="G11429" t="inlineStr"/>
      <c r="H11429" t="inlineStr"/>
    </row>
    <row r="11430">
      <c r="A11430" t="inlineStr">
        <is>
          <t>b3345b50-4171-4898-b70a-8f837127deb5.jpg</t>
        </is>
      </c>
      <c r="B11430">
        <f>HYPERLINK("Объекты недвижимости, не соответствующие градостроительным нормам_00-022_Август/b3345b50-4171-4898-b70a-8f837127deb5.jpg","open")</f>
        <v/>
      </c>
      <c r="C11430" t="inlineStr">
        <is>
          <t>31a713a9-b910-424b-b847-e0eaa2f70c70</t>
        </is>
      </c>
      <c r="D11430" t="n">
        <v>55.73189</v>
      </c>
      <c r="E11430" t="n">
        <v>37.5654</v>
      </c>
      <c r="F11430" t="inlineStr"/>
      <c r="G11430" t="inlineStr"/>
      <c r="H11430" t="inlineStr"/>
    </row>
    <row r="11431">
      <c r="A11431" t="inlineStr">
        <is>
          <t>5f7d2c68-5d10-4f74-abac-ae30dd4cfbfe.jpg</t>
        </is>
      </c>
      <c r="B11431">
        <f>HYPERLINK("Объекты недвижимости, не соответствующие градостроительным нормам_00-022_Август/5f7d2c68-5d10-4f74-abac-ae30dd4cfbfe.jpg","open")</f>
        <v/>
      </c>
      <c r="C11431" t="inlineStr">
        <is>
          <t>750bf7e4-0f0f-4f1a-96af-607dc8c1f1c9</t>
        </is>
      </c>
      <c r="D11431" t="n">
        <v>55.73189</v>
      </c>
      <c r="E11431" t="n">
        <v>37.5654</v>
      </c>
      <c r="F11431" t="inlineStr"/>
      <c r="G11431" t="inlineStr"/>
      <c r="H11431" t="inlineStr"/>
    </row>
    <row r="11432">
      <c r="A11432" t="inlineStr">
        <is>
          <t>e74138d2-a01e-47ff-bee9-65f2792cc049.jpg</t>
        </is>
      </c>
      <c r="B11432">
        <f>HYPERLINK("Объекты недвижимости, не соответствующие градостроительным нормам_00-022_Август/e74138d2-a01e-47ff-bee9-65f2792cc049.jpg","open")</f>
        <v/>
      </c>
      <c r="C11432" t="inlineStr">
        <is>
          <t>fb9a37cc-57a6-447c-98bb-0b299f09c809</t>
        </is>
      </c>
      <c r="D11432" t="n">
        <v>55.76657</v>
      </c>
      <c r="E11432" t="n">
        <v>37.73123</v>
      </c>
      <c r="F11432" t="inlineStr"/>
      <c r="G11432" t="inlineStr"/>
      <c r="H11432" t="inlineStr"/>
    </row>
    <row r="11433">
      <c r="A11433" t="inlineStr">
        <is>
          <t>0701a995-22f8-4288-80e7-b6d52be04a00.jpg</t>
        </is>
      </c>
      <c r="B11433">
        <f>HYPERLINK("Объекты недвижимости, не соответствующие градостроительным нормам_00-022_Август/0701a995-22f8-4288-80e7-b6d52be04a00.jpg","open")</f>
        <v/>
      </c>
      <c r="C11433" t="inlineStr">
        <is>
          <t>789f6c51-64ee-4078-b7bd-443af8b8b68a</t>
        </is>
      </c>
      <c r="D11433" t="n">
        <v>55.82468</v>
      </c>
      <c r="E11433" t="n">
        <v>37.65293</v>
      </c>
      <c r="F11433" t="inlineStr"/>
      <c r="G11433" t="inlineStr"/>
      <c r="H11433" t="inlineStr"/>
    </row>
    <row r="11434">
      <c r="A11434" t="inlineStr">
        <is>
          <t>db66fe7f-19f1-42e8-a74d-e93132c4a359.jpg</t>
        </is>
      </c>
      <c r="B11434">
        <f>HYPERLINK("Объекты недвижимости, не соответствующие градостроительным нормам_00-022_Август/db66fe7f-19f1-42e8-a74d-e93132c4a359.jpg","open")</f>
        <v/>
      </c>
      <c r="C11434" t="inlineStr">
        <is>
          <t>2acfb2da-e3f6-464c-bd17-4b713522c142</t>
        </is>
      </c>
      <c r="D11434" t="n">
        <v>55.82468</v>
      </c>
      <c r="E11434" t="n">
        <v>37.65293</v>
      </c>
      <c r="F11434" t="inlineStr"/>
      <c r="G11434" t="inlineStr"/>
      <c r="H11434" t="inlineStr"/>
    </row>
    <row r="11435">
      <c r="A11435" t="inlineStr">
        <is>
          <t>c261652b-5f6f-44a3-be69-30893a8570ac.jpg</t>
        </is>
      </c>
      <c r="B11435">
        <f>HYPERLINK("Объекты недвижимости, не соответствующие градостроительным нормам_00-022_Август/c261652b-5f6f-44a3-be69-30893a8570ac.jpg","open")</f>
        <v/>
      </c>
      <c r="C11435" t="inlineStr">
        <is>
          <t>fb9a37cc-57a6-447c-98bb-0b299f09c809</t>
        </is>
      </c>
      <c r="D11435" t="n">
        <v>55.76757</v>
      </c>
      <c r="E11435" t="n">
        <v>37.7327</v>
      </c>
      <c r="F11435" t="inlineStr"/>
      <c r="G11435" t="inlineStr"/>
      <c r="H11435" t="inlineStr"/>
    </row>
    <row r="11436">
      <c r="A11436" t="inlineStr">
        <is>
          <t>98c52e1a-1702-4ea9-9f74-882ab1ff7710.jpg</t>
        </is>
      </c>
      <c r="B11436">
        <f>HYPERLINK("Объекты недвижимости, не соответствующие градостроительным нормам_00-022_Август/98c52e1a-1702-4ea9-9f74-882ab1ff7710.jpg","open")</f>
        <v/>
      </c>
      <c r="C11436" t="inlineStr">
        <is>
          <t>b23a39fd-838c-435a-bacd-b4d6bb842c62</t>
        </is>
      </c>
      <c r="D11436" t="n">
        <v>55.77305</v>
      </c>
      <c r="E11436" t="n">
        <v>37.72802</v>
      </c>
      <c r="F11436" t="inlineStr"/>
      <c r="G11436" t="inlineStr"/>
      <c r="H11436" t="inlineStr"/>
    </row>
    <row r="11437">
      <c r="A11437" t="inlineStr">
        <is>
          <t>a6e6f40c-aedc-4a0b-9974-57b31242b560.jpg</t>
        </is>
      </c>
      <c r="B11437">
        <f>HYPERLINK("Объекты недвижимости, не соответствующие градостроительным нормам_00-022_Август/a6e6f40c-aedc-4a0b-9974-57b31242b560.jpg","open")</f>
        <v/>
      </c>
      <c r="C11437" t="inlineStr">
        <is>
          <t>fb9a37cc-57a6-447c-98bb-0b299f09c809</t>
        </is>
      </c>
      <c r="D11437" t="n">
        <v>55.77305</v>
      </c>
      <c r="E11437" t="n">
        <v>37.72802</v>
      </c>
      <c r="F11437" t="inlineStr"/>
      <c r="G11437" t="inlineStr"/>
      <c r="H11437" t="inlineStr"/>
    </row>
    <row r="11438">
      <c r="A11438" t="inlineStr">
        <is>
          <t>3f3c7b62-0f4d-4c84-aa64-6fcbbc02b097.jpg</t>
        </is>
      </c>
      <c r="B11438">
        <f>HYPERLINK("Объекты недвижимости, не соответствующие градостроительным нормам_00-022_Август/3f3c7b62-0f4d-4c84-aa64-6fcbbc02b097.jpg","open")</f>
        <v/>
      </c>
      <c r="C11438" t="inlineStr">
        <is>
          <t>b23a39fd-838c-435a-bacd-b4d6bb842c62</t>
        </is>
      </c>
      <c r="D11438" t="n">
        <v>55.77255</v>
      </c>
      <c r="E11438" t="n">
        <v>37.72857</v>
      </c>
      <c r="F11438" t="inlineStr"/>
      <c r="G11438" t="inlineStr"/>
      <c r="H11438" t="inlineStr"/>
    </row>
    <row r="11439">
      <c r="A11439" t="inlineStr">
        <is>
          <t>f0896636-1954-48da-aad1-8c0a98d016d4.jpg</t>
        </is>
      </c>
      <c r="B11439">
        <f>HYPERLINK("Объекты недвижимости, не соответствующие градостроительным нормам_00-022_Август/f0896636-1954-48da-aad1-8c0a98d016d4.jpg","open")</f>
        <v/>
      </c>
      <c r="C11439" t="inlineStr">
        <is>
          <t>fb9a37cc-57a6-447c-98bb-0b299f09c809</t>
        </is>
      </c>
      <c r="D11439" t="n">
        <v>55.77255</v>
      </c>
      <c r="E11439" t="n">
        <v>37.72857</v>
      </c>
      <c r="F11439" t="inlineStr"/>
      <c r="G11439" t="inlineStr"/>
      <c r="H11439" t="inlineStr"/>
    </row>
    <row r="11440">
      <c r="A11440" t="inlineStr">
        <is>
          <t>b524f5c3-8bd1-4053-9f36-a4a3cefd0d74.jpg</t>
        </is>
      </c>
      <c r="B11440">
        <f>HYPERLINK("Объекты недвижимости, не соответствующие градостроительным нормам_00-022_Август/b524f5c3-8bd1-4053-9f36-a4a3cefd0d74.jpg","open")</f>
        <v/>
      </c>
      <c r="C11440" t="inlineStr">
        <is>
          <t>b23a39fd-838c-435a-bacd-b4d6bb842c62</t>
        </is>
      </c>
      <c r="D11440" t="n">
        <v>55.77197</v>
      </c>
      <c r="E11440" t="n">
        <v>37.72882</v>
      </c>
      <c r="F11440" t="inlineStr"/>
      <c r="G11440" t="inlineStr"/>
      <c r="H11440" t="inlineStr"/>
    </row>
    <row r="11441">
      <c r="A11441" t="inlineStr">
        <is>
          <t>bb482361-2eb7-494b-9c0f-b767124330c7.jpg</t>
        </is>
      </c>
      <c r="B11441">
        <f>HYPERLINK("Объекты недвижимости, не соответствующие градостроительным нормам_00-022_Август/bb482361-2eb7-494b-9c0f-b767124330c7.jpg","open")</f>
        <v/>
      </c>
      <c r="C11441" t="inlineStr">
        <is>
          <t>acedacc2-0d8b-4fc1-9622-25621a89d071</t>
        </is>
      </c>
      <c r="D11441" t="n">
        <v>55.75448</v>
      </c>
      <c r="E11441" t="n">
        <v>37.77718</v>
      </c>
      <c r="F11441" t="inlineStr"/>
      <c r="G11441" t="inlineStr"/>
      <c r="H11441" t="inlineStr"/>
    </row>
    <row r="11442">
      <c r="A11442" t="inlineStr">
        <is>
          <t>1737922c-f16c-43b2-a369-d0ed28743a75.jpg</t>
        </is>
      </c>
      <c r="B11442">
        <f>HYPERLINK("Объекты недвижимости, не соответствующие градостроительным нормам_00-022_Август/1737922c-f16c-43b2-a369-d0ed28743a75.jpg","open")</f>
        <v/>
      </c>
      <c r="C11442" t="inlineStr">
        <is>
          <t>57aae8a4-582b-4309-8045-c8127a9f86ae</t>
        </is>
      </c>
      <c r="D11442" t="n">
        <v>55.75452</v>
      </c>
      <c r="E11442" t="n">
        <v>37.77716</v>
      </c>
      <c r="F11442" t="inlineStr"/>
      <c r="G11442" t="inlineStr"/>
      <c r="H11442" t="inlineStr"/>
    </row>
    <row r="11443">
      <c r="A11443" t="inlineStr">
        <is>
          <t>b698dda9-b828-44d1-9a0f-52f04e10b944.jpg</t>
        </is>
      </c>
      <c r="B11443">
        <f>HYPERLINK("Объекты недвижимости, не соответствующие градостроительным нормам_00-022_Август/b698dda9-b828-44d1-9a0f-52f04e10b944.jpg","open")</f>
        <v/>
      </c>
      <c r="C11443" t="inlineStr">
        <is>
          <t>1c951e11-4940-43c6-a447-394097e5609a</t>
        </is>
      </c>
      <c r="D11443" t="n">
        <v>55.79766</v>
      </c>
      <c r="E11443" t="n">
        <v>37.50098</v>
      </c>
      <c r="F11443" t="inlineStr"/>
      <c r="G11443" t="inlineStr"/>
      <c r="H11443" t="inlineStr"/>
    </row>
    <row r="11444">
      <c r="A11444" t="inlineStr">
        <is>
          <t>7838bc28-8bbb-40fe-9fd5-f9e1e23b8840.jpg</t>
        </is>
      </c>
      <c r="B11444">
        <f>HYPERLINK("Объекты недвижимости, не соответствующие градостроительным нормам_00-022_Август/7838bc28-8bbb-40fe-9fd5-f9e1e23b8840.jpg","open")</f>
        <v/>
      </c>
      <c r="C11444" t="inlineStr">
        <is>
          <t>685d9054-b74f-49ab-857b-109fd2cec80d</t>
        </is>
      </c>
      <c r="D11444" t="n">
        <v>55.6248</v>
      </c>
      <c r="E11444" t="n">
        <v>37.54879</v>
      </c>
      <c r="F11444" t="inlineStr"/>
      <c r="G11444" t="inlineStr"/>
      <c r="H11444" t="inlineStr"/>
    </row>
    <row r="11445">
      <c r="A11445" t="inlineStr">
        <is>
          <t>317a8daf-25a2-4fe0-9bb4-45e50aa4042e.jpg</t>
        </is>
      </c>
      <c r="B11445">
        <f>HYPERLINK("Объекты недвижимости, не соответствующие градостроительным нормам_00-022_Август/317a8daf-25a2-4fe0-9bb4-45e50aa4042e.jpg","open")</f>
        <v/>
      </c>
      <c r="C11445" t="inlineStr">
        <is>
          <t>acedacc2-0d8b-4fc1-9622-25621a89d071</t>
        </is>
      </c>
      <c r="D11445" t="n">
        <v>55.75381</v>
      </c>
      <c r="E11445" t="n">
        <v>37.77902</v>
      </c>
      <c r="F11445" t="inlineStr"/>
      <c r="G11445" t="inlineStr"/>
      <c r="H11445" t="inlineStr"/>
    </row>
    <row r="11446">
      <c r="A11446" t="inlineStr">
        <is>
          <t>bd02971b-f820-4fe4-8d20-133df2b459a6.jpg</t>
        </is>
      </c>
      <c r="B11446">
        <f>HYPERLINK("Объекты недвижимости, не соответствующие градостроительным нормам_00-022_Август/bd02971b-f820-4fe4-8d20-133df2b459a6.jpg","open")</f>
        <v/>
      </c>
      <c r="C11446" t="inlineStr">
        <is>
          <t>685d9054-b74f-49ab-857b-109fd2cec80d</t>
        </is>
      </c>
      <c r="D11446" t="n">
        <v>55.6248</v>
      </c>
      <c r="E11446" t="n">
        <v>37.54879</v>
      </c>
      <c r="F11446" t="inlineStr"/>
      <c r="G11446" t="inlineStr"/>
      <c r="H11446" t="inlineStr"/>
    </row>
    <row r="11447">
      <c r="A11447" t="inlineStr">
        <is>
          <t>29b6d248-b3a7-4f40-8027-ef717af859f9.jpg</t>
        </is>
      </c>
      <c r="B11447">
        <f>HYPERLINK("Объекты недвижимости, не соответствующие градостроительным нормам_00-022_Август/29b6d248-b3a7-4f40-8027-ef717af859f9.jpg","open")</f>
        <v/>
      </c>
      <c r="C11447" t="inlineStr">
        <is>
          <t>685d9054-b74f-49ab-857b-109fd2cec80d</t>
        </is>
      </c>
      <c r="D11447" t="n">
        <v>55.6248</v>
      </c>
      <c r="E11447" t="n">
        <v>37.54879</v>
      </c>
      <c r="F11447" t="inlineStr"/>
      <c r="G11447" t="inlineStr"/>
      <c r="H11447" t="inlineStr"/>
    </row>
    <row r="11448">
      <c r="A11448" t="inlineStr">
        <is>
          <t>fff747bd-2bcf-4831-9897-90fed4aa5e15.jpg</t>
        </is>
      </c>
      <c r="B11448">
        <f>HYPERLINK("Объекты недвижимости, не соответствующие градостроительным нормам_00-022_Август/fff747bd-2bcf-4831-9897-90fed4aa5e15.jpg","open")</f>
        <v/>
      </c>
      <c r="C11448" t="inlineStr">
        <is>
          <t>685d9054-b74f-49ab-857b-109fd2cec80d</t>
        </is>
      </c>
      <c r="D11448" t="n">
        <v>55.6248</v>
      </c>
      <c r="E11448" t="n">
        <v>37.54879</v>
      </c>
      <c r="F11448" t="inlineStr"/>
      <c r="G11448" t="inlineStr"/>
      <c r="H11448" t="inlineStr"/>
    </row>
    <row r="11449">
      <c r="A11449" t="inlineStr">
        <is>
          <t>4f357f7e-892d-4d26-9a61-c0e29c707653.jpg</t>
        </is>
      </c>
      <c r="B11449">
        <f>HYPERLINK("Объекты недвижимости, не соответствующие градостроительным нормам_00-022_Август/4f357f7e-892d-4d26-9a61-c0e29c707653.jpg","open")</f>
        <v/>
      </c>
      <c r="C11449" t="inlineStr">
        <is>
          <t>036c664f-5408-4fd0-b479-342c00468eeb</t>
        </is>
      </c>
      <c r="D11449" t="n">
        <v>55.98238</v>
      </c>
      <c r="E11449" t="n">
        <v>37.41456</v>
      </c>
      <c r="F11449" t="inlineStr"/>
      <c r="G11449" t="inlineStr"/>
      <c r="H11449" t="inlineStr"/>
    </row>
    <row r="11450">
      <c r="A11450" t="inlineStr">
        <is>
          <t>7a07df71-4711-4b1b-a9c1-96c9cc23fd0f.jpg</t>
        </is>
      </c>
      <c r="B11450">
        <f>HYPERLINK("Объекты недвижимости, не соответствующие градостроительным нормам_00-022_Август/7a07df71-4711-4b1b-a9c1-96c9cc23fd0f.jpg","open")</f>
        <v/>
      </c>
      <c r="C11450" t="inlineStr">
        <is>
          <t>685d9054-b74f-49ab-857b-109fd2cec80d</t>
        </is>
      </c>
      <c r="D11450" t="n">
        <v>55.6248</v>
      </c>
      <c r="E11450" t="n">
        <v>37.54879</v>
      </c>
      <c r="F11450" t="inlineStr"/>
      <c r="G11450" t="inlineStr"/>
      <c r="H11450" t="inlineStr"/>
    </row>
    <row r="11451">
      <c r="A11451" t="inlineStr">
        <is>
          <t>6464056b-dbcc-415d-ba09-02878ecdfcdf.jpg</t>
        </is>
      </c>
      <c r="B11451">
        <f>HYPERLINK("Объекты недвижимости, не соответствующие градостроительным нормам_00-022_Август/6464056b-dbcc-415d-ba09-02878ecdfcdf.jpg","open")</f>
        <v/>
      </c>
      <c r="C11451" t="inlineStr">
        <is>
          <t>036c664f-5408-4fd0-b479-342c00468eeb</t>
        </is>
      </c>
      <c r="D11451" t="n">
        <v>55.74235</v>
      </c>
      <c r="E11451" t="n">
        <v>37.41439</v>
      </c>
      <c r="F11451" t="inlineStr"/>
      <c r="G11451" t="inlineStr"/>
      <c r="H11451" t="inlineStr"/>
    </row>
    <row r="11452">
      <c r="A11452" t="inlineStr">
        <is>
          <t>f9c38afe-cdc3-4c36-9bb7-e936a2960abf.jpg</t>
        </is>
      </c>
      <c r="B11452">
        <f>HYPERLINK("Объекты недвижимости, не соответствующие градостроительным нормам_00-022_Август/f9c38afe-cdc3-4c36-9bb7-e936a2960abf.jpg","open")</f>
        <v/>
      </c>
      <c r="C11452" t="inlineStr">
        <is>
          <t>fb9a37cc-57a6-447c-98bb-0b299f09c809</t>
        </is>
      </c>
      <c r="D11452" t="n">
        <v>55.76434</v>
      </c>
      <c r="E11452" t="n">
        <v>37.70022</v>
      </c>
      <c r="F11452" t="inlineStr"/>
      <c r="G11452" t="inlineStr"/>
      <c r="H11452" t="inlineStr"/>
    </row>
    <row r="11453">
      <c r="A11453" t="inlineStr">
        <is>
          <t>920f5722-9db8-4b3f-a6c4-dbf971765eba.jpg</t>
        </is>
      </c>
      <c r="B11453">
        <f>HYPERLINK("Объекты недвижимости, не соответствующие градостроительным нормам_00-022_Август/920f5722-9db8-4b3f-a6c4-dbf971765eba.jpg","open")</f>
        <v/>
      </c>
      <c r="C11453" t="inlineStr">
        <is>
          <t>fb9a37cc-57a6-447c-98bb-0b299f09c809</t>
        </is>
      </c>
      <c r="D11453" t="n">
        <v>55.76369</v>
      </c>
      <c r="E11453" t="n">
        <v>37.6995</v>
      </c>
      <c r="F11453" t="inlineStr"/>
      <c r="G11453" t="inlineStr"/>
      <c r="H11453" t="inlineStr"/>
    </row>
    <row r="11454">
      <c r="A11454" t="inlineStr">
        <is>
          <t>6e567adc-50d4-4e98-b92e-df09c1f155a7.jpg</t>
        </is>
      </c>
      <c r="B11454">
        <f>HYPERLINK("Объекты недвижимости, не соответствующие градостроительным нормам_00-022_Август/6e567adc-50d4-4e98-b92e-df09c1f155a7.jpg","open")</f>
        <v/>
      </c>
      <c r="C11454" t="inlineStr">
        <is>
          <t>fb9a37cc-57a6-447c-98bb-0b299f09c809</t>
        </is>
      </c>
      <c r="D11454" t="n">
        <v>55.76476</v>
      </c>
      <c r="E11454" t="n">
        <v>37.70071</v>
      </c>
      <c r="F11454" t="inlineStr"/>
      <c r="G11454" t="inlineStr"/>
      <c r="H11454" t="inlineStr"/>
    </row>
    <row r="11455">
      <c r="A11455" t="inlineStr">
        <is>
          <t>4e78c1c3-c09a-401d-a66b-b0f8a64915ef.jpg</t>
        </is>
      </c>
      <c r="B11455">
        <f>HYPERLINK("Объекты недвижимости, не соответствующие градостроительным нормам_00-022_Август/4e78c1c3-c09a-401d-a66b-b0f8a64915ef.jpg","open")</f>
        <v/>
      </c>
      <c r="C11455" t="inlineStr">
        <is>
          <t>0dd30d74-4dbc-46a8-b638-91e1431bb398</t>
        </is>
      </c>
      <c r="D11455" t="n">
        <v>55.75395</v>
      </c>
      <c r="E11455" t="n">
        <v>37.69209</v>
      </c>
      <c r="F11455" t="inlineStr"/>
      <c r="G11455" t="inlineStr"/>
      <c r="H11455" t="inlineStr"/>
    </row>
    <row r="11456">
      <c r="A11456" t="inlineStr">
        <is>
          <t>6a8463d8-c9d5-42fc-a13f-88da74541173.jpg</t>
        </is>
      </c>
      <c r="B11456">
        <f>HYPERLINK("Объекты недвижимости, не соответствующие градостроительным нормам_00-022_Август/6a8463d8-c9d5-42fc-a13f-88da74541173.jpg","open")</f>
        <v/>
      </c>
      <c r="C11456" t="inlineStr">
        <is>
          <t>8cde1fd0-eca1-4510-86ab-3c743b65fdfc</t>
        </is>
      </c>
      <c r="D11456" t="n">
        <v>55.98006</v>
      </c>
      <c r="E11456" t="n">
        <v>37.40398</v>
      </c>
      <c r="F11456" t="inlineStr"/>
      <c r="G11456" t="inlineStr"/>
      <c r="H11456" t="inlineStr"/>
    </row>
    <row r="11457">
      <c r="A11457" t="inlineStr">
        <is>
          <t>a083c0bb-491a-409b-a9fb-4f6b5fb4e261.jpg</t>
        </is>
      </c>
      <c r="B11457">
        <f>HYPERLINK("Объекты недвижимости, не соответствующие градостроительным нормам_00-022_Август/a083c0bb-491a-409b-a9fb-4f6b5fb4e261.jpg","open")</f>
        <v/>
      </c>
      <c r="C11457" t="inlineStr">
        <is>
          <t>936502dd-24a4-4256-9fdf-0d8fb72af3ed</t>
        </is>
      </c>
      <c r="D11457" t="n">
        <v>55.60935</v>
      </c>
      <c r="E11457" t="n">
        <v>37.72975</v>
      </c>
      <c r="F11457" t="inlineStr"/>
      <c r="G11457" t="inlineStr"/>
      <c r="H11457" t="inlineStr"/>
    </row>
    <row r="11458">
      <c r="A11458" t="inlineStr">
        <is>
          <t>3aa68c62-c4c0-42ba-80d2-16abf7a7982c.jpg</t>
        </is>
      </c>
      <c r="B11458">
        <f>HYPERLINK("Объекты недвижимости, не соответствующие градостроительным нормам_00-022_Август/3aa68c62-c4c0-42ba-80d2-16abf7a7982c.jpg","open")</f>
        <v/>
      </c>
      <c r="C11458" t="inlineStr">
        <is>
          <t>030e8755-17c1-44eb-9530-707d0d3121cb</t>
        </is>
      </c>
      <c r="D11458" t="n">
        <v>55.60935</v>
      </c>
      <c r="E11458" t="n">
        <v>37.72975</v>
      </c>
      <c r="F11458" t="inlineStr"/>
      <c r="G11458" t="inlineStr"/>
      <c r="H11458" t="inlineStr"/>
    </row>
    <row r="11459">
      <c r="A11459" t="inlineStr">
        <is>
          <t>b92588d4-f297-4e89-a4d2-cc0863c3f3ce.jpg</t>
        </is>
      </c>
      <c r="B11459">
        <f>HYPERLINK("Объекты недвижимости, не соответствующие градостроительным нормам_00-022_Август/b92588d4-f297-4e89-a4d2-cc0863c3f3ce.jpg","open")</f>
        <v/>
      </c>
      <c r="C11459" t="inlineStr">
        <is>
          <t>b0b7ea82-53be-40d0-b992-e2fd18611d5c</t>
        </is>
      </c>
      <c r="D11459" t="n">
        <v>55.65252</v>
      </c>
      <c r="E11459" t="n">
        <v>37.7017</v>
      </c>
      <c r="F11459" t="inlineStr"/>
      <c r="G11459" t="inlineStr"/>
      <c r="H11459" t="inlineStr"/>
    </row>
    <row r="11460">
      <c r="A11460" t="inlineStr">
        <is>
          <t>407105ad-870b-457c-ad0e-9a90eced79c9.jpg</t>
        </is>
      </c>
      <c r="B11460">
        <f>HYPERLINK("Объекты недвижимости, не соответствующие градостроительным нормам_00-022_Август/407105ad-870b-457c-ad0e-9a90eced79c9.jpg","open")</f>
        <v/>
      </c>
      <c r="C11460" t="inlineStr">
        <is>
          <t>b23a39fd-838c-435a-bacd-b4d6bb842c62</t>
        </is>
      </c>
      <c r="D11460" t="n">
        <v>55.75044</v>
      </c>
      <c r="E11460" t="n">
        <v>37.70853</v>
      </c>
      <c r="F11460" t="inlineStr"/>
      <c r="G11460" t="inlineStr"/>
      <c r="H11460" t="inlineStr"/>
    </row>
    <row r="11461">
      <c r="A11461" t="inlineStr">
        <is>
          <t>ca55db68-2666-42f7-b9aa-cf15019ee99c.jpg</t>
        </is>
      </c>
      <c r="B11461">
        <f>HYPERLINK("Объекты недвижимости, не соответствующие градостроительным нормам_00-022_Август/ca55db68-2666-42f7-b9aa-cf15019ee99c.jpg","open")</f>
        <v/>
      </c>
      <c r="C11461" t="inlineStr">
        <is>
          <t>ffd931da-542f-43e9-979f-5552b17fe3dc</t>
        </is>
      </c>
      <c r="D11461" t="n">
        <v>55.80815</v>
      </c>
      <c r="E11461" t="n">
        <v>37.76167</v>
      </c>
      <c r="F11461" t="inlineStr"/>
      <c r="G11461" t="inlineStr"/>
      <c r="H11461" t="inlineStr"/>
    </row>
    <row r="11462">
      <c r="A11462" t="inlineStr">
        <is>
          <t>d437cdd6-1174-4fd5-a25d-344cee2de507.jpg</t>
        </is>
      </c>
      <c r="B11462">
        <f>HYPERLINK("Объекты недвижимости, не соответствующие градостроительным нормам_00-022_Август/d437cdd6-1174-4fd5-a25d-344cee2de507.jpg","open")</f>
        <v/>
      </c>
      <c r="C11462" t="inlineStr">
        <is>
          <t>ffd931da-542f-43e9-979f-5552b17fe3dc</t>
        </is>
      </c>
      <c r="D11462" t="n">
        <v>55.80725</v>
      </c>
      <c r="E11462" t="n">
        <v>37.75645</v>
      </c>
      <c r="F11462" t="inlineStr"/>
      <c r="G11462" t="inlineStr"/>
      <c r="H11462" t="inlineStr"/>
    </row>
    <row r="11463">
      <c r="A11463" t="inlineStr">
        <is>
          <t>a169fa94-c1d8-43a9-a472-46e4c39dfdd3.jpg</t>
        </is>
      </c>
      <c r="B11463">
        <f>HYPERLINK("Объекты недвижимости, не соответствующие градостроительным нормам_00-022_Август/a169fa94-c1d8-43a9-a472-46e4c39dfdd3.jpg","open")</f>
        <v/>
      </c>
      <c r="C11463" t="inlineStr">
        <is>
          <t>ed2bf0f1-3a66-4913-896e-4420a9796c0b</t>
        </is>
      </c>
      <c r="D11463" t="n">
        <v>55.60747</v>
      </c>
      <c r="E11463" t="n">
        <v>37.34855</v>
      </c>
      <c r="F11463" t="inlineStr"/>
      <c r="G11463" t="inlineStr"/>
      <c r="H11463" t="inlineStr"/>
    </row>
    <row r="11464">
      <c r="A11464" t="inlineStr">
        <is>
          <t>9ff69946-b577-432a-8ba7-2056d8a95833.jpg</t>
        </is>
      </c>
      <c r="B11464">
        <f>HYPERLINK("Объекты недвижимости, не соответствующие градостроительным нормам_00-022_Август/9ff69946-b577-432a-8ba7-2056d8a95833.jpg","open")</f>
        <v/>
      </c>
      <c r="C11464" t="inlineStr">
        <is>
          <t>a28f597e-d1cd-4d3b-b572-c86d033412e9</t>
        </is>
      </c>
      <c r="D11464" t="n">
        <v>55.74955</v>
      </c>
      <c r="E11464" t="n">
        <v>37.40777</v>
      </c>
      <c r="F11464" t="inlineStr"/>
      <c r="G11464" t="inlineStr"/>
      <c r="H11464" t="inlineStr"/>
    </row>
    <row r="11465">
      <c r="A11465" t="inlineStr">
        <is>
          <t>ad20896e-baf2-48dc-8166-8ce475f5c34d.jpg</t>
        </is>
      </c>
      <c r="B11465">
        <f>HYPERLINK("Объекты недвижимости, не соответствующие градостроительным нормам_00-022_Август/ad20896e-baf2-48dc-8166-8ce475f5c34d.jpg","open")</f>
        <v/>
      </c>
      <c r="C11465" t="inlineStr">
        <is>
          <t>61936922-4d4b-458e-80ea-6d4c450aa1d5</t>
        </is>
      </c>
      <c r="D11465" t="n">
        <v>55.68329</v>
      </c>
      <c r="E11465" t="n">
        <v>37.32653</v>
      </c>
      <c r="F11465" t="inlineStr"/>
      <c r="G11465" t="inlineStr"/>
      <c r="H11465" t="inlineStr"/>
    </row>
    <row r="11466">
      <c r="A11466" t="inlineStr">
        <is>
          <t>e8bbcfa4-9d74-4793-8b87-930533f50c49.jpg</t>
        </is>
      </c>
      <c r="B11466">
        <f>HYPERLINK("Объекты недвижимости, не соответствующие градостроительным нормам_00-022_Август/e8bbcfa4-9d74-4793-8b87-930533f50c49.jpg","open")</f>
        <v/>
      </c>
      <c r="C11466" t="inlineStr">
        <is>
          <t>036c664f-5408-4fd0-b479-342c00468eeb</t>
        </is>
      </c>
      <c r="D11466" t="n">
        <v>55.7502</v>
      </c>
      <c r="E11466" t="n">
        <v>37.4063</v>
      </c>
      <c r="F11466" t="inlineStr"/>
      <c r="G11466" t="inlineStr"/>
      <c r="H11466" t="inlineStr"/>
    </row>
    <row r="11467">
      <c r="A11467" t="inlineStr">
        <is>
          <t>5f69ab9b-b9bd-43e3-85ab-e52077295df6.jpg</t>
        </is>
      </c>
      <c r="B11467">
        <f>HYPERLINK("Объекты недвижимости, не соответствующие градостроительным нормам_00-022_Август/5f69ab9b-b9bd-43e3-85ab-e52077295df6.jpg","open")</f>
        <v/>
      </c>
      <c r="C11467" t="inlineStr">
        <is>
          <t>b0b7ea82-53be-40d0-b992-e2fd18611d5c</t>
        </is>
      </c>
      <c r="D11467" t="n">
        <v>55.66473</v>
      </c>
      <c r="E11467" t="n">
        <v>37.7206</v>
      </c>
      <c r="F11467" t="inlineStr"/>
      <c r="G11467" t="inlineStr"/>
      <c r="H11467" t="inlineStr"/>
    </row>
    <row r="11468">
      <c r="A11468" t="inlineStr">
        <is>
          <t>4e1b0504-f30b-46b8-9c7c-980226d31a8c.jpg</t>
        </is>
      </c>
      <c r="B11468">
        <f>HYPERLINK("Объекты недвижимости, не соответствующие градостроительным нормам_00-022_Август/4e1b0504-f30b-46b8-9c7c-980226d31a8c.jpg","open")</f>
        <v/>
      </c>
      <c r="C11468" t="inlineStr">
        <is>
          <t>12e795ad-2aa7-49de-b2da-2c6aa35a4559</t>
        </is>
      </c>
      <c r="D11468" t="n">
        <v>55.66426</v>
      </c>
      <c r="E11468" t="n">
        <v>37.72007</v>
      </c>
      <c r="F11468" t="inlineStr"/>
      <c r="G11468" t="inlineStr"/>
      <c r="H11468" t="inlineStr"/>
    </row>
    <row r="11469">
      <c r="A11469" t="inlineStr">
        <is>
          <t>275974cc-fa54-4a0e-b951-57e4f7415999.jpg</t>
        </is>
      </c>
      <c r="B11469">
        <f>HYPERLINK("Объекты недвижимости, не соответствующие градостроительным нормам_00-022_Август/275974cc-fa54-4a0e-b951-57e4f7415999.jpg","open")</f>
        <v/>
      </c>
      <c r="C11469" t="inlineStr">
        <is>
          <t>dd48f742-b338-42e2-bbaf-b3a9701b437c</t>
        </is>
      </c>
      <c r="D11469" t="n">
        <v>55.79024</v>
      </c>
      <c r="E11469" t="n">
        <v>37.63463</v>
      </c>
      <c r="F11469" t="inlineStr"/>
      <c r="G11469" t="inlineStr"/>
      <c r="H11469" t="inlineStr"/>
    </row>
    <row r="11470">
      <c r="A11470" t="inlineStr">
        <is>
          <t>b3421842-4ea4-4d11-a732-6948c0c72f93.jpg</t>
        </is>
      </c>
      <c r="B11470">
        <f>HYPERLINK("Объекты недвижимости, не соответствующие градостроительным нормам_00-022_Август/b3421842-4ea4-4d11-a732-6948c0c72f93.jpg","open")</f>
        <v/>
      </c>
      <c r="C11470" t="inlineStr">
        <is>
          <t>9c930d0e-e445-452d-a046-325646b21ab7</t>
        </is>
      </c>
      <c r="D11470" t="n">
        <v>55.79028</v>
      </c>
      <c r="E11470" t="n">
        <v>37.63463</v>
      </c>
      <c r="F11470" t="inlineStr"/>
      <c r="G11470" t="inlineStr"/>
      <c r="H11470" t="inlineStr"/>
    </row>
    <row r="11471">
      <c r="A11471" t="inlineStr">
        <is>
          <t>e77ca0ac-9bbd-4869-90fe-47af0220361d.jpg</t>
        </is>
      </c>
      <c r="B11471">
        <f>HYPERLINK("Объекты недвижимости, не соответствующие градостроительным нормам_00-022_Август/e77ca0ac-9bbd-4869-90fe-47af0220361d.jpg","open")</f>
        <v/>
      </c>
      <c r="C11471" t="inlineStr">
        <is>
          <t>936502dd-24a4-4256-9fdf-0d8fb72af3ed</t>
        </is>
      </c>
      <c r="D11471" t="n">
        <v>55.66471</v>
      </c>
      <c r="E11471" t="n">
        <v>37.72058</v>
      </c>
      <c r="F11471" t="inlineStr"/>
      <c r="G11471" t="inlineStr"/>
      <c r="H11471" t="inlineStr"/>
    </row>
    <row r="11472">
      <c r="A11472" t="inlineStr">
        <is>
          <t>7aea39fd-e770-41ab-960c-4472ba80fbbb.jpg</t>
        </is>
      </c>
      <c r="B11472">
        <f>HYPERLINK("Объекты недвижимости, не соответствующие градостроительным нормам_00-022_Август/7aea39fd-e770-41ab-960c-4472ba80fbbb.jpg","open")</f>
        <v/>
      </c>
      <c r="C11472" t="inlineStr">
        <is>
          <t>57812597-37e6-414c-8b11-8c661dbfeb70</t>
        </is>
      </c>
      <c r="D11472" t="n">
        <v>55.7688</v>
      </c>
      <c r="E11472" t="n">
        <v>37.58852</v>
      </c>
      <c r="F11472" t="inlineStr"/>
      <c r="G11472" t="inlineStr"/>
      <c r="H11472" t="inlineStr"/>
    </row>
    <row r="11473">
      <c r="A11473" t="inlineStr">
        <is>
          <t>4c846991-b65c-4896-9e0b-219eabfc638c.jpg</t>
        </is>
      </c>
      <c r="B11473">
        <f>HYPERLINK("Объекты недвижимости, не соответствующие градостроительным нормам_00-022_Август/4c846991-b65c-4896-9e0b-219eabfc638c.jpg","open")</f>
        <v/>
      </c>
      <c r="C11473" t="inlineStr">
        <is>
          <t>9c930d0e-e445-452d-a046-325646b21ab7</t>
        </is>
      </c>
      <c r="D11473" t="n">
        <v>55.7734</v>
      </c>
      <c r="E11473" t="n">
        <v>37.63253</v>
      </c>
      <c r="F11473" t="inlineStr"/>
      <c r="G11473" t="inlineStr"/>
      <c r="H11473" t="inlineStr"/>
    </row>
    <row r="11474">
      <c r="A11474" t="inlineStr">
        <is>
          <t>88cd9d45-55ce-42db-8383-c46c1640afd6.jpg</t>
        </is>
      </c>
      <c r="B11474">
        <f>HYPERLINK("Объекты недвижимости, не соответствующие градостроительным нормам_00-022_Август/88cd9d45-55ce-42db-8383-c46c1640afd6.jpg","open")</f>
        <v/>
      </c>
      <c r="C11474" t="inlineStr">
        <is>
          <t>57aae8a4-582b-4309-8045-c8127a9f86ae</t>
        </is>
      </c>
      <c r="D11474" t="n">
        <v>55.75472</v>
      </c>
      <c r="E11474" t="n">
        <v>37.78249</v>
      </c>
      <c r="F11474" t="inlineStr"/>
      <c r="G11474" t="inlineStr"/>
      <c r="H11474" t="inlineStr"/>
    </row>
    <row r="11475">
      <c r="A11475" t="inlineStr">
        <is>
          <t>2c074c7a-4181-4584-b710-d6b6dd0242ef.jpg</t>
        </is>
      </c>
      <c r="B11475">
        <f>HYPERLINK("Объекты недвижимости, не соответствующие градостроительным нормам_00-022_Август/2c074c7a-4181-4584-b710-d6b6dd0242ef.jpg","open")</f>
        <v/>
      </c>
      <c r="C11475" t="inlineStr">
        <is>
          <t>8cde1fd0-eca1-4510-86ab-3c743b65fdfc</t>
        </is>
      </c>
      <c r="D11475" t="n">
        <v>55.77617</v>
      </c>
      <c r="E11475" t="n">
        <v>37.68176</v>
      </c>
      <c r="F11475" t="inlineStr"/>
      <c r="G11475" t="inlineStr"/>
      <c r="H11475" t="inlineStr"/>
    </row>
    <row r="11476">
      <c r="A11476" t="inlineStr">
        <is>
          <t>44379b77-5473-4bb9-beae-b7ce0eadee29.jpg</t>
        </is>
      </c>
      <c r="B11476">
        <f>HYPERLINK("Объекты недвижимости, не соответствующие градостроительным нормам_00-022_Август/44379b77-5473-4bb9-beae-b7ce0eadee29.jpg","open")</f>
        <v/>
      </c>
      <c r="C11476" t="inlineStr">
        <is>
          <t>936502dd-24a4-4256-9fdf-0d8fb72af3ed</t>
        </is>
      </c>
      <c r="D11476" t="n">
        <v>55.79537</v>
      </c>
      <c r="E11476" t="n">
        <v>37.7018</v>
      </c>
      <c r="F11476" t="inlineStr"/>
      <c r="G11476" t="inlineStr"/>
      <c r="H11476" t="inlineStr"/>
    </row>
    <row r="11477">
      <c r="A11477" t="inlineStr">
        <is>
          <t>fff576fe-f721-48ff-a564-4a0825185197.jpg</t>
        </is>
      </c>
      <c r="B11477">
        <f>HYPERLINK("Объекты недвижимости, не соответствующие градостроительным нормам_00-022_Август/fff576fe-f721-48ff-a564-4a0825185197.jpg","open")</f>
        <v/>
      </c>
      <c r="C11477" t="inlineStr">
        <is>
          <t>ad64e6b9-1ed5-44d7-a101-4945a1f9dec6</t>
        </is>
      </c>
      <c r="D11477" t="n">
        <v>55.74779</v>
      </c>
      <c r="E11477" t="n">
        <v>37.70092</v>
      </c>
      <c r="F11477" t="inlineStr"/>
      <c r="G11477" t="inlineStr"/>
      <c r="H11477" t="inlineStr"/>
    </row>
    <row r="11478">
      <c r="A11478" t="inlineStr">
        <is>
          <t>72eefca0-b1f3-40e0-8fb9-a747a0a454f2.jpg</t>
        </is>
      </c>
      <c r="B11478">
        <f>HYPERLINK("Объекты недвижимости, не соответствующие градостроительным нормам_00-022_Август/72eefca0-b1f3-40e0-8fb9-a747a0a454f2.jpg","open")</f>
        <v/>
      </c>
      <c r="C11478" t="inlineStr">
        <is>
          <t>9fb3d110-951f-48da-9d90-cfd7e1b5800d</t>
        </is>
      </c>
      <c r="D11478" t="n">
        <v>55.64627</v>
      </c>
      <c r="E11478" t="n">
        <v>37.82957</v>
      </c>
      <c r="F11478" t="inlineStr"/>
      <c r="G11478" t="inlineStr"/>
      <c r="H11478" t="inlineStr"/>
    </row>
    <row r="11479">
      <c r="A11479" t="inlineStr">
        <is>
          <t>d90d1548-d8fd-4364-8289-5a5ddbb2d249.jpg</t>
        </is>
      </c>
      <c r="B11479">
        <f>HYPERLINK("Объекты недвижимости, не соответствующие градостроительным нормам_00-022_Август/d90d1548-d8fd-4364-8289-5a5ddbb2d249.jpg","open")</f>
        <v/>
      </c>
      <c r="C11479" t="inlineStr">
        <is>
          <t>61936922-4d4b-458e-80ea-6d4c450aa1d5</t>
        </is>
      </c>
      <c r="D11479" t="n">
        <v>55.64627</v>
      </c>
      <c r="E11479" t="n">
        <v>37.82957</v>
      </c>
      <c r="F11479" t="inlineStr"/>
      <c r="G11479" t="inlineStr"/>
      <c r="H11479" t="inlineStr"/>
    </row>
    <row r="11480">
      <c r="A11480" t="inlineStr">
        <is>
          <t>13cd9e67-729c-4cb4-9d06-ff41952cb71c.jpg</t>
        </is>
      </c>
      <c r="B11480">
        <f>HYPERLINK("Объекты недвижимости, не соответствующие градостроительным нормам_00-022_Август/13cd9e67-729c-4cb4-9d06-ff41952cb71c.jpg","open")</f>
        <v/>
      </c>
      <c r="C11480" t="inlineStr">
        <is>
          <t>dd22c7c9-0046-46d8-8631-55150dbf8ae5</t>
        </is>
      </c>
      <c r="D11480" t="n">
        <v>55.72055</v>
      </c>
      <c r="E11480" t="n">
        <v>37.42966</v>
      </c>
      <c r="F11480" t="inlineStr"/>
      <c r="G11480" t="inlineStr"/>
      <c r="H11480" t="inlineStr"/>
    </row>
    <row r="11481">
      <c r="A11481" t="inlineStr">
        <is>
          <t>007966a1-c1e8-4878-a9d4-6c497f6da7df.jpg</t>
        </is>
      </c>
      <c r="B11481">
        <f>HYPERLINK("Объекты недвижимости, не соответствующие градостроительным нормам_00-022_Август/007966a1-c1e8-4878-a9d4-6c497f6da7df.jpg","open")</f>
        <v/>
      </c>
      <c r="C11481" t="inlineStr">
        <is>
          <t>57812597-37e6-414c-8b11-8c661dbfeb70</t>
        </is>
      </c>
      <c r="D11481" t="n">
        <v>55.73468</v>
      </c>
      <c r="E11481" t="n">
        <v>37.53562</v>
      </c>
      <c r="F11481" t="inlineStr"/>
      <c r="G11481" t="inlineStr"/>
      <c r="H11481" t="inlineStr"/>
    </row>
    <row r="11482">
      <c r="A11482" t="inlineStr">
        <is>
          <t>e46e0bf1-6ed2-433a-b9cc-b57b81d385cd.jpg</t>
        </is>
      </c>
      <c r="B11482">
        <f>HYPERLINK("Объекты недвижимости, не соответствующие градостроительным нормам_00-022_Август/e46e0bf1-6ed2-433a-b9cc-b57b81d385cd.jpg","open")</f>
        <v/>
      </c>
      <c r="C11482" t="inlineStr">
        <is>
          <t>fce890a6-27da-4062-a046-08262a160ee6</t>
        </is>
      </c>
      <c r="D11482" t="n">
        <v>55.73453</v>
      </c>
      <c r="E11482" t="n">
        <v>37.53491</v>
      </c>
      <c r="F11482" t="inlineStr"/>
      <c r="G11482" t="inlineStr"/>
      <c r="H11482" t="inlineStr"/>
    </row>
    <row r="11483">
      <c r="A11483" t="inlineStr">
        <is>
          <t>9a1b844e-3948-40b8-aac7-235111e57de5.jpg</t>
        </is>
      </c>
      <c r="B11483">
        <f>HYPERLINK("Объекты недвижимости, не соответствующие градостроительным нормам_00-022_Август/9a1b844e-3948-40b8-aac7-235111e57de5.jpg","open")</f>
        <v/>
      </c>
      <c r="C11483" t="inlineStr">
        <is>
          <t>036c664f-5408-4fd0-b479-342c00468eeb</t>
        </is>
      </c>
      <c r="D11483" t="n">
        <v>55.71635</v>
      </c>
      <c r="E11483" t="n">
        <v>37.75217</v>
      </c>
      <c r="F11483" t="inlineStr"/>
      <c r="G11483" t="inlineStr"/>
      <c r="H11483" t="inlineStr"/>
    </row>
    <row r="11484">
      <c r="A11484" t="inlineStr">
        <is>
          <t>5e6c7386-aa79-461d-ab64-b38b6665aa21.jpg</t>
        </is>
      </c>
      <c r="B11484">
        <f>HYPERLINK("Объекты недвижимости, не соответствующие градостроительным нормам_00-022_Август/5e6c7386-aa79-461d-ab64-b38b6665aa21.jpg","open")</f>
        <v/>
      </c>
      <c r="C11484" t="inlineStr">
        <is>
          <t>750bf7e4-0f0f-4f1a-96af-607dc8c1f1c9</t>
        </is>
      </c>
      <c r="D11484" t="n">
        <v>55.77774</v>
      </c>
      <c r="E11484" t="n">
        <v>37.66924</v>
      </c>
      <c r="F11484" t="inlineStr"/>
      <c r="G11484" t="inlineStr"/>
      <c r="H11484" t="inlineStr"/>
    </row>
    <row r="11485">
      <c r="A11485" t="inlineStr">
        <is>
          <t>cca91007-63f7-49f5-945d-d2379a090c67.jpg</t>
        </is>
      </c>
      <c r="B11485">
        <f>HYPERLINK("Объекты недвижимости, не соответствующие градостроительным нормам_00-022_Август/cca91007-63f7-49f5-945d-d2379a090c67.jpg","open")</f>
        <v/>
      </c>
      <c r="C11485" t="inlineStr">
        <is>
          <t>750bf7e4-0f0f-4f1a-96af-607dc8c1f1c9</t>
        </is>
      </c>
      <c r="D11485" t="n">
        <v>55.7788</v>
      </c>
      <c r="E11485" t="n">
        <v>37.66757</v>
      </c>
      <c r="F11485" t="inlineStr"/>
      <c r="G11485" t="inlineStr"/>
      <c r="H11485" t="inlineStr"/>
    </row>
    <row r="11486">
      <c r="A11486" t="inlineStr">
        <is>
          <t>6883338f-bbba-44ec-901b-b4faf98ac85a.jpg</t>
        </is>
      </c>
      <c r="B11486">
        <f>HYPERLINK("Объекты недвижимости, не соответствующие градостроительным нормам_00-022_Август/6883338f-bbba-44ec-901b-b4faf98ac85a.jpg","open")</f>
        <v/>
      </c>
      <c r="C11486" t="inlineStr">
        <is>
          <t>31a713a9-b910-424b-b847-e0eaa2f70c70</t>
        </is>
      </c>
      <c r="D11486" t="n">
        <v>55.77882</v>
      </c>
      <c r="E11486" t="n">
        <v>37.66754</v>
      </c>
      <c r="F11486" t="inlineStr"/>
      <c r="G11486" t="inlineStr"/>
      <c r="H11486" t="inlineStr"/>
    </row>
    <row r="11487">
      <c r="A11487" t="inlineStr">
        <is>
          <t>1758794e-f35b-4140-9301-4c30c56eae34.jpg</t>
        </is>
      </c>
      <c r="B11487">
        <f>HYPERLINK("Объекты недвижимости, не соответствующие градостроительным нормам_00-022_Август/1758794e-f35b-4140-9301-4c30c56eae34.jpg","open")</f>
        <v/>
      </c>
      <c r="C11487" t="inlineStr">
        <is>
          <t>a28f597e-d1cd-4d3b-b572-c86d033412e9</t>
        </is>
      </c>
      <c r="D11487" t="n">
        <v>55.71635</v>
      </c>
      <c r="E11487" t="n">
        <v>37.75217</v>
      </c>
      <c r="F11487" t="inlineStr"/>
      <c r="G11487" t="inlineStr"/>
      <c r="H11487" t="inlineStr"/>
    </row>
    <row r="11488">
      <c r="A11488" t="inlineStr">
        <is>
          <t>ce16d571-2981-4a4e-a4ed-f124b0988f59.jpg</t>
        </is>
      </c>
      <c r="B11488">
        <f>HYPERLINK("Объекты недвижимости, не соответствующие градостроительным нормам_00-022_Август/ce16d571-2981-4a4e-a4ed-f124b0988f59.jpg","open")</f>
        <v/>
      </c>
      <c r="C11488" t="inlineStr">
        <is>
          <t>036c664f-5408-4fd0-b479-342c00468eeb</t>
        </is>
      </c>
      <c r="D11488" t="n">
        <v>55.71635</v>
      </c>
      <c r="E11488" t="n">
        <v>37.75217</v>
      </c>
      <c r="F11488" t="inlineStr"/>
      <c r="G11488" t="inlineStr"/>
      <c r="H11488" t="inlineStr"/>
    </row>
    <row r="11489">
      <c r="A11489" t="inlineStr">
        <is>
          <t>c8136ec8-9d65-480c-b980-f048503a89a0.jpg</t>
        </is>
      </c>
      <c r="B11489">
        <f>HYPERLINK("Объекты недвижимости, не соответствующие градостроительным нормам_00-022_Август/c8136ec8-9d65-480c-b980-f048503a89a0.jpg","open")</f>
        <v/>
      </c>
      <c r="C11489" t="inlineStr">
        <is>
          <t>036c664f-5408-4fd0-b479-342c00468eeb</t>
        </is>
      </c>
      <c r="D11489" t="n">
        <v>55.71635</v>
      </c>
      <c r="E11489" t="n">
        <v>37.75217</v>
      </c>
      <c r="F11489" t="inlineStr"/>
      <c r="G11489" t="inlineStr"/>
      <c r="H11489" t="inlineStr"/>
    </row>
    <row r="11490">
      <c r="A11490" t="inlineStr">
        <is>
          <t>41e8b118-780d-46d4-89d2-645b2b887ace.jpg</t>
        </is>
      </c>
      <c r="B11490">
        <f>HYPERLINK("Объекты недвижимости, не соответствующие градостроительным нормам_00-022_Август/41e8b118-780d-46d4-89d2-645b2b887ace.jpg","open")</f>
        <v/>
      </c>
      <c r="C11490" t="inlineStr">
        <is>
          <t>e85aff3b-73e8-4856-827e-477ccc0aea77</t>
        </is>
      </c>
      <c r="D11490" t="n">
        <v>55.86496</v>
      </c>
      <c r="E11490" t="n">
        <v>37.65849</v>
      </c>
      <c r="F11490" t="inlineStr"/>
      <c r="G11490" t="inlineStr"/>
      <c r="H11490" t="inlineStr"/>
    </row>
    <row r="11491">
      <c r="A11491" t="inlineStr">
        <is>
          <t>a22c7a60-ca33-4dd1-8593-0cf5b98134cf.jpg</t>
        </is>
      </c>
      <c r="B11491">
        <f>HYPERLINK("Объекты недвижимости, не соответствующие градостроительным нормам_00-022_Август/a22c7a60-ca33-4dd1-8593-0cf5b98134cf.jpg","open")</f>
        <v/>
      </c>
      <c r="C11491" t="inlineStr">
        <is>
          <t>b0b7ea82-53be-40d0-b992-e2fd18611d5c</t>
        </is>
      </c>
      <c r="D11491" t="n">
        <v>55.74811</v>
      </c>
      <c r="E11491" t="n">
        <v>37.70129</v>
      </c>
      <c r="F11491" t="inlineStr"/>
      <c r="G11491" t="inlineStr"/>
      <c r="H11491" t="inlineStr"/>
    </row>
    <row r="11492">
      <c r="A11492" t="inlineStr">
        <is>
          <t>d2293223-ed6b-412b-858d-ba0ed7612e97.jpg</t>
        </is>
      </c>
      <c r="B11492">
        <f>HYPERLINK("Объекты недвижимости, не соответствующие градостроительным нормам_00-022_Август/d2293223-ed6b-412b-858d-ba0ed7612e97.jpg","open")</f>
        <v/>
      </c>
      <c r="C11492" t="inlineStr">
        <is>
          <t>f60286ac-55e7-4099-85bd-cc599a7a0c65</t>
        </is>
      </c>
      <c r="D11492" t="n">
        <v>55.76978</v>
      </c>
      <c r="E11492" t="n">
        <v>37.69342</v>
      </c>
      <c r="F11492" t="inlineStr"/>
      <c r="G11492" t="inlineStr"/>
      <c r="H11492" t="inlineStr"/>
    </row>
    <row r="11493">
      <c r="A11493" t="inlineStr">
        <is>
          <t>dabc8e6e-2562-432b-9e9c-d352c7f8efa3.jpg</t>
        </is>
      </c>
      <c r="B11493">
        <f>HYPERLINK("Объекты недвижимости, не соответствующие градостроительным нормам_00-022_Август/dabc8e6e-2562-432b-9e9c-d352c7f8efa3.jpg","open")</f>
        <v/>
      </c>
      <c r="C11493" t="inlineStr">
        <is>
          <t>57aae8a4-582b-4309-8045-c8127a9f86ae</t>
        </is>
      </c>
      <c r="D11493" t="n">
        <v>55.75406</v>
      </c>
      <c r="E11493" t="n">
        <v>37.78487</v>
      </c>
      <c r="F11493" t="inlineStr"/>
      <c r="G11493" t="inlineStr"/>
      <c r="H11493" t="inlineStr"/>
    </row>
    <row r="11494">
      <c r="A11494" t="inlineStr">
        <is>
          <t>81be8974-9896-443d-b60e-8a708f221c82.jpg</t>
        </is>
      </c>
      <c r="B11494">
        <f>HYPERLINK("Объекты недвижимости, не соответствующие градостроительным нормам_00-022_Август/81be8974-9896-443d-b60e-8a708f221c82.jpg","open")</f>
        <v/>
      </c>
      <c r="C11494" t="inlineStr">
        <is>
          <t>12e795ad-2aa7-49de-b2da-2c6aa35a4559</t>
        </is>
      </c>
      <c r="D11494" t="n">
        <v>55.74779</v>
      </c>
      <c r="E11494" t="n">
        <v>37.70092</v>
      </c>
      <c r="F11494" t="inlineStr"/>
      <c r="G11494" t="inlineStr"/>
      <c r="H11494" t="inlineStr"/>
    </row>
    <row r="11495">
      <c r="A11495" t="inlineStr">
        <is>
          <t>13df6c42-75ed-437a-87b7-70687acc661a.jpg</t>
        </is>
      </c>
      <c r="B11495">
        <f>HYPERLINK("Объекты недвижимости, не соответствующие градостроительным нормам_00-022_Август/13df6c42-75ed-437a-87b7-70687acc661a.jpg","open")</f>
        <v/>
      </c>
      <c r="C11495" t="inlineStr">
        <is>
          <t>9fb3d110-951f-48da-9d90-cfd7e1b5800d</t>
        </is>
      </c>
      <c r="D11495" t="n">
        <v>55.72956</v>
      </c>
      <c r="E11495" t="n">
        <v>37.65591</v>
      </c>
      <c r="F11495" t="inlineStr"/>
      <c r="G11495" t="inlineStr"/>
      <c r="H11495" t="inlineStr"/>
    </row>
    <row r="11496">
      <c r="A11496" t="inlineStr">
        <is>
          <t>440c50c1-216d-48e1-8fb7-fec6d33cfe6e.jpg</t>
        </is>
      </c>
      <c r="B11496">
        <f>HYPERLINK("Объекты недвижимости, не соответствующие градостроительным нормам_00-022_Август/440c50c1-216d-48e1-8fb7-fec6d33cfe6e.jpg","open")</f>
        <v/>
      </c>
      <c r="C11496" t="inlineStr">
        <is>
          <t>e85aff3b-73e8-4856-827e-477ccc0aea77</t>
        </is>
      </c>
      <c r="D11496" t="n">
        <v>55.86496</v>
      </c>
      <c r="E11496" t="n">
        <v>37.65849</v>
      </c>
      <c r="F11496" t="inlineStr"/>
      <c r="G11496" t="inlineStr"/>
      <c r="H11496" t="inlineStr"/>
    </row>
    <row r="11497">
      <c r="A11497" t="inlineStr">
        <is>
          <t>a442f7e7-fa7a-46f4-8077-038dfe2f85ca.jpg</t>
        </is>
      </c>
      <c r="B11497">
        <f>HYPERLINK("Объекты недвижимости, не соответствующие градостроительным нормам_00-022_Август/a442f7e7-fa7a-46f4-8077-038dfe2f85ca.jpg","open")</f>
        <v/>
      </c>
      <c r="C11497" t="inlineStr">
        <is>
          <t>789f6c51-64ee-4078-b7bd-443af8b8b68a</t>
        </is>
      </c>
      <c r="D11497" t="n">
        <v>55.79543</v>
      </c>
      <c r="E11497" t="n">
        <v>37.62536</v>
      </c>
      <c r="F11497" t="inlineStr"/>
      <c r="G11497" t="inlineStr"/>
      <c r="H11497" t="inlineStr"/>
    </row>
    <row r="11498">
      <c r="A11498" t="inlineStr">
        <is>
          <t>733f8410-e51b-46ca-9d5f-2170f29c969a.jpg</t>
        </is>
      </c>
      <c r="B11498">
        <f>HYPERLINK("Объекты недвижимости, не соответствующие градостроительным нормам_00-022_Август/733f8410-e51b-46ca-9d5f-2170f29c969a.jpg","open")</f>
        <v/>
      </c>
      <c r="C11498" t="inlineStr">
        <is>
          <t>9fb3d110-951f-48da-9d90-cfd7e1b5800d</t>
        </is>
      </c>
      <c r="D11498" t="n">
        <v>55.7225</v>
      </c>
      <c r="E11498" t="n">
        <v>37.63612</v>
      </c>
      <c r="F11498" t="inlineStr"/>
      <c r="G11498" t="inlineStr"/>
      <c r="H11498" t="inlineStr"/>
    </row>
    <row r="11499">
      <c r="A11499" t="inlineStr">
        <is>
          <t>0f7e4dff-6a59-41c2-95af-0d7b22502f63.jpg</t>
        </is>
      </c>
      <c r="B11499">
        <f>HYPERLINK("Объекты недвижимости, не соответствующие градостроительным нормам_00-022_Август/0f7e4dff-6a59-41c2-95af-0d7b22502f63.jpg","open")</f>
        <v/>
      </c>
      <c r="C11499" t="inlineStr">
        <is>
          <t>f60286ac-55e7-4099-85bd-cc599a7a0c65</t>
        </is>
      </c>
      <c r="D11499" t="n">
        <v>55.80504</v>
      </c>
      <c r="E11499" t="n">
        <v>37.72751</v>
      </c>
      <c r="F11499" t="inlineStr"/>
      <c r="G11499" t="inlineStr"/>
      <c r="H11499" t="inlineStr"/>
    </row>
    <row r="11500">
      <c r="A11500" t="inlineStr">
        <is>
          <t>1e5c5283-badb-4ffa-9d26-eecdb607992b.jpg</t>
        </is>
      </c>
      <c r="B11500">
        <f>HYPERLINK("Объекты недвижимости, не соответствующие градостроительным нормам_00-022_Август/1e5c5283-badb-4ffa-9d26-eecdb607992b.jpg","open")</f>
        <v/>
      </c>
      <c r="C11500" t="inlineStr">
        <is>
          <t>2acfb2da-e3f6-464c-bd17-4b713522c142</t>
        </is>
      </c>
      <c r="D11500" t="n">
        <v>55.79543</v>
      </c>
      <c r="E11500" t="n">
        <v>37.62617</v>
      </c>
      <c r="F11500" t="inlineStr"/>
      <c r="G11500" t="inlineStr"/>
      <c r="H11500" t="inlineStr"/>
    </row>
    <row r="11501">
      <c r="A11501" t="inlineStr">
        <is>
          <t>edfc64a3-b575-414b-b5e4-5b9c3045b3fb.jpg</t>
        </is>
      </c>
      <c r="B11501">
        <f>HYPERLINK("Объекты недвижимости, не соответствующие градостроительным нормам_00-022_Август/edfc64a3-b575-414b-b5e4-5b9c3045b3fb.jpg","open")</f>
        <v/>
      </c>
      <c r="C11501" t="inlineStr">
        <is>
          <t>789f6c51-64ee-4078-b7bd-443af8b8b68a</t>
        </is>
      </c>
      <c r="D11501" t="n">
        <v>55.79543</v>
      </c>
      <c r="E11501" t="n">
        <v>37.62615</v>
      </c>
      <c r="F11501" t="inlineStr"/>
      <c r="G11501" t="inlineStr"/>
      <c r="H11501" t="inlineStr"/>
    </row>
    <row r="11502">
      <c r="A11502" t="inlineStr">
        <is>
          <t>3d2c298f-f8f7-461a-b8b6-33014a220a2c.jpg</t>
        </is>
      </c>
      <c r="B11502">
        <f>HYPERLINK("Объекты недвижимости, не соответствующие градостроительным нормам_00-022_Август/3d2c298f-f8f7-461a-b8b6-33014a220a2c.jpg","open")</f>
        <v/>
      </c>
      <c r="C11502" t="inlineStr">
        <is>
          <t>18a5c468-d9e6-4814-8477-1caf4a2e1fe9</t>
        </is>
      </c>
      <c r="D11502" t="n">
        <v>55.72113</v>
      </c>
      <c r="E11502" t="n">
        <v>37.43562</v>
      </c>
      <c r="F11502" t="inlineStr"/>
      <c r="G11502" t="inlineStr"/>
      <c r="H11502" t="inlineStr"/>
    </row>
    <row r="11503">
      <c r="A11503" t="inlineStr">
        <is>
          <t>071c621a-cca5-493a-8019-258c78f1a499.jpg</t>
        </is>
      </c>
      <c r="B11503">
        <f>HYPERLINK("Объекты недвижимости, не соответствующие градостроительным нормам_00-022_Август/071c621a-cca5-493a-8019-258c78f1a499.jpg","open")</f>
        <v/>
      </c>
      <c r="C11503" t="inlineStr">
        <is>
          <t>9fb3d110-951f-48da-9d90-cfd7e1b5800d</t>
        </is>
      </c>
      <c r="D11503" t="n">
        <v>55.71165</v>
      </c>
      <c r="E11503" t="n">
        <v>37.6206</v>
      </c>
      <c r="F11503" t="inlineStr"/>
      <c r="G11503" t="inlineStr"/>
      <c r="H11503" t="inlineStr"/>
    </row>
    <row r="11504">
      <c r="A11504" t="inlineStr">
        <is>
          <t>55caa376-55da-4d7f-8803-1998ac2e122c.jpg</t>
        </is>
      </c>
      <c r="B11504">
        <f>HYPERLINK("Объекты недвижимости, не соответствующие градостроительным нормам_00-022_Август/55caa376-55da-4d7f-8803-1998ac2e122c.jpg","open")</f>
        <v/>
      </c>
      <c r="C11504" t="inlineStr">
        <is>
          <t>9fb3d110-951f-48da-9d90-cfd7e1b5800d</t>
        </is>
      </c>
      <c r="D11504" t="n">
        <v>55.70566</v>
      </c>
      <c r="E11504" t="n">
        <v>37.59581</v>
      </c>
      <c r="F11504" t="inlineStr"/>
      <c r="G11504" t="inlineStr"/>
      <c r="H11504" t="inlineStr"/>
    </row>
    <row r="11505">
      <c r="A11505" t="inlineStr">
        <is>
          <t>bc45d318-a59e-460b-92a7-82b6c5866241.jpg</t>
        </is>
      </c>
      <c r="B11505">
        <f>HYPERLINK("Объекты недвижимости, не соответствующие градостроительным нормам_00-022_Август/bc45d318-a59e-460b-92a7-82b6c5866241.jpg","open")</f>
        <v/>
      </c>
      <c r="C11505" t="inlineStr">
        <is>
          <t>57aae8a4-582b-4309-8045-c8127a9f86ae</t>
        </is>
      </c>
      <c r="D11505" t="n">
        <v>55.75471</v>
      </c>
      <c r="E11505" t="n">
        <v>37.78253</v>
      </c>
      <c r="F11505" t="inlineStr"/>
      <c r="G11505" t="inlineStr"/>
      <c r="H11505" t="inlineStr"/>
    </row>
    <row r="11506">
      <c r="A11506" t="inlineStr">
        <is>
          <t>92fe50b2-6a67-4bda-b235-2ba4db5e191e.jpg</t>
        </is>
      </c>
      <c r="B11506">
        <f>HYPERLINK("Объекты недвижимости, не соответствующие градостроительным нормам_00-022_Август/92fe50b2-6a67-4bda-b235-2ba4db5e191e.jpg","open")</f>
        <v/>
      </c>
      <c r="C11506" t="inlineStr">
        <is>
          <t>036c664f-5408-4fd0-b479-342c00468eeb</t>
        </is>
      </c>
      <c r="D11506" t="n">
        <v>55.74161</v>
      </c>
      <c r="E11506" t="n">
        <v>37.40149</v>
      </c>
      <c r="F11506" t="inlineStr"/>
      <c r="G11506" t="inlineStr"/>
      <c r="H11506" t="inlineStr"/>
    </row>
    <row r="11507">
      <c r="A11507" t="inlineStr">
        <is>
          <t>c2603eac-bdf9-4938-9077-efd97e092a0a.jpg</t>
        </is>
      </c>
      <c r="B11507">
        <f>HYPERLINK("Объекты недвижимости, не соответствующие градостроительным нормам_00-022_Август/c2603eac-bdf9-4938-9077-efd97e092a0a.jpg","open")</f>
        <v/>
      </c>
      <c r="C11507" t="inlineStr">
        <is>
          <t>a28f597e-d1cd-4d3b-b572-c86d033412e9</t>
        </is>
      </c>
      <c r="D11507" t="n">
        <v>55.73934</v>
      </c>
      <c r="E11507" t="n">
        <v>37.40434</v>
      </c>
      <c r="F11507" t="inlineStr"/>
      <c r="G11507" t="inlineStr"/>
      <c r="H11507" t="inlineStr"/>
    </row>
    <row r="11508">
      <c r="A11508" t="inlineStr">
        <is>
          <t>20d8cac8-2494-437b-8f6d-e4d751468fe7.jpg</t>
        </is>
      </c>
      <c r="B11508">
        <f>HYPERLINK("Объекты недвижимости, не соответствующие градостроительным нормам_00-022_Август/20d8cac8-2494-437b-8f6d-e4d751468fe7.jpg","open")</f>
        <v/>
      </c>
      <c r="C11508" t="inlineStr">
        <is>
          <t>036c664f-5408-4fd0-b479-342c00468eeb</t>
        </is>
      </c>
      <c r="D11508" t="n">
        <v>55.73934</v>
      </c>
      <c r="E11508" t="n">
        <v>37.40432</v>
      </c>
      <c r="F11508" t="inlineStr"/>
      <c r="G11508" t="inlineStr"/>
      <c r="H11508" t="inlineStr"/>
    </row>
    <row r="11509">
      <c r="A11509" t="inlineStr">
        <is>
          <t>0de4306c-dc0a-4d1f-a8fa-c9dbcac8b898.jpg</t>
        </is>
      </c>
      <c r="B11509">
        <f>HYPERLINK("Объекты недвижимости, не соответствующие градостроительным нормам_00-022_Август/0de4306c-dc0a-4d1f-a8fa-c9dbcac8b898.jpg","open")</f>
        <v/>
      </c>
      <c r="C11509" t="inlineStr">
        <is>
          <t>f60286ac-55e7-4099-85bd-cc599a7a0c65</t>
        </is>
      </c>
      <c r="D11509" t="n">
        <v>55.80492</v>
      </c>
      <c r="E11509" t="n">
        <v>37.72134</v>
      </c>
      <c r="F11509" t="inlineStr"/>
      <c r="G11509" t="inlineStr"/>
      <c r="H11509" t="inlineStr"/>
    </row>
    <row r="11510">
      <c r="A11510" t="inlineStr">
        <is>
          <t>c6f5ee79-69b5-48a9-99bb-1db37d62b4a3.jpg</t>
        </is>
      </c>
      <c r="B11510">
        <f>HYPERLINK("Объекты недвижимости, не соответствующие градостроительным нормам_00-022_Август/c6f5ee79-69b5-48a9-99bb-1db37d62b4a3.jpg","open")</f>
        <v/>
      </c>
      <c r="C11510" t="inlineStr">
        <is>
          <t>31a713a9-b910-424b-b847-e0eaa2f70c70</t>
        </is>
      </c>
      <c r="D11510" t="n">
        <v>55.63445</v>
      </c>
      <c r="E11510" t="n">
        <v>37.3298</v>
      </c>
      <c r="F11510" t="inlineStr"/>
      <c r="G11510" t="inlineStr"/>
      <c r="H11510" t="inlineStr"/>
    </row>
    <row r="11511">
      <c r="A11511" t="inlineStr">
        <is>
          <t>d26a5cbc-bbe4-468d-b887-19db85decab4.jpg</t>
        </is>
      </c>
      <c r="B11511">
        <f>HYPERLINK("Объекты недвижимости, не соответствующие градостроительным нормам_00-022_Август/d26a5cbc-bbe4-468d-b887-19db85decab4.jpg","open")</f>
        <v/>
      </c>
      <c r="C11511" t="inlineStr">
        <is>
          <t>31a713a9-b910-424b-b847-e0eaa2f70c70</t>
        </is>
      </c>
      <c r="D11511" t="n">
        <v>55.63519</v>
      </c>
      <c r="E11511" t="n">
        <v>37.33302</v>
      </c>
      <c r="F11511" t="inlineStr"/>
      <c r="G11511" t="inlineStr"/>
      <c r="H11511" t="inlineStr"/>
    </row>
    <row r="11512">
      <c r="A11512" t="inlineStr">
        <is>
          <t>de97d33c-8ac7-4abd-97de-1c8efd4bef99.jpg</t>
        </is>
      </c>
      <c r="B11512">
        <f>HYPERLINK("Объекты недвижимости, не соответствующие градостроительным нормам_00-022_Август/de97d33c-8ac7-4abd-97de-1c8efd4bef99.jpg","open")</f>
        <v/>
      </c>
      <c r="C11512" t="inlineStr">
        <is>
          <t>8b2675e2-7f40-47a9-a462-7c9feecd299c</t>
        </is>
      </c>
      <c r="D11512" t="n">
        <v>55.82701</v>
      </c>
      <c r="E11512" t="n">
        <v>37.64786</v>
      </c>
      <c r="F11512" t="inlineStr"/>
      <c r="G11512" t="inlineStr"/>
      <c r="H11512" t="inlineStr"/>
    </row>
    <row r="11513">
      <c r="A11513" t="inlineStr">
        <is>
          <t>f1c19f19-82b8-471e-8b6b-6bfb86f74eb8.jpg</t>
        </is>
      </c>
      <c r="B11513">
        <f>HYPERLINK("Объекты недвижимости, не соответствующие градостроительным нормам_00-022_Август/f1c19f19-82b8-471e-8b6b-6bfb86f74eb8.jpg","open")</f>
        <v/>
      </c>
      <c r="C11513" t="inlineStr">
        <is>
          <t>48b533d5-d106-4175-ac9b-d5ce8d90cccf</t>
        </is>
      </c>
      <c r="D11513" t="n">
        <v>55.97562</v>
      </c>
      <c r="E11513" t="n">
        <v>37.39938</v>
      </c>
      <c r="F11513" t="inlineStr"/>
      <c r="G11513" t="inlineStr"/>
      <c r="H11513" t="inlineStr"/>
    </row>
    <row r="11514">
      <c r="A11514" t="inlineStr">
        <is>
          <t>92fee365-309d-415d-b125-5f387acb18b4.jpg</t>
        </is>
      </c>
      <c r="B11514">
        <f>HYPERLINK("Объекты недвижимости, не соответствующие градостроительным нормам_00-022_Август/92fee365-309d-415d-b125-5f387acb18b4.jpg","open")</f>
        <v/>
      </c>
      <c r="C11514" t="inlineStr">
        <is>
          <t>61936922-4d4b-458e-80ea-6d4c450aa1d5</t>
        </is>
      </c>
      <c r="D11514" t="n">
        <v>55.73172</v>
      </c>
      <c r="E11514" t="n">
        <v>37.52461</v>
      </c>
      <c r="F11514" t="inlineStr"/>
      <c r="G11514" t="inlineStr"/>
      <c r="H11514" t="inlineStr"/>
    </row>
    <row r="11515">
      <c r="A11515" t="inlineStr">
        <is>
          <t>575ba154-ac78-417e-b329-a052e1bf2e74.jpg</t>
        </is>
      </c>
      <c r="B11515">
        <f>HYPERLINK("Объекты недвижимости, не соответствующие градостроительным нормам_00-022_Август/575ba154-ac78-417e-b329-a052e1bf2e74.jpg","open")</f>
        <v/>
      </c>
      <c r="C11515" t="inlineStr">
        <is>
          <t>9f88688f-4c81-42a8-b76a-3c3e7edf869e</t>
        </is>
      </c>
      <c r="D11515" t="n">
        <v>55.78237</v>
      </c>
      <c r="E11515" t="n">
        <v>37.67124</v>
      </c>
      <c r="F11515" t="inlineStr"/>
      <c r="G11515" t="inlineStr"/>
      <c r="H11515" t="inlineStr"/>
    </row>
    <row r="11516">
      <c r="A11516" t="inlineStr">
        <is>
          <t>185853a5-eb01-46e0-b9e2-91008b638da3.jpg</t>
        </is>
      </c>
      <c r="B11516">
        <f>HYPERLINK("Объекты недвижимости, не соответствующие градостроительным нормам_00-022_Август/185853a5-eb01-46e0-b9e2-91008b638da3.jpg","open")</f>
        <v/>
      </c>
      <c r="C11516" t="inlineStr">
        <is>
          <t>8996eb30-6497-4318-8a0e-b95314b8172e</t>
        </is>
      </c>
      <c r="D11516" t="n">
        <v>55.72634</v>
      </c>
      <c r="E11516" t="n">
        <v>37.74207</v>
      </c>
      <c r="F11516" t="inlineStr"/>
      <c r="G11516" t="inlineStr"/>
      <c r="H11516" t="inlineStr"/>
    </row>
    <row r="11517">
      <c r="A11517" t="inlineStr">
        <is>
          <t>ac86b260-d49b-4aef-8b68-779cd88d4685.jpg</t>
        </is>
      </c>
      <c r="B11517">
        <f>HYPERLINK("Объекты недвижимости, не соответствующие градостроительным нормам_00-022_Август/ac86b260-d49b-4aef-8b68-779cd88d4685.jpg","open")</f>
        <v/>
      </c>
      <c r="C11517" t="inlineStr">
        <is>
          <t>55da50d9-6d31-4c29-a85b-6a228578c6de</t>
        </is>
      </c>
      <c r="D11517" t="n">
        <v>55.83479</v>
      </c>
      <c r="E11517" t="n">
        <v>37.65587</v>
      </c>
      <c r="F11517" t="inlineStr"/>
      <c r="G11517" t="inlineStr"/>
      <c r="H11517" t="inlineStr"/>
    </row>
    <row r="11518">
      <c r="A11518" t="inlineStr">
        <is>
          <t>484c31b5-155a-45d9-9b16-3b49bae658da.jpg</t>
        </is>
      </c>
      <c r="B11518">
        <f>HYPERLINK("Объекты недвижимости, не соответствующие градостроительным нормам_00-022_Август/484c31b5-155a-45d9-9b16-3b49bae658da.jpg","open")</f>
        <v/>
      </c>
      <c r="C11518" t="inlineStr">
        <is>
          <t>8b2675e2-7f40-47a9-a462-7c9feecd299c</t>
        </is>
      </c>
      <c r="D11518" t="n">
        <v>55.83479</v>
      </c>
      <c r="E11518" t="n">
        <v>37.65587</v>
      </c>
      <c r="F11518" t="inlineStr"/>
      <c r="G11518" t="inlineStr"/>
      <c r="H11518" t="inlineStr"/>
    </row>
    <row r="11519">
      <c r="A11519" t="inlineStr">
        <is>
          <t>77f04f81-c5b7-481d-bef5-9bc0cdb1519f.jpg</t>
        </is>
      </c>
      <c r="B11519">
        <f>HYPERLINK("Объекты недвижимости, не соответствующие градостроительным нормам_00-022_Август/77f04f81-c5b7-481d-bef5-9bc0cdb1519f.jpg","open")</f>
        <v/>
      </c>
      <c r="C11519" t="inlineStr">
        <is>
          <t>caa4772d-6278-4484-a046-ee25514bf521</t>
        </is>
      </c>
      <c r="D11519" t="n">
        <v>55.7816</v>
      </c>
      <c r="E11519" t="n">
        <v>37.80748</v>
      </c>
      <c r="F11519" t="inlineStr"/>
      <c r="G11519" t="inlineStr"/>
      <c r="H11519" t="inlineStr"/>
    </row>
    <row r="11520">
      <c r="A11520" t="inlineStr">
        <is>
          <t>3153e381-563d-4b06-9933-ba2abf6c9d25.jpg</t>
        </is>
      </c>
      <c r="B11520">
        <f>HYPERLINK("Объекты недвижимости, не соответствующие градостроительным нормам_00-022_Август/3153e381-563d-4b06-9933-ba2abf6c9d25.jpg","open")</f>
        <v/>
      </c>
      <c r="C11520" t="inlineStr">
        <is>
          <t>8b2675e2-7f40-47a9-a462-7c9feecd299c</t>
        </is>
      </c>
      <c r="D11520" t="n">
        <v>55.85289</v>
      </c>
      <c r="E11520" t="n">
        <v>37.66785</v>
      </c>
      <c r="F11520" t="inlineStr"/>
      <c r="G11520" t="inlineStr"/>
      <c r="H11520" t="inlineStr"/>
    </row>
    <row r="11521">
      <c r="A11521" t="inlineStr">
        <is>
          <t>e576a593-5bab-4722-9ced-bb5f3103f2c3.jpg</t>
        </is>
      </c>
      <c r="B11521">
        <f>HYPERLINK("Объекты недвижимости, не соответствующие градостроительным нормам_00-022_Август/e576a593-5bab-4722-9ced-bb5f3103f2c3.jpg","open")</f>
        <v/>
      </c>
      <c r="C11521" t="inlineStr">
        <is>
          <t>2acfb2da-e3f6-464c-bd17-4b713522c142</t>
        </is>
      </c>
      <c r="D11521" t="n">
        <v>55.79959</v>
      </c>
      <c r="E11521" t="n">
        <v>37.62119</v>
      </c>
      <c r="F11521" t="inlineStr"/>
      <c r="G11521" t="inlineStr"/>
      <c r="H11521" t="inlineStr"/>
    </row>
    <row r="11522">
      <c r="A11522" t="inlineStr">
        <is>
          <t>2eeca0df-7e89-440a-80d0-028821dd022f.jpg</t>
        </is>
      </c>
      <c r="B11522">
        <f>HYPERLINK("Объекты недвижимости, не соответствующие градостроительным нормам_00-022_Август/2eeca0df-7e89-440a-80d0-028821dd022f.jpg","open")</f>
        <v/>
      </c>
      <c r="C11522" t="inlineStr">
        <is>
          <t>91248771-2c4d-44f3-b3cf-d536bd4ae73c</t>
        </is>
      </c>
      <c r="D11522" t="n">
        <v>55.97058</v>
      </c>
      <c r="E11522" t="n">
        <v>37.39977</v>
      </c>
      <c r="F11522" t="inlineStr"/>
      <c r="G11522" t="inlineStr"/>
      <c r="H11522" t="inlineStr"/>
    </row>
    <row r="11523">
      <c r="A11523" t="inlineStr">
        <is>
          <t>ad8daa94-7b41-4b21-864f-8b281ff824ae.jpg</t>
        </is>
      </c>
      <c r="B11523">
        <f>HYPERLINK("Объекты недвижимости, не соответствующие градостроительным нормам_00-022_Август/ad8daa94-7b41-4b21-864f-8b281ff824ae.jpg","open")</f>
        <v/>
      </c>
      <c r="C11523" t="inlineStr">
        <is>
          <t>036c664f-5408-4fd0-b479-342c00468eeb</t>
        </is>
      </c>
      <c r="D11523" t="n">
        <v>55.73584</v>
      </c>
      <c r="E11523" t="n">
        <v>37.40648</v>
      </c>
      <c r="F11523" t="inlineStr"/>
      <c r="G11523" t="inlineStr"/>
      <c r="H11523" t="inlineStr"/>
    </row>
    <row r="11524">
      <c r="A11524" t="inlineStr">
        <is>
          <t>758d7366-b3ac-48ad-846a-9a388a5b08f3.jpg</t>
        </is>
      </c>
      <c r="B11524">
        <f>HYPERLINK("Объекты недвижимости, не соответствующие градостроительным нормам_00-022_Август/758d7366-b3ac-48ad-846a-9a388a5b08f3.jpg","open")</f>
        <v/>
      </c>
      <c r="C11524" t="inlineStr">
        <is>
          <t>18a5c468-d9e6-4814-8477-1caf4a2e1fe9</t>
        </is>
      </c>
      <c r="D11524" t="n">
        <v>55.72113</v>
      </c>
      <c r="E11524" t="n">
        <v>37.43562</v>
      </c>
      <c r="F11524" t="inlineStr"/>
      <c r="G11524" t="inlineStr"/>
      <c r="H11524" t="inlineStr"/>
    </row>
    <row r="11525">
      <c r="A11525" t="inlineStr">
        <is>
          <t>669822d6-0151-4928-b692-066af001647b.jpg</t>
        </is>
      </c>
      <c r="B11525">
        <f>HYPERLINK("Объекты недвижимости, не соответствующие градостроительным нормам_00-022_Август/669822d6-0151-4928-b692-066af001647b.jpg","open")</f>
        <v/>
      </c>
      <c r="C11525" t="inlineStr">
        <is>
          <t>ed2bf0f1-3a66-4913-896e-4420a9796c0b</t>
        </is>
      </c>
      <c r="D11525" t="n">
        <v>55.72176</v>
      </c>
      <c r="E11525" t="n">
        <v>37.70561</v>
      </c>
      <c r="F11525" t="inlineStr"/>
      <c r="G11525" t="inlineStr"/>
      <c r="H11525" t="inlineStr"/>
    </row>
    <row r="11526">
      <c r="A11526" t="inlineStr">
        <is>
          <t>68bc23f1-1e2c-4844-9b0b-1b94b53b8333.jpg</t>
        </is>
      </c>
      <c r="B11526">
        <f>HYPERLINK("Объекты недвижимости, не соответствующие градостроительным нормам_00-022_Август/68bc23f1-1e2c-4844-9b0b-1b94b53b8333.jpg","open")</f>
        <v/>
      </c>
      <c r="C11526" t="inlineStr">
        <is>
          <t>57aae8a4-582b-4309-8045-c8127a9f86ae</t>
        </is>
      </c>
      <c r="D11526" t="n">
        <v>55.75909</v>
      </c>
      <c r="E11526" t="n">
        <v>37.7803</v>
      </c>
      <c r="F11526" t="inlineStr"/>
      <c r="G11526" t="inlineStr"/>
      <c r="H11526" t="inlineStr"/>
    </row>
    <row r="11527">
      <c r="A11527" t="inlineStr">
        <is>
          <t>56efa9fc-ffd6-4b86-9a3d-bd32ca943bc9.jpg</t>
        </is>
      </c>
      <c r="B11527">
        <f>HYPERLINK("Объекты недвижимости, не соответствующие градостроительным нормам_00-022_Август/56efa9fc-ffd6-4b86-9a3d-bd32ca943bc9.jpg","open")</f>
        <v/>
      </c>
      <c r="C11527" t="inlineStr">
        <is>
          <t>acedacc2-0d8b-4fc1-9622-25621a89d071</t>
        </is>
      </c>
      <c r="D11527" t="n">
        <v>55.75908</v>
      </c>
      <c r="E11527" t="n">
        <v>37.78016</v>
      </c>
      <c r="F11527" t="inlineStr"/>
      <c r="G11527" t="inlineStr"/>
      <c r="H11527" t="inlineStr"/>
    </row>
    <row r="11528">
      <c r="A11528" t="inlineStr">
        <is>
          <t>e1139b85-e487-44a6-818b-a6d492647e7c.jpg</t>
        </is>
      </c>
      <c r="B11528">
        <f>HYPERLINK("Объекты недвижимости, не соответствующие градостроительным нормам_00-022_Август/e1139b85-e487-44a6-818b-a6d492647e7c.jpg","open")</f>
        <v/>
      </c>
      <c r="C11528" t="inlineStr">
        <is>
          <t>18a5c468-d9e6-4814-8477-1caf4a2e1fe9</t>
        </is>
      </c>
      <c r="D11528" t="n">
        <v>55.72113</v>
      </c>
      <c r="E11528" t="n">
        <v>37.43562</v>
      </c>
      <c r="F11528" t="inlineStr"/>
      <c r="G11528" t="inlineStr"/>
      <c r="H11528" t="inlineStr"/>
    </row>
    <row r="11529">
      <c r="A11529" t="inlineStr">
        <is>
          <t>6a1a709b-5f05-4221-a829-59e1d808fe4e.jpg</t>
        </is>
      </c>
      <c r="B11529">
        <f>HYPERLINK("Объекты недвижимости, не соответствующие градостроительным нормам_00-022_Август/6a1a709b-5f05-4221-a829-59e1d808fe4e.jpg","open")</f>
        <v/>
      </c>
      <c r="C11529" t="inlineStr">
        <is>
          <t>57aae8a4-582b-4309-8045-c8127a9f86ae</t>
        </is>
      </c>
      <c r="D11529" t="n">
        <v>55.75914</v>
      </c>
      <c r="E11529" t="n">
        <v>37.78199</v>
      </c>
      <c r="F11529" t="inlineStr"/>
      <c r="G11529" t="inlineStr"/>
      <c r="H11529" t="inlineStr"/>
    </row>
    <row r="11530">
      <c r="A11530" t="inlineStr">
        <is>
          <t>e23ca93e-bc43-4fd5-a48a-9759082ea65e.jpg</t>
        </is>
      </c>
      <c r="B11530">
        <f>HYPERLINK("Объекты недвижимости, не соответствующие градостроительным нормам_00-022_Август/e23ca93e-bc43-4fd5-a48a-9759082ea65e.jpg","open")</f>
        <v/>
      </c>
      <c r="C11530" t="inlineStr">
        <is>
          <t>5e5b9944-4f9e-4223-bf96-0bc0c8a93dfa</t>
        </is>
      </c>
      <c r="D11530" t="n">
        <v>55.7153</v>
      </c>
      <c r="E11530" t="n">
        <v>37.57529</v>
      </c>
      <c r="F11530" t="inlineStr"/>
      <c r="G11530" t="inlineStr"/>
      <c r="H11530" t="inlineStr"/>
    </row>
    <row r="11531">
      <c r="A11531" t="inlineStr">
        <is>
          <t>1a93b478-ea56-4bec-93e5-0c3e0df585ee.jpg</t>
        </is>
      </c>
      <c r="B11531">
        <f>HYPERLINK("Объекты недвижимости, не соответствующие градостроительным нормам_00-022_Август/1a93b478-ea56-4bec-93e5-0c3e0df585ee.jpg","open")</f>
        <v/>
      </c>
      <c r="C11531" t="inlineStr">
        <is>
          <t>31a713a9-b910-424b-b847-e0eaa2f70c70</t>
        </is>
      </c>
      <c r="D11531" t="n">
        <v>55.64092</v>
      </c>
      <c r="E11531" t="n">
        <v>37.32726</v>
      </c>
      <c r="F11531" t="inlineStr"/>
      <c r="G11531" t="inlineStr"/>
      <c r="H11531" t="inlineStr"/>
    </row>
    <row r="11532">
      <c r="A11532" t="inlineStr">
        <is>
          <t>7f5a6445-25ac-41d1-80a4-5e6757b4425b.jpg</t>
        </is>
      </c>
      <c r="B11532">
        <f>HYPERLINK("Объекты недвижимости, не соответствующие градостроительным нормам_00-022_Август/7f5a6445-25ac-41d1-80a4-5e6757b4425b.jpg","open")</f>
        <v/>
      </c>
      <c r="C11532" t="inlineStr">
        <is>
          <t>61936922-4d4b-458e-80ea-6d4c450aa1d5</t>
        </is>
      </c>
      <c r="D11532" t="n">
        <v>55.6493</v>
      </c>
      <c r="E11532" t="n">
        <v>37.36782</v>
      </c>
      <c r="F11532" t="inlineStr"/>
      <c r="G11532" t="inlineStr"/>
      <c r="H11532" t="inlineStr"/>
    </row>
    <row r="11533">
      <c r="A11533" t="inlineStr">
        <is>
          <t>91d00d7b-46fb-463a-89e0-dd914af3d557.jpg</t>
        </is>
      </c>
      <c r="B11533">
        <f>HYPERLINK("Объекты недвижимости, не соответствующие градостроительным нормам_00-022_Август/91d00d7b-46fb-463a-89e0-dd914af3d557.jpg","open")</f>
        <v/>
      </c>
      <c r="C11533" t="inlineStr">
        <is>
          <t>b0b7ea82-53be-40d0-b992-e2fd18611d5c</t>
        </is>
      </c>
      <c r="D11533" t="n">
        <v>55.70662</v>
      </c>
      <c r="E11533" t="n">
        <v>37.75192</v>
      </c>
      <c r="F11533" t="inlineStr"/>
      <c r="G11533" t="inlineStr"/>
      <c r="H11533" t="inlineStr"/>
    </row>
    <row r="11534">
      <c r="A11534" t="inlineStr">
        <is>
          <t>a7b7f18b-11dd-4229-93fd-484ac6edd950.jpg</t>
        </is>
      </c>
      <c r="B11534">
        <f>HYPERLINK("Объекты недвижимости, не соответствующие градостроительным нормам_00-022_Август/a7b7f18b-11dd-4229-93fd-484ac6edd950.jpg","open")</f>
        <v/>
      </c>
      <c r="C11534" t="inlineStr">
        <is>
          <t>18a5c468-d9e6-4814-8477-1caf4a2e1fe9</t>
        </is>
      </c>
      <c r="D11534" t="n">
        <v>55.72113</v>
      </c>
      <c r="E11534" t="n">
        <v>37.43562</v>
      </c>
      <c r="F11534" t="inlineStr"/>
      <c r="G11534" t="inlineStr"/>
      <c r="H11534" t="inlineStr"/>
    </row>
    <row r="11535">
      <c r="A11535" t="inlineStr">
        <is>
          <t>12f36f3c-c59d-4263-8d31-0d9c11a6f03f.jpg</t>
        </is>
      </c>
      <c r="B11535">
        <f>HYPERLINK("Объекты недвижимости, не соответствующие градостроительным нормам_00-022_Август/12f36f3c-c59d-4263-8d31-0d9c11a6f03f.jpg","open")</f>
        <v/>
      </c>
      <c r="C11535" t="inlineStr">
        <is>
          <t>55da50d9-6d31-4c29-a85b-6a228578c6de</t>
        </is>
      </c>
      <c r="D11535" t="n">
        <v>55.86756</v>
      </c>
      <c r="E11535" t="n">
        <v>37.69013</v>
      </c>
      <c r="F11535" t="inlineStr"/>
      <c r="G11535" t="inlineStr"/>
      <c r="H11535" t="inlineStr"/>
    </row>
    <row r="11536">
      <c r="A11536" t="inlineStr">
        <is>
          <t>a83ad5b3-2420-4ca1-9650-276f6bfb770c.jpg</t>
        </is>
      </c>
      <c r="B11536">
        <f>HYPERLINK("Объекты недвижимости, не соответствующие градостроительным нормам_00-022_Август/a83ad5b3-2420-4ca1-9650-276f6bfb770c.jpg","open")</f>
        <v/>
      </c>
      <c r="C11536" t="inlineStr">
        <is>
          <t>f20fbc2b-b369-4734-bb66-92af02fbb0d1</t>
        </is>
      </c>
      <c r="D11536" t="n">
        <v>55.70616</v>
      </c>
      <c r="E11536" t="n">
        <v>37.75531</v>
      </c>
      <c r="F11536" t="inlineStr"/>
      <c r="G11536" t="inlineStr"/>
      <c r="H11536" t="inlineStr"/>
    </row>
    <row r="11537">
      <c r="A11537" t="inlineStr">
        <is>
          <t>bbf67658-ef9e-4774-a1fa-8c1e28596fce.jpg</t>
        </is>
      </c>
      <c r="B11537">
        <f>HYPERLINK("Объекты недвижимости, не соответствующие градостроительным нормам_00-022_Август/bbf67658-ef9e-4774-a1fa-8c1e28596fce.jpg","open")</f>
        <v/>
      </c>
      <c r="C11537" t="inlineStr">
        <is>
          <t>ed2bf0f1-3a66-4913-896e-4420a9796c0b</t>
        </is>
      </c>
      <c r="D11537" t="n">
        <v>55.70548</v>
      </c>
      <c r="E11537" t="n">
        <v>37.58782</v>
      </c>
      <c r="F11537" t="inlineStr"/>
      <c r="G11537" t="inlineStr"/>
      <c r="H11537" t="inlineStr"/>
    </row>
    <row r="11538">
      <c r="A11538" t="inlineStr">
        <is>
          <t>d96d4d75-9c8f-4d67-89fe-72dae7539bca.jpg</t>
        </is>
      </c>
      <c r="B11538">
        <f>HYPERLINK("Объекты недвижимости, не соответствующие градостроительным нормам_00-022_Август/d96d4d75-9c8f-4d67-89fe-72dae7539bca.jpg","open")</f>
        <v/>
      </c>
      <c r="C11538" t="inlineStr">
        <is>
          <t>a28f597e-d1cd-4d3b-b572-c86d033412e9</t>
        </is>
      </c>
      <c r="D11538" t="n">
        <v>55.73681</v>
      </c>
      <c r="E11538" t="n">
        <v>37.40397</v>
      </c>
      <c r="F11538" t="inlineStr"/>
      <c r="G11538" t="inlineStr"/>
      <c r="H11538" t="inlineStr"/>
    </row>
    <row r="11539">
      <c r="A11539" t="inlineStr">
        <is>
          <t>e4738a83-7b4a-4a9f-9327-315acc7b1338.jpg</t>
        </is>
      </c>
      <c r="B11539">
        <f>HYPERLINK("Объекты недвижимости, не соответствующие градостроительным нормам_00-022_Август/e4738a83-7b4a-4a9f-9327-315acc7b1338.jpg","open")</f>
        <v/>
      </c>
      <c r="C11539" t="inlineStr">
        <is>
          <t>036c664f-5408-4fd0-b479-342c00468eeb</t>
        </is>
      </c>
      <c r="D11539" t="n">
        <v>55.73681</v>
      </c>
      <c r="E11539" t="n">
        <v>37.40397</v>
      </c>
      <c r="F11539" t="inlineStr"/>
      <c r="G11539" t="inlineStr"/>
      <c r="H11539" t="inlineStr"/>
    </row>
    <row r="11540">
      <c r="A11540" t="inlineStr">
        <is>
          <t>8ab2f60f-e748-419b-baed-8892a22f8c11.jpg</t>
        </is>
      </c>
      <c r="B11540">
        <f>HYPERLINK("Объекты недвижимости, не соответствующие градостроительным нормам_00-022_Август/8ab2f60f-e748-419b-baed-8892a22f8c11.jpg","open")</f>
        <v/>
      </c>
      <c r="C11540" t="inlineStr">
        <is>
          <t>a28f597e-d1cd-4d3b-b572-c86d033412e9</t>
        </is>
      </c>
      <c r="D11540" t="n">
        <v>55.73681</v>
      </c>
      <c r="E11540" t="n">
        <v>37.40397</v>
      </c>
      <c r="F11540" t="inlineStr"/>
      <c r="G11540" t="inlineStr"/>
      <c r="H11540" t="inlineStr"/>
    </row>
    <row r="11541">
      <c r="A11541" t="inlineStr">
        <is>
          <t>e0f043c5-b827-45e8-8bf6-97b487cc87e9.jpg</t>
        </is>
      </c>
      <c r="B11541">
        <f>HYPERLINK("Объекты недвижимости, не соответствующие градостроительным нормам_00-022_Август/e0f043c5-b827-45e8-8bf6-97b487cc87e9.jpg","open")</f>
        <v/>
      </c>
      <c r="C11541" t="inlineStr">
        <is>
          <t>8beacb4f-617e-4b34-8030-60c4dff5f8d1</t>
        </is>
      </c>
      <c r="D11541" t="n">
        <v>55.73426</v>
      </c>
      <c r="E11541" t="n">
        <v>37.60123</v>
      </c>
      <c r="F11541" t="inlineStr"/>
      <c r="G11541" t="inlineStr"/>
      <c r="H11541" t="inlineStr"/>
    </row>
    <row r="11542">
      <c r="A11542" t="inlineStr">
        <is>
          <t>49d4d919-4284-4d5b-860e-37c6241a314e.jpg</t>
        </is>
      </c>
      <c r="B11542">
        <f>HYPERLINK("Объекты недвижимости, не соответствующие градостроительным нормам_00-022_Август/49d4d919-4284-4d5b-860e-37c6241a314e.jpg","open")</f>
        <v/>
      </c>
      <c r="C11542" t="inlineStr">
        <is>
          <t>8b2675e2-7f40-47a9-a462-7c9feecd299c</t>
        </is>
      </c>
      <c r="D11542" t="n">
        <v>55.87992</v>
      </c>
      <c r="E11542" t="n">
        <v>37.70884</v>
      </c>
      <c r="F11542" t="inlineStr"/>
      <c r="G11542" t="inlineStr"/>
      <c r="H11542" t="inlineStr"/>
    </row>
    <row r="11543">
      <c r="A11543" t="inlineStr">
        <is>
          <t>758c8c8e-13a1-4e87-8fa6-97801bdfd78e.jpg</t>
        </is>
      </c>
      <c r="B11543">
        <f>HYPERLINK("Объекты недвижимости, не соответствующие градостроительным нормам_00-022_Август/758c8c8e-13a1-4e87-8fa6-97801bdfd78e.jpg","open")</f>
        <v/>
      </c>
      <c r="C11543" t="inlineStr">
        <is>
          <t>936502dd-24a4-4256-9fdf-0d8fb72af3ed</t>
        </is>
      </c>
      <c r="D11543" t="n">
        <v>55.71043</v>
      </c>
      <c r="E11543" t="n">
        <v>37.66998</v>
      </c>
      <c r="F11543" t="inlineStr"/>
      <c r="G11543" t="inlineStr"/>
      <c r="H11543" t="inlineStr"/>
    </row>
    <row r="11544">
      <c r="A11544" t="inlineStr">
        <is>
          <t>f026864e-6294-47aa-b0b9-097dc1f02cb9.jpg</t>
        </is>
      </c>
      <c r="B11544">
        <f>HYPERLINK("Объекты недвижимости, не соответствующие градостроительным нормам_00-022_Август/f026864e-6294-47aa-b0b9-097dc1f02cb9.jpg","open")</f>
        <v/>
      </c>
      <c r="C11544" t="inlineStr">
        <is>
          <t>57aae8a4-582b-4309-8045-c8127a9f86ae</t>
        </is>
      </c>
      <c r="D11544" t="n">
        <v>55.76085</v>
      </c>
      <c r="E11544" t="n">
        <v>37.78387</v>
      </c>
      <c r="F11544" t="inlineStr"/>
      <c r="G11544" t="inlineStr"/>
      <c r="H11544" t="inlineStr"/>
    </row>
    <row r="11545">
      <c r="A11545" t="inlineStr">
        <is>
          <t>66e8b52a-852b-458b-8655-e29924cfab88.jpg</t>
        </is>
      </c>
      <c r="B11545">
        <f>HYPERLINK("Объекты недвижимости, не соответствующие градостроительным нормам_00-022_Август/66e8b52a-852b-458b-8655-e29924cfab88.jpg","open")</f>
        <v/>
      </c>
      <c r="C11545" t="inlineStr">
        <is>
          <t>57aae8a4-582b-4309-8045-c8127a9f86ae</t>
        </is>
      </c>
      <c r="D11545" t="n">
        <v>55.76066</v>
      </c>
      <c r="E11545" t="n">
        <v>37.78372</v>
      </c>
      <c r="F11545" t="inlineStr"/>
      <c r="G11545" t="inlineStr"/>
      <c r="H11545" t="inlineStr"/>
    </row>
    <row r="11546">
      <c r="A11546" t="inlineStr">
        <is>
          <t>d19518e0-34e2-455a-af4c-2120f374de65.jpg</t>
        </is>
      </c>
      <c r="B11546">
        <f>HYPERLINK("Объекты недвижимости, не соответствующие градостроительным нормам_00-022_Август/d19518e0-34e2-455a-af4c-2120f374de65.jpg","open")</f>
        <v/>
      </c>
      <c r="C11546" t="inlineStr">
        <is>
          <t>685d9054-b74f-49ab-857b-109fd2cec80d</t>
        </is>
      </c>
      <c r="D11546" t="n">
        <v>55.6199</v>
      </c>
      <c r="E11546" t="n">
        <v>37.49561</v>
      </c>
      <c r="F11546" t="inlineStr"/>
      <c r="G11546" t="inlineStr"/>
      <c r="H11546" t="inlineStr"/>
    </row>
    <row r="11547">
      <c r="A11547" t="inlineStr">
        <is>
          <t>4c23558b-ade6-4d82-a603-c7d78a185724.jpg</t>
        </is>
      </c>
      <c r="B11547">
        <f>HYPERLINK("Объекты недвижимости, не соответствующие градостроительным нормам_00-022_Август/4c23558b-ade6-4d82-a603-c7d78a185724.jpg","open")</f>
        <v/>
      </c>
      <c r="C11547" t="inlineStr">
        <is>
          <t>036c664f-5408-4fd0-b479-342c00468eeb</t>
        </is>
      </c>
      <c r="D11547" t="n">
        <v>55.73681</v>
      </c>
      <c r="E11547" t="n">
        <v>37.40397</v>
      </c>
      <c r="F11547" t="inlineStr"/>
      <c r="G11547" t="inlineStr"/>
      <c r="H11547" t="inlineStr"/>
    </row>
    <row r="11548">
      <c r="A11548" t="inlineStr">
        <is>
          <t>8ee0f434-7ac0-4475-80bb-439abef00564.jpg</t>
        </is>
      </c>
      <c r="B11548">
        <f>HYPERLINK("Объекты недвижимости, не соответствующие градостроительным нормам_00-022_Август/8ee0f434-7ac0-4475-80bb-439abef00564.jpg","open")</f>
        <v/>
      </c>
      <c r="C11548" t="inlineStr">
        <is>
          <t>a28f597e-d1cd-4d3b-b572-c86d033412e9</t>
        </is>
      </c>
      <c r="D11548" t="n">
        <v>55.73681</v>
      </c>
      <c r="E11548" t="n">
        <v>37.40397</v>
      </c>
      <c r="F11548" t="inlineStr"/>
      <c r="G11548" t="inlineStr"/>
      <c r="H11548" t="inlineStr"/>
    </row>
    <row r="11549">
      <c r="A11549" t="inlineStr">
        <is>
          <t>1b903d10-fc0d-4671-8e6f-2ec7f2fcf6ea.jpg</t>
        </is>
      </c>
      <c r="B11549">
        <f>HYPERLINK("Объекты недвижимости, не соответствующие градостроительным нормам_00-022_Август/1b903d10-fc0d-4671-8e6f-2ec7f2fcf6ea.jpg","open")</f>
        <v/>
      </c>
      <c r="C11549" t="inlineStr">
        <is>
          <t>5e5b9944-4f9e-4223-bf96-0bc0c8a93dfa</t>
        </is>
      </c>
      <c r="D11549" t="n">
        <v>55.81215</v>
      </c>
      <c r="E11549" t="n">
        <v>37.51658</v>
      </c>
      <c r="F11549" t="inlineStr"/>
      <c r="G11549" t="inlineStr"/>
      <c r="H11549" t="inlineStr"/>
    </row>
    <row r="11550">
      <c r="A11550" t="inlineStr">
        <is>
          <t>6a3a5043-6d21-4f8c-b05e-1459e11eaeaa.jpg</t>
        </is>
      </c>
      <c r="B11550">
        <f>HYPERLINK("Объекты недвижимости, не соответствующие градостроительным нормам_00-022_Август/6a3a5043-6d21-4f8c-b05e-1459e11eaeaa.jpg","open")</f>
        <v/>
      </c>
      <c r="C11550" t="inlineStr">
        <is>
          <t>8cde1fd0-eca1-4510-86ab-3c743b65fdfc</t>
        </is>
      </c>
      <c r="D11550" t="n">
        <v>55.74691</v>
      </c>
      <c r="E11550" t="n">
        <v>37.73842</v>
      </c>
      <c r="F11550" t="inlineStr"/>
      <c r="G11550" t="inlineStr"/>
      <c r="H11550" t="inlineStr"/>
    </row>
    <row r="11551">
      <c r="A11551" t="inlineStr">
        <is>
          <t>276ecfad-a5f8-4dc6-b1fa-43d4b450adee.jpg</t>
        </is>
      </c>
      <c r="B11551">
        <f>HYPERLINK("Объекты недвижимости, не соответствующие градостроительным нормам_00-022_Август/276ecfad-a5f8-4dc6-b1fa-43d4b450adee.jpg","open")</f>
        <v/>
      </c>
      <c r="C11551" t="inlineStr">
        <is>
          <t>57aae8a4-582b-4309-8045-c8127a9f86ae</t>
        </is>
      </c>
      <c r="D11551" t="n">
        <v>55.76104</v>
      </c>
      <c r="E11551" t="n">
        <v>37.78403</v>
      </c>
      <c r="F11551" t="inlineStr"/>
      <c r="G11551" t="inlineStr"/>
      <c r="H11551" t="inlineStr"/>
    </row>
    <row r="11552">
      <c r="A11552" t="inlineStr">
        <is>
          <t>0fbc1410-6f95-4e21-b532-690eb71c808e.jpg</t>
        </is>
      </c>
      <c r="B11552">
        <f>HYPERLINK("Объекты недвижимости, не соответствующие градостроительным нормам_00-022_Август/0fbc1410-6f95-4e21-b532-690eb71c808e.jpg","open")</f>
        <v/>
      </c>
      <c r="C11552" t="inlineStr">
        <is>
          <t>acedacc2-0d8b-4fc1-9622-25621a89d071</t>
        </is>
      </c>
      <c r="D11552" t="n">
        <v>55.761</v>
      </c>
      <c r="E11552" t="n">
        <v>37.78401</v>
      </c>
      <c r="F11552" t="inlineStr"/>
      <c r="G11552" t="inlineStr"/>
      <c r="H11552" t="inlineStr"/>
    </row>
    <row r="11553">
      <c r="A11553" t="inlineStr">
        <is>
          <t>078ada64-2990-4fa2-8c43-cf0381c3a518.jpg</t>
        </is>
      </c>
      <c r="B11553">
        <f>HYPERLINK("Объекты недвижимости, не соответствующие градостроительным нормам_00-022_Август/078ada64-2990-4fa2-8c43-cf0381c3a518.jpg","open")</f>
        <v/>
      </c>
      <c r="C11553" t="inlineStr">
        <is>
          <t>dd22c7c9-0046-46d8-8631-55150dbf8ae5</t>
        </is>
      </c>
      <c r="D11553" t="n">
        <v>55.72266</v>
      </c>
      <c r="E11553" t="n">
        <v>37.44614</v>
      </c>
      <c r="F11553" t="inlineStr"/>
      <c r="G11553" t="inlineStr"/>
      <c r="H11553" t="inlineStr"/>
    </row>
    <row r="11554">
      <c r="A11554" t="inlineStr">
        <is>
          <t>03f00dc4-d4af-4601-b079-e8339682ca99.jpg</t>
        </is>
      </c>
      <c r="B11554">
        <f>HYPERLINK("Объекты недвижимости, не соответствующие градостроительным нормам_00-022_Август/03f00dc4-d4af-4601-b079-e8339682ca99.jpg","open")</f>
        <v/>
      </c>
      <c r="C11554" t="inlineStr">
        <is>
          <t>b6b3590f-f506-4399-8205-e7ac710132e7</t>
        </is>
      </c>
      <c r="D11554" t="n">
        <v>55.79603</v>
      </c>
      <c r="E11554" t="n">
        <v>37.5434</v>
      </c>
      <c r="F11554" t="inlineStr"/>
      <c r="G11554" t="inlineStr"/>
      <c r="H11554" t="inlineStr"/>
    </row>
    <row r="11555">
      <c r="A11555" t="inlineStr">
        <is>
          <t>74d47dee-95e1-4414-9661-ee6b5247abc0.jpg</t>
        </is>
      </c>
      <c r="B11555">
        <f>HYPERLINK("Объекты недвижимости, не соответствующие градостроительным нормам_00-022_Август/74d47dee-95e1-4414-9661-ee6b5247abc0.jpg","open")</f>
        <v/>
      </c>
      <c r="C11555" t="inlineStr">
        <is>
          <t>91248771-2c4d-44f3-b3cf-d536bd4ae73c</t>
        </is>
      </c>
      <c r="D11555" t="n">
        <v>55.97058</v>
      </c>
      <c r="E11555" t="n">
        <v>37.39977</v>
      </c>
      <c r="F11555" t="inlineStr"/>
      <c r="G11555" t="inlineStr"/>
      <c r="H11555" t="inlineStr"/>
    </row>
    <row r="11556">
      <c r="A11556" t="inlineStr">
        <is>
          <t>153b8f90-0f18-4820-9f23-5f02847f34d6.jpg</t>
        </is>
      </c>
      <c r="B11556">
        <f>HYPERLINK("Объекты недвижимости, не соответствующие градостроительным нормам_00-022_Август/153b8f90-0f18-4820-9f23-5f02847f34d6.jpg","open")</f>
        <v/>
      </c>
      <c r="C11556" t="inlineStr">
        <is>
          <t>b6b3590f-f506-4399-8205-e7ac710132e7</t>
        </is>
      </c>
      <c r="D11556" t="n">
        <v>55.7961</v>
      </c>
      <c r="E11556" t="n">
        <v>37.54348</v>
      </c>
      <c r="F11556" t="inlineStr"/>
      <c r="G11556" t="inlineStr"/>
      <c r="H11556" t="inlineStr"/>
    </row>
    <row r="11557">
      <c r="A11557" t="inlineStr">
        <is>
          <t>bc5952da-4013-472c-b2cf-df94b5e62524.jpg</t>
        </is>
      </c>
      <c r="B11557">
        <f>HYPERLINK("Объекты недвижимости, не соответствующие градостроительным нормам_00-022_Август/bc5952da-4013-472c-b2cf-df94b5e62524.jpg","open")</f>
        <v/>
      </c>
      <c r="C11557" t="inlineStr">
        <is>
          <t>57aae8a4-582b-4309-8045-c8127a9f86ae</t>
        </is>
      </c>
      <c r="D11557" t="n">
        <v>55.7604</v>
      </c>
      <c r="E11557" t="n">
        <v>37.78072</v>
      </c>
      <c r="F11557" t="inlineStr"/>
      <c r="G11557" t="inlineStr"/>
      <c r="H11557" t="inlineStr"/>
    </row>
    <row r="11558">
      <c r="A11558" t="inlineStr">
        <is>
          <t>aeba7ea5-fdf4-40d9-a0c4-d00141bb46b6.jpg</t>
        </is>
      </c>
      <c r="B11558">
        <f>HYPERLINK("Объекты недвижимости, не соответствующие градостроительным нормам_00-022_Август/aeba7ea5-fdf4-40d9-a0c4-d00141bb46b6.jpg","open")</f>
        <v/>
      </c>
      <c r="C11558" t="inlineStr">
        <is>
          <t>fb9a37cc-57a6-447c-98bb-0b299f09c809</t>
        </is>
      </c>
      <c r="D11558" t="n">
        <v>55.79243</v>
      </c>
      <c r="E11558" t="n">
        <v>37.59154</v>
      </c>
      <c r="F11558" t="inlineStr"/>
      <c r="G11558" t="inlineStr"/>
      <c r="H11558" t="inlineStr"/>
    </row>
    <row r="11559">
      <c r="A11559" t="inlineStr">
        <is>
          <t>8c83a4bc-dcfe-4776-9c32-82a934d5708f.jpg</t>
        </is>
      </c>
      <c r="B11559">
        <f>HYPERLINK("Объекты недвижимости, не соответствующие градостроительным нормам_00-022_Август/8c83a4bc-dcfe-4776-9c32-82a934d5708f.jpg","open")</f>
        <v/>
      </c>
      <c r="C11559" t="inlineStr">
        <is>
          <t>a28f597e-d1cd-4d3b-b572-c86d033412e9</t>
        </is>
      </c>
      <c r="D11559" t="n">
        <v>55.73387</v>
      </c>
      <c r="E11559" t="n">
        <v>37.40052</v>
      </c>
      <c r="F11559" t="inlineStr"/>
      <c r="G11559" t="inlineStr"/>
      <c r="H11559" t="inlineStr"/>
    </row>
    <row r="11560">
      <c r="A11560" t="inlineStr">
        <is>
          <t>6fd68dc0-8e1a-487a-9c32-fd6f9a16281e.jpg</t>
        </is>
      </c>
      <c r="B11560">
        <f>HYPERLINK("Объекты недвижимости, не соответствующие градостроительным нормам_00-022_Август/6fd68dc0-8e1a-487a-9c32-fd6f9a16281e.jpg","open")</f>
        <v/>
      </c>
      <c r="C11560" t="inlineStr">
        <is>
          <t>036c664f-5408-4fd0-b479-342c00468eeb</t>
        </is>
      </c>
      <c r="D11560" t="n">
        <v>55.73386</v>
      </c>
      <c r="E11560" t="n">
        <v>37.40065</v>
      </c>
      <c r="F11560" t="inlineStr"/>
      <c r="G11560" t="inlineStr"/>
      <c r="H11560" t="inlineStr"/>
    </row>
    <row r="11561">
      <c r="A11561" t="inlineStr">
        <is>
          <t>1631c99e-d6f2-4930-b0f1-77ff75dfdf97.jpg</t>
        </is>
      </c>
      <c r="B11561">
        <f>HYPERLINK("Объекты недвижимости, не соответствующие градостроительным нормам_00-022_Август/1631c99e-d6f2-4930-b0f1-77ff75dfdf97.jpg","open")</f>
        <v/>
      </c>
      <c r="C11561" t="inlineStr">
        <is>
          <t>93848fc8-17e7-4748-9ebc-c7e379e11d2f</t>
        </is>
      </c>
      <c r="D11561" t="n">
        <v>55.86567</v>
      </c>
      <c r="E11561" t="n">
        <v>37.65595</v>
      </c>
      <c r="F11561" t="inlineStr"/>
      <c r="G11561" t="inlineStr"/>
      <c r="H11561" t="inlineStr"/>
    </row>
    <row r="11562">
      <c r="A11562" t="inlineStr">
        <is>
          <t>81c85222-6902-4876-983e-c210c3010bed.jpg</t>
        </is>
      </c>
      <c r="B11562">
        <f>HYPERLINK("Объекты недвижимости, не соответствующие градостроительным нормам_00-022_Август/81c85222-6902-4876-983e-c210c3010bed.jpg","open")</f>
        <v/>
      </c>
      <c r="C11562" t="inlineStr">
        <is>
          <t>dd22c7c9-0046-46d8-8631-55150dbf8ae5</t>
        </is>
      </c>
      <c r="D11562" t="n">
        <v>55.97266</v>
      </c>
      <c r="E11562" t="n">
        <v>37.39708</v>
      </c>
      <c r="F11562" t="inlineStr"/>
      <c r="G11562" t="inlineStr"/>
      <c r="H11562" t="inlineStr"/>
    </row>
    <row r="11563">
      <c r="A11563" t="inlineStr">
        <is>
          <t>c9fdc157-82bf-4c37-a710-5dad07e39502.jpg</t>
        </is>
      </c>
      <c r="B11563">
        <f>HYPERLINK("Объекты недвижимости, не соответствующие градостроительным нормам_00-022_Август/c9fdc157-82bf-4c37-a710-5dad07e39502.jpg","open")</f>
        <v/>
      </c>
      <c r="C11563" t="inlineStr">
        <is>
          <t>2acfb2da-e3f6-464c-bd17-4b713522c142</t>
        </is>
      </c>
      <c r="D11563" t="n">
        <v>55.80014</v>
      </c>
      <c r="E11563" t="n">
        <v>37.61212</v>
      </c>
      <c r="F11563" t="inlineStr"/>
      <c r="G11563" t="inlineStr"/>
      <c r="H11563" t="inlineStr"/>
    </row>
    <row r="11564">
      <c r="A11564" t="inlineStr">
        <is>
          <t>297313a8-7704-4315-a700-6fbf9484b389.jpg</t>
        </is>
      </c>
      <c r="B11564">
        <f>HYPERLINK("Объекты недвижимости, не соответствующие градостроительным нормам_00-022_Август/297313a8-7704-4315-a700-6fbf9484b389.jpg","open")</f>
        <v/>
      </c>
      <c r="C11564" t="inlineStr">
        <is>
          <t>56702d00-3d38-4721-8f83-3846a59c1e44</t>
        </is>
      </c>
      <c r="D11564" t="n">
        <v>55.81753</v>
      </c>
      <c r="E11564" t="n">
        <v>37.77211</v>
      </c>
      <c r="F11564" t="inlineStr"/>
      <c r="G11564" t="inlineStr"/>
      <c r="H11564" t="inlineStr"/>
    </row>
    <row r="11565">
      <c r="A11565" t="inlineStr">
        <is>
          <t>74d4318a-104a-40af-91cc-e9447ff9f93d.jpg</t>
        </is>
      </c>
      <c r="B11565">
        <f>HYPERLINK("Объекты недвижимости, не соответствующие градостроительным нормам_00-022_Август/74d4318a-104a-40af-91cc-e9447ff9f93d.jpg","open")</f>
        <v/>
      </c>
      <c r="C11565" t="inlineStr">
        <is>
          <t>acedacc2-0d8b-4fc1-9622-25621a89d071</t>
        </is>
      </c>
      <c r="D11565" t="n">
        <v>55.76448</v>
      </c>
      <c r="E11565" t="n">
        <v>37.78411</v>
      </c>
      <c r="F11565" t="inlineStr"/>
      <c r="G11565" t="inlineStr"/>
      <c r="H11565" t="inlineStr"/>
    </row>
    <row r="11566">
      <c r="A11566" t="inlineStr">
        <is>
          <t>0b7aa301-6f13-4125-98fc-873482438fa9.jpg</t>
        </is>
      </c>
      <c r="B11566">
        <f>HYPERLINK("Объекты недвижимости, не соответствующие градостроительным нормам_00-022_Август/0b7aa301-6f13-4125-98fc-873482438fa9.jpg","open")</f>
        <v/>
      </c>
      <c r="C11566" t="inlineStr">
        <is>
          <t>030e8755-17c1-44eb-9530-707d0d3121cb</t>
        </is>
      </c>
      <c r="D11566" t="n">
        <v>55.60335</v>
      </c>
      <c r="E11566" t="n">
        <v>37.73118</v>
      </c>
      <c r="F11566" t="inlineStr"/>
      <c r="G11566" t="inlineStr"/>
      <c r="H11566" t="inlineStr"/>
    </row>
    <row r="11567">
      <c r="A11567" t="inlineStr">
        <is>
          <t>f261f627-5709-4bab-b4b4-07c6e9975da2.jpg</t>
        </is>
      </c>
      <c r="B11567">
        <f>HYPERLINK("Объекты недвижимости, не соответствующие градостроительным нормам_00-022_Август/f261f627-5709-4bab-b4b4-07c6e9975da2.jpg","open")</f>
        <v/>
      </c>
      <c r="C11567" t="inlineStr">
        <is>
          <t>936502dd-24a4-4256-9fdf-0d8fb72af3ed</t>
        </is>
      </c>
      <c r="D11567" t="n">
        <v>55.60335</v>
      </c>
      <c r="E11567" t="n">
        <v>37.73118</v>
      </c>
      <c r="F11567" t="inlineStr"/>
      <c r="G11567" t="inlineStr"/>
      <c r="H11567" t="inlineStr"/>
    </row>
    <row r="11568">
      <c r="A11568" t="inlineStr">
        <is>
          <t>d0837423-bc5e-445d-92f3-c423ec6f3d27.jpg</t>
        </is>
      </c>
      <c r="B11568">
        <f>HYPERLINK("Объекты недвижимости, не соответствующие градостроительным нормам_00-022_Август/d0837423-bc5e-445d-92f3-c423ec6f3d27.jpg","open")</f>
        <v/>
      </c>
      <c r="C11568" t="inlineStr">
        <is>
          <t>57aae8a4-582b-4309-8045-c8127a9f86ae</t>
        </is>
      </c>
      <c r="D11568" t="n">
        <v>55.76335</v>
      </c>
      <c r="E11568" t="n">
        <v>37.78282</v>
      </c>
      <c r="F11568" t="inlineStr"/>
      <c r="G11568" t="inlineStr"/>
      <c r="H11568" t="inlineStr"/>
    </row>
    <row r="11569">
      <c r="A11569" t="inlineStr">
        <is>
          <t>cf3d4d24-9da2-4746-82ba-b0c4da578fb2.jpg</t>
        </is>
      </c>
      <c r="B11569">
        <f>HYPERLINK("Объекты недвижимости, не соответствующие градостроительным нормам_00-022_Август/cf3d4d24-9da2-4746-82ba-b0c4da578fb2.jpg","open")</f>
        <v/>
      </c>
      <c r="C11569" t="inlineStr">
        <is>
          <t>b0b7ea82-53be-40d0-b992-e2fd18611d5c</t>
        </is>
      </c>
      <c r="D11569" t="n">
        <v>55.70446</v>
      </c>
      <c r="E11569" t="n">
        <v>37.75421</v>
      </c>
      <c r="F11569" t="inlineStr"/>
      <c r="G11569" t="inlineStr"/>
      <c r="H11569" t="inlineStr"/>
    </row>
    <row r="11570">
      <c r="A11570" t="inlineStr">
        <is>
          <t>75261374-8e66-40b7-a311-29576519d227.jpg</t>
        </is>
      </c>
      <c r="B11570">
        <f>HYPERLINK("Объекты недвижимости, не соответствующие градостроительным нормам_00-022_Август/75261374-8e66-40b7-a311-29576519d227.jpg","open")</f>
        <v/>
      </c>
      <c r="C11570" t="inlineStr">
        <is>
          <t>036c664f-5408-4fd0-b479-342c00468eeb</t>
        </is>
      </c>
      <c r="D11570" t="n">
        <v>55.72888</v>
      </c>
      <c r="E11570" t="n">
        <v>37.41237</v>
      </c>
      <c r="F11570" t="inlineStr"/>
      <c r="G11570" t="inlineStr"/>
      <c r="H11570" t="inlineStr"/>
    </row>
    <row r="11571">
      <c r="A11571" t="inlineStr">
        <is>
          <t>bc874dc3-8a4e-4255-ac80-7ca90975fe3c.jpg</t>
        </is>
      </c>
      <c r="B11571">
        <f>HYPERLINK("Объекты недвижимости, не соответствующие градостроительным нормам_00-022_Август/bc874dc3-8a4e-4255-ac80-7ca90975fe3c.jpg","open")</f>
        <v/>
      </c>
      <c r="C11571" t="inlineStr">
        <is>
          <t>8cde1fd0-eca1-4510-86ab-3c743b65fdfc</t>
        </is>
      </c>
      <c r="D11571" t="n">
        <v>55.60162</v>
      </c>
      <c r="E11571" t="n">
        <v>37.64785</v>
      </c>
      <c r="F11571" t="inlineStr"/>
      <c r="G11571" t="inlineStr"/>
      <c r="H11571" t="inlineStr"/>
    </row>
    <row r="11572">
      <c r="A11572" t="inlineStr">
        <is>
          <t>4069269e-63f2-4f26-8c8a-2a3902e9b202.jpg</t>
        </is>
      </c>
      <c r="B11572">
        <f>HYPERLINK("Объекты недвижимости, не соответствующие градостроительным нормам_00-022_Август/4069269e-63f2-4f26-8c8a-2a3902e9b202.jpg","open")</f>
        <v/>
      </c>
      <c r="C11572" t="inlineStr">
        <is>
          <t>57aae8a4-582b-4309-8045-c8127a9f86ae</t>
        </is>
      </c>
      <c r="D11572" t="n">
        <v>55.7635</v>
      </c>
      <c r="E11572" t="n">
        <v>37.78397</v>
      </c>
      <c r="F11572" t="inlineStr"/>
      <c r="G11572" t="inlineStr"/>
      <c r="H11572" t="inlineStr"/>
    </row>
    <row r="11573">
      <c r="A11573" t="inlineStr">
        <is>
          <t>3db3e1eb-f9a2-443e-b1e3-37e56394982e.jpg</t>
        </is>
      </c>
      <c r="B11573">
        <f>HYPERLINK("Объекты недвижимости, не соответствующие градостроительным нормам_00-022_Август/3db3e1eb-f9a2-443e-b1e3-37e56394982e.jpg","open")</f>
        <v/>
      </c>
      <c r="C11573" t="inlineStr">
        <is>
          <t>57aae8a4-582b-4309-8045-c8127a9f86ae</t>
        </is>
      </c>
      <c r="D11573" t="n">
        <v>55.76338</v>
      </c>
      <c r="E11573" t="n">
        <v>37.78341</v>
      </c>
      <c r="F11573" t="inlineStr"/>
      <c r="G11573" t="inlineStr"/>
      <c r="H11573" t="inlineStr"/>
    </row>
    <row r="11574">
      <c r="A11574" t="inlineStr">
        <is>
          <t>437bb389-2790-4be0-a631-dd00d7dd50e0.jpg</t>
        </is>
      </c>
      <c r="B11574">
        <f>HYPERLINK("Объекты недвижимости, не соответствующие градостроительным нормам_00-022_Август/437bb389-2790-4be0-a631-dd00d7dd50e0.jpg","open")</f>
        <v/>
      </c>
      <c r="C11574" t="inlineStr">
        <is>
          <t>50e4626c-a80e-42ab-b999-b5092c2c063f</t>
        </is>
      </c>
      <c r="D11574" t="n">
        <v>55.79941</v>
      </c>
      <c r="E11574" t="n">
        <v>37.73447</v>
      </c>
      <c r="F11574" t="inlineStr"/>
      <c r="G11574" t="inlineStr"/>
      <c r="H11574" t="inlineStr"/>
    </row>
    <row r="11575">
      <c r="A11575" t="inlineStr">
        <is>
          <t>7992f459-93c4-40d0-b4da-f9d1c341f1be.jpg</t>
        </is>
      </c>
      <c r="B11575">
        <f>HYPERLINK("Объекты недвижимости, не соответствующие градостроительным нормам_00-022_Август/7992f459-93c4-40d0-b4da-f9d1c341f1be.jpg","open")</f>
        <v/>
      </c>
      <c r="C11575" t="inlineStr">
        <is>
          <t>a28f597e-d1cd-4d3b-b572-c86d033412e9</t>
        </is>
      </c>
      <c r="D11575" t="n">
        <v>55.72927</v>
      </c>
      <c r="E11575" t="n">
        <v>37.41125</v>
      </c>
      <c r="F11575" t="inlineStr"/>
      <c r="G11575" t="inlineStr"/>
      <c r="H11575" t="inlineStr"/>
    </row>
    <row r="11576">
      <c r="A11576" t="inlineStr">
        <is>
          <t>833a2f6b-9f66-4d0c-b5e6-f6c654b58f20.jpg</t>
        </is>
      </c>
      <c r="B11576">
        <f>HYPERLINK("Объекты недвижимости, не соответствующие градостроительным нормам_00-022_Август/833a2f6b-9f66-4d0c-b5e6-f6c654b58f20.jpg","open")</f>
        <v/>
      </c>
      <c r="C11576" t="inlineStr">
        <is>
          <t>936502dd-24a4-4256-9fdf-0d8fb72af3ed</t>
        </is>
      </c>
      <c r="D11576" t="n">
        <v>55.6049</v>
      </c>
      <c r="E11576" t="n">
        <v>37.72552</v>
      </c>
      <c r="F11576" t="inlineStr"/>
      <c r="G11576" t="inlineStr"/>
      <c r="H11576" t="inlineStr"/>
    </row>
    <row r="11577">
      <c r="A11577" t="inlineStr">
        <is>
          <t>f2684ea9-10ca-4ca1-a427-0694b79b67ab.jpg</t>
        </is>
      </c>
      <c r="B11577">
        <f>HYPERLINK("Объекты недвижимости, не соответствующие градостроительным нормам_00-022_Август/f2684ea9-10ca-4ca1-a427-0694b79b67ab.jpg","open")</f>
        <v/>
      </c>
      <c r="C11577" t="inlineStr">
        <is>
          <t>f389b777-2837-46f0-983f-56af24850601</t>
        </is>
      </c>
      <c r="D11577" t="n">
        <v>55.74142</v>
      </c>
      <c r="E11577" t="n">
        <v>37.60047</v>
      </c>
      <c r="F11577" t="inlineStr"/>
      <c r="G11577" t="inlineStr"/>
      <c r="H11577" t="inlineStr"/>
    </row>
    <row r="11578">
      <c r="A11578" t="inlineStr">
        <is>
          <t>4b097123-ecbd-4a35-a76a-24311bf87dfe.jpg</t>
        </is>
      </c>
      <c r="B11578">
        <f>HYPERLINK("Объекты недвижимости, не соответствующие градостроительным нормам_00-022_Август/4b097123-ecbd-4a35-a76a-24311bf87dfe.jpg","open")</f>
        <v/>
      </c>
      <c r="C11578" t="inlineStr">
        <is>
          <t>8cde1fd0-eca1-4510-86ab-3c743b65fdfc</t>
        </is>
      </c>
      <c r="D11578" t="n">
        <v>55.59478</v>
      </c>
      <c r="E11578" t="n">
        <v>37.62696</v>
      </c>
      <c r="F11578" t="inlineStr"/>
      <c r="G11578" t="inlineStr"/>
      <c r="H11578" t="inlineStr"/>
    </row>
    <row r="11579">
      <c r="A11579" t="inlineStr">
        <is>
          <t>3e3bc8e3-5aea-4e26-aeab-fc70738cecff.jpg</t>
        </is>
      </c>
      <c r="B11579">
        <f>HYPERLINK("Объекты недвижимости, не соответствующие градостроительным нормам_00-022_Август/3e3bc8e3-5aea-4e26-aeab-fc70738cecff.jpg","open")</f>
        <v/>
      </c>
      <c r="C11579" t="inlineStr">
        <is>
          <t>1c951e11-4940-43c6-a447-394097e5609a</t>
        </is>
      </c>
      <c r="D11579" t="n">
        <v>55.59477</v>
      </c>
      <c r="E11579" t="n">
        <v>37.62701</v>
      </c>
      <c r="F11579" t="inlineStr"/>
      <c r="G11579" t="inlineStr"/>
      <c r="H11579" t="inlineStr"/>
    </row>
    <row r="11580">
      <c r="A11580" t="inlineStr">
        <is>
          <t>6b4649aa-2045-48a7-84cd-49ff851fdef2.jpg</t>
        </is>
      </c>
      <c r="B11580">
        <f>HYPERLINK("Объекты недвижимости, не соответствующие градостроительным нормам_00-022_Август/6b4649aa-2045-48a7-84cd-49ff851fdef2.jpg","open")</f>
        <v/>
      </c>
      <c r="C11580" t="inlineStr">
        <is>
          <t>acedacc2-0d8b-4fc1-9622-25621a89d071</t>
        </is>
      </c>
      <c r="D11580" t="n">
        <v>55.76422</v>
      </c>
      <c r="E11580" t="n">
        <v>37.78611</v>
      </c>
      <c r="F11580" t="inlineStr"/>
      <c r="G11580" t="inlineStr"/>
      <c r="H11580" t="inlineStr"/>
    </row>
    <row r="11581">
      <c r="A11581" t="inlineStr">
        <is>
          <t>d2bbffd4-2ea2-4718-a150-58c7215c6db0.jpg</t>
        </is>
      </c>
      <c r="B11581">
        <f>HYPERLINK("Объекты недвижимости, не соответствующие градостроительным нормам_00-022_Август/d2bbffd4-2ea2-4718-a150-58c7215c6db0.jpg","open")</f>
        <v/>
      </c>
      <c r="C11581" t="inlineStr">
        <is>
          <t>57aae8a4-582b-4309-8045-c8127a9f86ae</t>
        </is>
      </c>
      <c r="D11581" t="n">
        <v>55.76421</v>
      </c>
      <c r="E11581" t="n">
        <v>37.78607</v>
      </c>
      <c r="F11581" t="inlineStr"/>
      <c r="G11581" t="inlineStr"/>
      <c r="H11581" t="inlineStr"/>
    </row>
    <row r="11582">
      <c r="A11582" t="inlineStr">
        <is>
          <t>527344cc-0316-4d73-8fa4-0ddbd6400c6b.jpg</t>
        </is>
      </c>
      <c r="B11582">
        <f>HYPERLINK("Объекты недвижимости, не соответствующие градостроительным нормам_00-022_Август/527344cc-0316-4d73-8fa4-0ddbd6400c6b.jpg","open")</f>
        <v/>
      </c>
      <c r="C11582" t="inlineStr">
        <is>
          <t>797901ad-53b1-41b8-99d1-d59d59c863d5</t>
        </is>
      </c>
      <c r="D11582" t="n">
        <v>55.79033</v>
      </c>
      <c r="E11582" t="n">
        <v>37.71084</v>
      </c>
      <c r="F11582" t="inlineStr"/>
      <c r="G11582" t="inlineStr"/>
      <c r="H11582" t="inlineStr"/>
    </row>
    <row r="11583">
      <c r="A11583" t="inlineStr">
        <is>
          <t>74d161d5-8643-43cc-b371-f4d76031cb36.jpg</t>
        </is>
      </c>
      <c r="B11583">
        <f>HYPERLINK("Объекты недвижимости, не соответствующие градостроительным нормам_00-022_Август/74d161d5-8643-43cc-b371-f4d76031cb36.jpg","open")</f>
        <v/>
      </c>
      <c r="C11583" t="inlineStr">
        <is>
          <t>93848fc8-17e7-4748-9ebc-c7e379e11d2f</t>
        </is>
      </c>
      <c r="D11583" t="n">
        <v>55.86711</v>
      </c>
      <c r="E11583" t="n">
        <v>37.67777</v>
      </c>
      <c r="F11583" t="inlineStr"/>
      <c r="G11583" t="inlineStr"/>
      <c r="H11583" t="inlineStr"/>
    </row>
    <row r="11584">
      <c r="A11584" t="inlineStr">
        <is>
          <t>5cb4665d-0493-489f-b87f-63eaa6967668.jpg</t>
        </is>
      </c>
      <c r="B11584">
        <f>HYPERLINK("Объекты недвижимости, не соответствующие градостроительным нормам_00-022_Август/5cb4665d-0493-489f-b87f-63eaa6967668.jpg","open")</f>
        <v/>
      </c>
      <c r="C11584" t="inlineStr">
        <is>
          <t>57aae8a4-582b-4309-8045-c8127a9f86ae</t>
        </is>
      </c>
      <c r="D11584" t="n">
        <v>55.76396</v>
      </c>
      <c r="E11584" t="n">
        <v>37.78651</v>
      </c>
      <c r="F11584" t="inlineStr"/>
      <c r="G11584" t="inlineStr"/>
      <c r="H11584" t="inlineStr"/>
    </row>
    <row r="11585">
      <c r="A11585" t="inlineStr">
        <is>
          <t>906f47fe-452a-439c-a76e-a453f06d5746.jpg</t>
        </is>
      </c>
      <c r="B11585">
        <f>HYPERLINK("Объекты недвижимости, не соответствующие градостроительным нормам_00-022_Август/906f47fe-452a-439c-a76e-a453f06d5746.jpg","open")</f>
        <v/>
      </c>
      <c r="C11585" t="inlineStr">
        <is>
          <t>8996eb30-6497-4318-8a0e-b95314b8172e</t>
        </is>
      </c>
      <c r="D11585" t="n">
        <v>55.73028</v>
      </c>
      <c r="E11585" t="n">
        <v>37.77478</v>
      </c>
      <c r="F11585" t="inlineStr"/>
      <c r="G11585" t="inlineStr"/>
      <c r="H11585" t="inlineStr"/>
    </row>
    <row r="11586">
      <c r="A11586" t="inlineStr">
        <is>
          <t>113eb7ef-9d2b-4d4b-8a99-393317f7435c.jpg</t>
        </is>
      </c>
      <c r="B11586">
        <f>HYPERLINK("Объекты недвижимости, не соответствующие градостроительным нормам_00-022_Август/113eb7ef-9d2b-4d4b-8a99-393317f7435c.jpg","open")</f>
        <v/>
      </c>
      <c r="C11586" t="inlineStr">
        <is>
          <t>93848fc8-17e7-4748-9ebc-c7e379e11d2f</t>
        </is>
      </c>
      <c r="D11586" t="n">
        <v>55.86718</v>
      </c>
      <c r="E11586" t="n">
        <v>37.67776</v>
      </c>
      <c r="F11586" t="inlineStr"/>
      <c r="G11586" t="inlineStr"/>
      <c r="H11586" t="inlineStr"/>
    </row>
    <row r="11587">
      <c r="A11587" t="inlineStr">
        <is>
          <t>cf89088c-5ec2-4c87-b282-5341be81ee1f.jpg</t>
        </is>
      </c>
      <c r="B11587">
        <f>HYPERLINK("Объекты недвижимости, не соответствующие градостроительным нормам_00-022_Август/cf89088c-5ec2-4c87-b282-5341be81ee1f.jpg","open")</f>
        <v/>
      </c>
      <c r="C11587" t="inlineStr">
        <is>
          <t>036c664f-5408-4fd0-b479-342c00468eeb</t>
        </is>
      </c>
      <c r="D11587" t="n">
        <v>55.7317</v>
      </c>
      <c r="E11587" t="n">
        <v>37.41063</v>
      </c>
      <c r="F11587" t="inlineStr"/>
      <c r="G11587" t="inlineStr"/>
      <c r="H11587" t="inlineStr"/>
    </row>
    <row r="11588">
      <c r="A11588" t="inlineStr">
        <is>
          <t>d4f3d818-a72f-4785-b36f-27d729faaf36.jpg</t>
        </is>
      </c>
      <c r="B11588">
        <f>HYPERLINK("Объекты недвижимости, не соответствующие градостроительным нормам_00-022_Август/d4f3d818-a72f-4785-b36f-27d729faaf36.jpg","open")</f>
        <v/>
      </c>
      <c r="C11588" t="inlineStr">
        <is>
          <t>a28f597e-d1cd-4d3b-b572-c86d033412e9</t>
        </is>
      </c>
      <c r="D11588" t="n">
        <v>55.73168</v>
      </c>
      <c r="E11588" t="n">
        <v>37.41061</v>
      </c>
      <c r="F11588" t="inlineStr"/>
      <c r="G11588" t="inlineStr"/>
      <c r="H11588" t="inlineStr"/>
    </row>
    <row r="11589">
      <c r="A11589" t="inlineStr">
        <is>
          <t>1600811f-1199-4b84-a994-16c3bcfc80a3.jpg</t>
        </is>
      </c>
      <c r="B11589">
        <f>HYPERLINK("Объекты недвижимости, не соответствующие градостроительным нормам_00-022_Август/1600811f-1199-4b84-a994-16c3bcfc80a3.jpg","open")</f>
        <v/>
      </c>
      <c r="C11589" t="inlineStr">
        <is>
          <t>50e4626c-a80e-42ab-b999-b5092c2c063f</t>
        </is>
      </c>
      <c r="D11589" t="n">
        <v>55.8049</v>
      </c>
      <c r="E11589" t="n">
        <v>37.71378</v>
      </c>
      <c r="F11589" t="inlineStr"/>
      <c r="G11589" t="inlineStr"/>
      <c r="H11589" t="inlineStr"/>
    </row>
    <row r="11590">
      <c r="A11590" t="inlineStr">
        <is>
          <t>cba6fd0d-d91a-401a-b7a4-c916c1f5c0a1.jpg</t>
        </is>
      </c>
      <c r="B11590">
        <f>HYPERLINK("Объекты недвижимости, не соответствующие градостроительным нормам_00-022_Август/cba6fd0d-d91a-401a-b7a4-c916c1f5c0a1.jpg","open")</f>
        <v/>
      </c>
      <c r="C11590" t="inlineStr">
        <is>
          <t>ffd931da-542f-43e9-979f-5552b17fe3dc</t>
        </is>
      </c>
      <c r="D11590" t="n">
        <v>55.80573</v>
      </c>
      <c r="E11590" t="n">
        <v>37.72173</v>
      </c>
      <c r="F11590" t="inlineStr"/>
      <c r="G11590" t="inlineStr"/>
      <c r="H11590" t="inlineStr"/>
    </row>
    <row r="11591">
      <c r="A11591" t="inlineStr">
        <is>
          <t>60402115-badd-4246-9ce1-3624bc1b8774.jpg</t>
        </is>
      </c>
      <c r="B11591">
        <f>HYPERLINK("Объекты недвижимости, не соответствующие градостроительным нормам_00-022_Август/60402115-badd-4246-9ce1-3624bc1b8774.jpg","open")</f>
        <v/>
      </c>
      <c r="C11591" t="inlineStr">
        <is>
          <t>936502dd-24a4-4256-9fdf-0d8fb72af3ed</t>
        </is>
      </c>
      <c r="D11591" t="n">
        <v>55.6095</v>
      </c>
      <c r="E11591" t="n">
        <v>37.72756</v>
      </c>
      <c r="F11591" t="inlineStr"/>
      <c r="G11591" t="inlineStr"/>
      <c r="H11591" t="inlineStr"/>
    </row>
    <row r="11592">
      <c r="A11592" t="inlineStr">
        <is>
          <t>091d18f6-c17a-48aa-a63a-8b851b698451.jpg</t>
        </is>
      </c>
      <c r="B11592">
        <f>HYPERLINK("Объекты недвижимости, не соответствующие градостроительным нормам_00-022_Август/091d18f6-c17a-48aa-a63a-8b851b698451.jpg","open")</f>
        <v/>
      </c>
      <c r="C11592" t="inlineStr">
        <is>
          <t>936502dd-24a4-4256-9fdf-0d8fb72af3ed</t>
        </is>
      </c>
      <c r="D11592" t="n">
        <v>55.60986</v>
      </c>
      <c r="E11592" t="n">
        <v>37.72638</v>
      </c>
      <c r="F11592" t="inlineStr"/>
      <c r="G11592" t="inlineStr"/>
      <c r="H11592" t="inlineStr"/>
    </row>
    <row r="11593">
      <c r="A11593" t="inlineStr">
        <is>
          <t>e5dbc6ef-2b2f-4079-b3b2-c56aff12f0f9.jpg</t>
        </is>
      </c>
      <c r="B11593">
        <f>HYPERLINK("Объекты недвижимости, не соответствующие градостроительным нормам_00-022_Август/e5dbc6ef-2b2f-4079-b3b2-c56aff12f0f9.jpg","open")</f>
        <v/>
      </c>
      <c r="C11593" t="inlineStr">
        <is>
          <t>8996eb30-6497-4318-8a0e-b95314b8172e</t>
        </is>
      </c>
      <c r="D11593" t="n">
        <v>55.72683</v>
      </c>
      <c r="E11593" t="n">
        <v>37.77912</v>
      </c>
      <c r="F11593" t="inlineStr"/>
      <c r="G11593" t="inlineStr"/>
      <c r="H11593" t="inlineStr"/>
    </row>
    <row r="11594">
      <c r="A11594" t="inlineStr">
        <is>
          <t>d0473da4-7919-4e81-8a9c-62431c2d2832.jpg</t>
        </is>
      </c>
      <c r="B11594">
        <f>HYPERLINK("Объекты недвижимости, не соответствующие градостроительным нормам_00-022_Август/d0473da4-7919-4e81-8a9c-62431c2d2832.jpg","open")</f>
        <v/>
      </c>
      <c r="C11594" t="inlineStr">
        <is>
          <t>a28f597e-d1cd-4d3b-b572-c86d033412e9</t>
        </is>
      </c>
      <c r="D11594" t="n">
        <v>55.73304</v>
      </c>
      <c r="E11594" t="n">
        <v>37.40969</v>
      </c>
      <c r="F11594" t="inlineStr"/>
      <c r="G11594" t="inlineStr"/>
      <c r="H11594" t="inlineStr"/>
    </row>
    <row r="11595">
      <c r="A11595" t="inlineStr">
        <is>
          <t>4358ba37-ba14-4ada-aff7-4158d396f7a2.jpg</t>
        </is>
      </c>
      <c r="B11595">
        <f>HYPERLINK("Объекты недвижимости, не соответствующие градостроительным нормам_00-022_Август/4358ba37-ba14-4ada-aff7-4158d396f7a2.jpg","open")</f>
        <v/>
      </c>
      <c r="C11595" t="inlineStr">
        <is>
          <t>936502dd-24a4-4256-9fdf-0d8fb72af3ed</t>
        </is>
      </c>
      <c r="D11595" t="n">
        <v>55.60999</v>
      </c>
      <c r="E11595" t="n">
        <v>37.73003</v>
      </c>
      <c r="F11595" t="inlineStr"/>
      <c r="G11595" t="inlineStr"/>
      <c r="H11595" t="inlineStr"/>
    </row>
    <row r="11596">
      <c r="A11596" t="inlineStr">
        <is>
          <t>fbade0f6-94ce-43a6-a0c2-52b855d944ed.jpg</t>
        </is>
      </c>
      <c r="B11596">
        <f>HYPERLINK("Объекты недвижимости, не соответствующие градостроительным нормам_00-022_Август/fbade0f6-94ce-43a6-a0c2-52b855d944ed.jpg","open")</f>
        <v/>
      </c>
      <c r="C11596" t="inlineStr">
        <is>
          <t>48b533d5-d106-4175-ac9b-d5ce8d90cccf</t>
        </is>
      </c>
      <c r="D11596" t="n">
        <v>55.72862</v>
      </c>
      <c r="E11596" t="n">
        <v>37.77908</v>
      </c>
      <c r="F11596" t="inlineStr"/>
      <c r="G11596" t="inlineStr"/>
      <c r="H11596" t="inlineStr"/>
    </row>
    <row r="11597">
      <c r="A11597" t="inlineStr">
        <is>
          <t>2310e06f-06a3-41f9-82d4-e337955e19ee.jpg</t>
        </is>
      </c>
      <c r="B11597">
        <f>HYPERLINK("Объекты недвижимости, не соответствующие градостроительным нормам_00-022_Август/2310e06f-06a3-41f9-82d4-e337955e19ee.jpg","open")</f>
        <v/>
      </c>
      <c r="C11597" t="inlineStr">
        <is>
          <t>8996eb30-6497-4318-8a0e-b95314b8172e</t>
        </is>
      </c>
      <c r="D11597" t="n">
        <v>55.72868</v>
      </c>
      <c r="E11597" t="n">
        <v>37.77891</v>
      </c>
      <c r="F11597" t="inlineStr"/>
      <c r="G11597" t="inlineStr"/>
      <c r="H11597" t="inlineStr"/>
    </row>
    <row r="11598">
      <c r="A11598" t="inlineStr">
        <is>
          <t>f0352197-a664-4a5a-acff-5afc5b4fd9af.jpg</t>
        </is>
      </c>
      <c r="B11598">
        <f>HYPERLINK("Объекты недвижимости, не соответствующие градостроительным нормам_00-022_Август/f0352197-a664-4a5a-acff-5afc5b4fd9af.jpg","open")</f>
        <v/>
      </c>
      <c r="C11598" t="inlineStr">
        <is>
          <t>030e8755-17c1-44eb-9530-707d0d3121cb</t>
        </is>
      </c>
      <c r="D11598" t="n">
        <v>55.6101</v>
      </c>
      <c r="E11598" t="n">
        <v>37.73038</v>
      </c>
      <c r="F11598" t="inlineStr"/>
      <c r="G11598" t="inlineStr"/>
      <c r="H11598" t="inlineStr"/>
    </row>
    <row r="11599">
      <c r="A11599" t="inlineStr">
        <is>
          <t>0369623b-dd3f-4c9a-ac4b-3212eafa13f1.jpg</t>
        </is>
      </c>
      <c r="B11599">
        <f>HYPERLINK("Объекты недвижимости, не соответствующие градостроительным нормам_00-022_Август/0369623b-dd3f-4c9a-ac4b-3212eafa13f1.jpg","open")</f>
        <v/>
      </c>
      <c r="C11599" t="inlineStr">
        <is>
          <t>5e5b9944-4f9e-4223-bf96-0bc0c8a93dfa</t>
        </is>
      </c>
      <c r="D11599" t="n">
        <v>55.84445</v>
      </c>
      <c r="E11599" t="n">
        <v>37.50249</v>
      </c>
      <c r="F11599" t="inlineStr"/>
      <c r="G11599" t="inlineStr"/>
      <c r="H11599" t="inlineStr"/>
    </row>
    <row r="11600">
      <c r="A11600" t="inlineStr">
        <is>
          <t>5a034b43-1bc0-469c-a50e-480fa034f5f8.jpg</t>
        </is>
      </c>
      <c r="B11600">
        <f>HYPERLINK("Объекты недвижимости, не соответствующие градостроительным нормам_00-022_Август/5a034b43-1bc0-469c-a50e-480fa034f5f8.jpg","open")</f>
        <v/>
      </c>
      <c r="C11600" t="inlineStr">
        <is>
          <t>936502dd-24a4-4256-9fdf-0d8fb72af3ed</t>
        </is>
      </c>
      <c r="D11600" t="n">
        <v>55.61169</v>
      </c>
      <c r="E11600" t="n">
        <v>37.72969</v>
      </c>
      <c r="F11600" t="inlineStr"/>
      <c r="G11600" t="inlineStr"/>
      <c r="H11600" t="inlineStr"/>
    </row>
    <row r="11601">
      <c r="A11601" t="inlineStr">
        <is>
          <t>ae2dd499-a3c7-4dec-b445-70a3a82cd88d.jpg</t>
        </is>
      </c>
      <c r="B11601">
        <f>HYPERLINK("Объекты недвижимости, не соответствующие градостроительным нормам_00-022_Август/ae2dd499-a3c7-4dec-b445-70a3a82cd88d.jpg","open")</f>
        <v/>
      </c>
      <c r="C11601" t="inlineStr">
        <is>
          <t>030e8755-17c1-44eb-9530-707d0d3121cb</t>
        </is>
      </c>
      <c r="D11601" t="n">
        <v>55.61169</v>
      </c>
      <c r="E11601" t="n">
        <v>37.72952</v>
      </c>
      <c r="F11601" t="inlineStr"/>
      <c r="G11601" t="inlineStr"/>
      <c r="H11601" t="inlineStr"/>
    </row>
    <row r="11602">
      <c r="A11602" t="inlineStr">
        <is>
          <t>f6967ff1-6a27-45ab-85f8-d6be13434d06.jpg</t>
        </is>
      </c>
      <c r="B11602">
        <f>HYPERLINK("Объекты недвижимости, не соответствующие градостроительным нормам_00-022_Август/f6967ff1-6a27-45ab-85f8-d6be13434d06.jpg","open")</f>
        <v/>
      </c>
      <c r="C11602" t="inlineStr">
        <is>
          <t>8996eb30-6497-4318-8a0e-b95314b8172e</t>
        </is>
      </c>
      <c r="D11602" t="n">
        <v>55.72683</v>
      </c>
      <c r="E11602" t="n">
        <v>37.77909</v>
      </c>
      <c r="F11602" t="inlineStr"/>
      <c r="G11602" t="inlineStr"/>
      <c r="H11602" t="inlineStr"/>
    </row>
    <row r="11603">
      <c r="A11603" t="inlineStr">
        <is>
          <t>0e201c68-86ef-4894-a4e6-63f54bd78773.jpg</t>
        </is>
      </c>
      <c r="B11603">
        <f>HYPERLINK("Объекты недвижимости, не соответствующие градостроительным нормам_00-022_Август/0e201c68-86ef-4894-a4e6-63f54bd78773.jpg","open")</f>
        <v/>
      </c>
      <c r="C11603" t="inlineStr">
        <is>
          <t>0dd30d74-4dbc-46a8-b638-91e1431bb398</t>
        </is>
      </c>
      <c r="D11603" t="n">
        <v>55.8689</v>
      </c>
      <c r="E11603" t="n">
        <v>37.66984</v>
      </c>
      <c r="F11603" t="inlineStr"/>
      <c r="G11603" t="inlineStr"/>
      <c r="H11603" t="inlineStr"/>
    </row>
    <row r="11604">
      <c r="A11604" t="inlineStr">
        <is>
          <t>1d66e28e-d18f-4c69-9cab-f23a3eb90932.jpg</t>
        </is>
      </c>
      <c r="B11604">
        <f>HYPERLINK("Объекты недвижимости, не соответствующие градостроительным нормам_00-022_Август/1d66e28e-d18f-4c69-9cab-f23a3eb90932.jpg","open")</f>
        <v/>
      </c>
      <c r="C11604" t="inlineStr">
        <is>
          <t>ffd931da-542f-43e9-979f-5552b17fe3dc</t>
        </is>
      </c>
      <c r="D11604" t="n">
        <v>55.80044</v>
      </c>
      <c r="E11604" t="n">
        <v>37.72181</v>
      </c>
      <c r="F11604" t="inlineStr"/>
      <c r="G11604" t="inlineStr"/>
      <c r="H11604" t="inlineStr"/>
    </row>
    <row r="11605">
      <c r="A11605" t="inlineStr">
        <is>
          <t>2f262040-4b3d-4f01-a3f5-9077c62b1e66.jpg</t>
        </is>
      </c>
      <c r="B11605">
        <f>HYPERLINK("Объекты недвижимости, не соответствующие градостроительным нормам_00-022_Август/2f262040-4b3d-4f01-a3f5-9077c62b1e66.jpg","open")</f>
        <v/>
      </c>
      <c r="C11605" t="inlineStr">
        <is>
          <t>f60286ac-55e7-4099-85bd-cc599a7a0c65</t>
        </is>
      </c>
      <c r="D11605" t="n">
        <v>55.80043</v>
      </c>
      <c r="E11605" t="n">
        <v>37.72383</v>
      </c>
      <c r="F11605" t="inlineStr"/>
      <c r="G11605" t="inlineStr"/>
      <c r="H11605" t="inlineStr"/>
    </row>
    <row r="11606">
      <c r="A11606" t="inlineStr">
        <is>
          <t>283cf5a4-b202-44c7-a125-884d81d6dc3f.jpg</t>
        </is>
      </c>
      <c r="B11606">
        <f>HYPERLINK("Объекты недвижимости, не соответствующие градостроительным нормам_00-022_Август/283cf5a4-b202-44c7-a125-884d81d6dc3f.jpg","open")</f>
        <v/>
      </c>
      <c r="C11606" t="inlineStr">
        <is>
          <t>030e8755-17c1-44eb-9530-707d0d3121cb</t>
        </is>
      </c>
      <c r="D11606" t="n">
        <v>55.61164</v>
      </c>
      <c r="E11606" t="n">
        <v>37.72854</v>
      </c>
      <c r="F11606" t="inlineStr"/>
      <c r="G11606" t="inlineStr"/>
      <c r="H11606" t="inlineStr"/>
    </row>
    <row r="11607">
      <c r="A11607" t="inlineStr">
        <is>
          <t>a293bc87-a769-4694-89da-ecdb9090ddb3.jpg</t>
        </is>
      </c>
      <c r="B11607">
        <f>HYPERLINK("Объекты недвижимости, не соответствующие градостроительным нормам_00-022_Август/a293bc87-a769-4694-89da-ecdb9090ddb3.jpg","open")</f>
        <v/>
      </c>
      <c r="C11607" t="inlineStr">
        <is>
          <t>ffd931da-542f-43e9-979f-5552b17fe3dc</t>
        </is>
      </c>
      <c r="D11607" t="n">
        <v>55.80056</v>
      </c>
      <c r="E11607" t="n">
        <v>37.72166</v>
      </c>
      <c r="F11607" t="inlineStr"/>
      <c r="G11607" t="inlineStr"/>
      <c r="H11607" t="inlineStr"/>
    </row>
    <row r="11608">
      <c r="A11608" t="inlineStr">
        <is>
          <t>1b6f133d-afc4-4a36-8f59-40bfc852bc3e.jpg</t>
        </is>
      </c>
      <c r="B11608">
        <f>HYPERLINK("Объекты недвижимости, не соответствующие градостроительным нормам_00-022_Август/1b6f133d-afc4-4a36-8f59-40bfc852bc3e.jpg","open")</f>
        <v/>
      </c>
      <c r="C11608" t="inlineStr">
        <is>
          <t>5adecbcf-6742-48b8-951f-8e3abc9509e4</t>
        </is>
      </c>
      <c r="D11608" t="n">
        <v>55.98127</v>
      </c>
      <c r="E11608" t="n">
        <v>37.4074</v>
      </c>
      <c r="F11608" t="inlineStr"/>
      <c r="G11608" t="inlineStr"/>
      <c r="H11608" t="inlineStr"/>
    </row>
    <row r="11609">
      <c r="A11609" t="inlineStr">
        <is>
          <t>197107c8-4b73-4783-957e-98e9448e5b79.jpg</t>
        </is>
      </c>
      <c r="B11609">
        <f>HYPERLINK("Объекты недвижимости, не соответствующие градостроительным нормам_00-022_Август/197107c8-4b73-4783-957e-98e9448e5b79.jpg","open")</f>
        <v/>
      </c>
      <c r="C11609" t="inlineStr">
        <is>
          <t>5e5b9944-4f9e-4223-bf96-0bc0c8a93dfa</t>
        </is>
      </c>
      <c r="D11609" t="n">
        <v>55.98127</v>
      </c>
      <c r="E11609" t="n">
        <v>37.4074</v>
      </c>
      <c r="F11609" t="inlineStr"/>
      <c r="G11609" t="inlineStr"/>
      <c r="H11609" t="inlineStr"/>
    </row>
    <row r="11610">
      <c r="A11610" t="inlineStr">
        <is>
          <t>fa2ab16f-1d90-4fd2-9ff8-dd360e827231.jpg</t>
        </is>
      </c>
      <c r="B11610">
        <f>HYPERLINK("Объекты недвижимости, не соответствующие градостроительным нормам_00-022_Август/fa2ab16f-1d90-4fd2-9ff8-dd360e827231.jpg","open")</f>
        <v/>
      </c>
      <c r="C11610" t="inlineStr">
        <is>
          <t>5e5b9944-4f9e-4223-bf96-0bc0c8a93dfa</t>
        </is>
      </c>
      <c r="D11610" t="n">
        <v>55.98052</v>
      </c>
      <c r="E11610" t="n">
        <v>37.42503</v>
      </c>
      <c r="F11610" t="inlineStr"/>
      <c r="G11610" t="inlineStr"/>
      <c r="H11610" t="inlineStr"/>
    </row>
    <row r="11611">
      <c r="A11611" t="inlineStr">
        <is>
          <t>ccf847aa-34a5-4cf8-b523-243b673b9bff.jpg</t>
        </is>
      </c>
      <c r="B11611">
        <f>HYPERLINK("Объекты недвижимости, не соответствующие градостроительным нормам_00-022_Август/ccf847aa-34a5-4cf8-b523-243b673b9bff.jpg","open")</f>
        <v/>
      </c>
      <c r="C11611" t="inlineStr">
        <is>
          <t>8b2675e2-7f40-47a9-a462-7c9feecd299c</t>
        </is>
      </c>
      <c r="D11611" t="n">
        <v>55.79275</v>
      </c>
      <c r="E11611" t="n">
        <v>37.60923</v>
      </c>
      <c r="F11611" t="inlineStr"/>
      <c r="G11611" t="inlineStr"/>
      <c r="H11611" t="inlineStr"/>
    </row>
    <row r="11612">
      <c r="A11612" t="inlineStr">
        <is>
          <t>44e1cd0f-6ecf-4d0d-ba9a-6363aba5865b.jpg</t>
        </is>
      </c>
      <c r="B11612">
        <f>HYPERLINK("Объекты недвижимости, не соответствующие градостроительным нормам_00-022_Август/44e1cd0f-6ecf-4d0d-ba9a-6363aba5865b.jpg","open")</f>
        <v/>
      </c>
      <c r="C11612" t="inlineStr">
        <is>
          <t>5e5b9944-4f9e-4223-bf96-0bc0c8a93dfa</t>
        </is>
      </c>
      <c r="D11612" t="n">
        <v>55.97836</v>
      </c>
      <c r="E11612" t="n">
        <v>37.42862</v>
      </c>
      <c r="F11612" t="inlineStr"/>
      <c r="G11612" t="inlineStr"/>
      <c r="H11612" t="inlineStr"/>
    </row>
    <row r="11613">
      <c r="A11613" t="inlineStr">
        <is>
          <t>1bac8c3b-4b74-42d3-8aee-2f360a5fc73b.jpg</t>
        </is>
      </c>
      <c r="B11613">
        <f>HYPERLINK("Объекты недвижимости, не соответствующие градостроительным нормам_00-022_Август/1bac8c3b-4b74-42d3-8aee-2f360a5fc73b.jpg","open")</f>
        <v/>
      </c>
      <c r="C11613" t="inlineStr">
        <is>
          <t>5e5b9944-4f9e-4223-bf96-0bc0c8a93dfa</t>
        </is>
      </c>
      <c r="D11613" t="n">
        <v>55.98106</v>
      </c>
      <c r="E11613" t="n">
        <v>37.40637</v>
      </c>
      <c r="F11613" t="inlineStr"/>
      <c r="G11613" t="inlineStr"/>
      <c r="H11613" t="inlineStr"/>
    </row>
    <row r="11614">
      <c r="A11614" t="inlineStr">
        <is>
          <t>a1f62eec-1959-495a-b248-61b2e5878807.jpg</t>
        </is>
      </c>
      <c r="B11614">
        <f>HYPERLINK("Объекты недвижимости, не соответствующие градостроительным нормам_00-022_Август/a1f62eec-1959-495a-b248-61b2e5878807.jpg","open")</f>
        <v/>
      </c>
      <c r="C11614" t="inlineStr">
        <is>
          <t>5e5b9944-4f9e-4223-bf96-0bc0c8a93dfa</t>
        </is>
      </c>
      <c r="D11614" t="n">
        <v>55.98251</v>
      </c>
      <c r="E11614" t="n">
        <v>37.41563</v>
      </c>
      <c r="F11614" t="inlineStr"/>
      <c r="G11614" t="inlineStr"/>
      <c r="H11614" t="inlineStr"/>
    </row>
    <row r="11615">
      <c r="A11615" t="inlineStr">
        <is>
          <t>6a02b5e4-1c44-4bb4-ba5a-960db8d6b109.jpg</t>
        </is>
      </c>
      <c r="B11615">
        <f>HYPERLINK("Объекты недвижимости, не соответствующие градостроительным нормам_00-022_Август/6a02b5e4-1c44-4bb4-ba5a-960db8d6b109.jpg","open")</f>
        <v/>
      </c>
      <c r="C11615" t="inlineStr">
        <is>
          <t>8996eb30-6497-4318-8a0e-b95314b8172e</t>
        </is>
      </c>
      <c r="D11615" t="n">
        <v>55.72985</v>
      </c>
      <c r="E11615" t="n">
        <v>37.77559</v>
      </c>
      <c r="F11615" t="inlineStr"/>
      <c r="G11615" t="inlineStr"/>
      <c r="H11615" t="inlineStr"/>
    </row>
    <row r="11616">
      <c r="A11616" t="inlineStr">
        <is>
          <t>8a6fc2bc-342a-4f1a-88ba-01273a06c542.jpg</t>
        </is>
      </c>
      <c r="B11616">
        <f>HYPERLINK("Объекты недвижимости, не соответствующие градостроительным нормам_00-022_Август/8a6fc2bc-342a-4f1a-88ba-01273a06c542.jpg","open")</f>
        <v/>
      </c>
      <c r="C11616" t="inlineStr">
        <is>
          <t>e26f5fc2-1353-4f29-85f3-87c56419161c</t>
        </is>
      </c>
      <c r="D11616" t="n">
        <v>55.78238</v>
      </c>
      <c r="E11616" t="n">
        <v>37.67108</v>
      </c>
      <c r="F11616" t="inlineStr"/>
      <c r="G11616" t="inlineStr"/>
      <c r="H11616" t="inlineStr"/>
    </row>
    <row r="11617">
      <c r="A11617" t="inlineStr">
        <is>
          <t>695710fd-8c18-4a83-a34c-a0b029c93240.jpg</t>
        </is>
      </c>
      <c r="B11617">
        <f>HYPERLINK("Объекты недвижимости, не соответствующие градостроительным нормам_00-022_Август/695710fd-8c18-4a83-a34c-a0b029c93240.jpg","open")</f>
        <v/>
      </c>
      <c r="C11617" t="inlineStr">
        <is>
          <t>e26f5fc2-1353-4f29-85f3-87c56419161c</t>
        </is>
      </c>
      <c r="D11617" t="n">
        <v>55.78238</v>
      </c>
      <c r="E11617" t="n">
        <v>37.67108</v>
      </c>
      <c r="F11617" t="inlineStr"/>
      <c r="G11617" t="inlineStr"/>
      <c r="H11617" t="inlineStr"/>
    </row>
    <row r="11618">
      <c r="A11618" t="inlineStr">
        <is>
          <t>d85c8e44-0f33-4034-9f21-3919c9df9a72.jpg</t>
        </is>
      </c>
      <c r="B11618">
        <f>HYPERLINK("Объекты недвижимости, не соответствующие градостроительным нормам_00-022_Август/d85c8e44-0f33-4034-9f21-3919c9df9a72.jpg","open")</f>
        <v/>
      </c>
      <c r="C11618" t="inlineStr">
        <is>
          <t>dd22c7c9-0046-46d8-8631-55150dbf8ae5</t>
        </is>
      </c>
      <c r="D11618" t="n">
        <v>55.80933</v>
      </c>
      <c r="E11618" t="n">
        <v>37.63735</v>
      </c>
      <c r="F11618" t="inlineStr"/>
      <c r="G11618" t="inlineStr"/>
      <c r="H11618" t="inlineStr"/>
    </row>
    <row r="11619">
      <c r="A11619" t="inlineStr">
        <is>
          <t>27294c79-457c-4144-89d4-841dc9516801.jpg</t>
        </is>
      </c>
      <c r="B11619">
        <f>HYPERLINK("Объекты недвижимости, не соответствующие градостроительным нормам_00-022_Август/27294c79-457c-4144-89d4-841dc9516801.jpg","open")</f>
        <v/>
      </c>
      <c r="C11619" t="inlineStr">
        <is>
          <t>ed2bf0f1-3a66-4913-896e-4420a9796c0b</t>
        </is>
      </c>
      <c r="D11619" t="n">
        <v>55.6651</v>
      </c>
      <c r="E11619" t="n">
        <v>37.5267</v>
      </c>
      <c r="F11619" t="inlineStr"/>
      <c r="G11619" t="inlineStr"/>
      <c r="H11619" t="inlineStr"/>
    </row>
    <row r="11620">
      <c r="A11620" t="inlineStr">
        <is>
          <t>57c082d5-c116-45e4-8e05-756087ab5d3c.jpg</t>
        </is>
      </c>
      <c r="B11620">
        <f>HYPERLINK("Объекты недвижимости, не соответствующие градостроительным нормам_00-022_Август/57c082d5-c116-45e4-8e05-756087ab5d3c.jpg","open")</f>
        <v/>
      </c>
      <c r="C11620" t="inlineStr">
        <is>
          <t>1a55986c-2c3f-40c0-b3d1-014dce77832e</t>
        </is>
      </c>
      <c r="D11620" t="n">
        <v>55.66515</v>
      </c>
      <c r="E11620" t="n">
        <v>37.5267</v>
      </c>
      <c r="F11620" t="inlineStr"/>
      <c r="G11620" t="inlineStr"/>
      <c r="H11620" t="inlineStr"/>
    </row>
    <row r="11621">
      <c r="A11621" t="inlineStr">
        <is>
          <t>3ab6fe79-19b3-48b9-ac25-561c0404608b.jpg</t>
        </is>
      </c>
      <c r="B11621">
        <f>HYPERLINK("Объекты недвижимости, не соответствующие градостроительным нормам_00-022_Август/3ab6fe79-19b3-48b9-ac25-561c0404608b.jpg","open")</f>
        <v/>
      </c>
      <c r="C11621" t="inlineStr">
        <is>
          <t>b0b7ea82-53be-40d0-b992-e2fd18611d5c</t>
        </is>
      </c>
      <c r="D11621" t="n">
        <v>55.69494</v>
      </c>
      <c r="E11621" t="n">
        <v>37.75624</v>
      </c>
      <c r="F11621" t="inlineStr"/>
      <c r="G11621" t="inlineStr"/>
      <c r="H11621" t="inlineStr"/>
    </row>
    <row r="11622">
      <c r="A11622" t="inlineStr">
        <is>
          <t>b3b8efa2-f27e-4eff-9c55-cbc900e2223f.jpg</t>
        </is>
      </c>
      <c r="B11622">
        <f>HYPERLINK("Объекты недвижимости, не соответствующие градостроительным нормам_00-022_Август/b3b8efa2-f27e-4eff-9c55-cbc900e2223f.jpg","open")</f>
        <v/>
      </c>
      <c r="C11622" t="inlineStr">
        <is>
          <t>fce890a6-27da-4062-a046-08262a160ee6</t>
        </is>
      </c>
      <c r="D11622" t="n">
        <v>55.78237</v>
      </c>
      <c r="E11622" t="n">
        <v>37.67124</v>
      </c>
      <c r="F11622" t="inlineStr"/>
      <c r="G11622" t="inlineStr"/>
      <c r="H11622" t="inlineStr"/>
    </row>
    <row r="11623">
      <c r="A11623" t="inlineStr">
        <is>
          <t>cb17a6d4-7f57-4a0f-8cbd-0d34d54b03e8.jpg</t>
        </is>
      </c>
      <c r="B11623">
        <f>HYPERLINK("Объекты недвижимости, не соответствующие градостроительным нормам_00-022_Август/cb17a6d4-7f57-4a0f-8cbd-0d34d54b03e8.jpg","open")</f>
        <v/>
      </c>
      <c r="C11623" t="inlineStr">
        <is>
          <t>fce890a6-27da-4062-a046-08262a160ee6</t>
        </is>
      </c>
      <c r="D11623" t="n">
        <v>55.78237</v>
      </c>
      <c r="E11623" t="n">
        <v>37.67124</v>
      </c>
      <c r="F11623" t="inlineStr"/>
      <c r="G11623" t="inlineStr"/>
      <c r="H11623" t="inlineStr"/>
    </row>
    <row r="11624">
      <c r="A11624" t="inlineStr">
        <is>
          <t>55310186-d487-43cb-a291-32d07053f46f.jpg</t>
        </is>
      </c>
      <c r="B11624">
        <f>HYPERLINK("Объекты недвижимости, не соответствующие градостроительным нормам_00-022_Август/55310186-d487-43cb-a291-32d07053f46f.jpg","open")</f>
        <v/>
      </c>
      <c r="C11624" t="inlineStr">
        <is>
          <t>a28f597e-d1cd-4d3b-b572-c86d033412e9</t>
        </is>
      </c>
      <c r="D11624" t="n">
        <v>55.73941</v>
      </c>
      <c r="E11624" t="n">
        <v>37.41873</v>
      </c>
      <c r="F11624" t="inlineStr"/>
      <c r="G11624" t="inlineStr"/>
      <c r="H11624" t="inlineStr"/>
    </row>
    <row r="11625">
      <c r="A11625" t="inlineStr">
        <is>
          <t>2b850749-db21-40c8-91d1-c62a08d7a769.jpg</t>
        </is>
      </c>
      <c r="B11625">
        <f>HYPERLINK("Объекты недвижимости, не соответствующие градостроительным нормам_00-022_Август/2b850749-db21-40c8-91d1-c62a08d7a769.jpg","open")</f>
        <v/>
      </c>
      <c r="C11625" t="inlineStr">
        <is>
          <t>030e8755-17c1-44eb-9530-707d0d3121cb</t>
        </is>
      </c>
      <c r="D11625" t="n">
        <v>55.60406</v>
      </c>
      <c r="E11625" t="n">
        <v>37.72344</v>
      </c>
      <c r="F11625" t="inlineStr"/>
      <c r="G11625" t="inlineStr"/>
      <c r="H11625" t="inlineStr"/>
    </row>
    <row r="11626">
      <c r="A11626" t="inlineStr">
        <is>
          <t>5d6b18f6-eef6-4aa1-a185-fd6d0f96cb09.jpg</t>
        </is>
      </c>
      <c r="B11626">
        <f>HYPERLINK("Объекты недвижимости, не соответствующие градостроительным нормам_00-022_Август/5d6b18f6-eef6-4aa1-a185-fd6d0f96cb09.jpg","open")</f>
        <v/>
      </c>
      <c r="C11626" t="inlineStr">
        <is>
          <t>caa4772d-6278-4484-a046-ee25514bf521</t>
        </is>
      </c>
      <c r="D11626" t="n">
        <v>55.75079</v>
      </c>
      <c r="E11626" t="n">
        <v>37.50107</v>
      </c>
      <c r="F11626" t="inlineStr"/>
      <c r="G11626" t="inlineStr"/>
      <c r="H11626" t="inlineStr"/>
    </row>
    <row r="11627">
      <c r="A11627" t="inlineStr">
        <is>
          <t>a2823c04-ad5f-4be5-b53c-d7f89091086f.jpg</t>
        </is>
      </c>
      <c r="B11627">
        <f>HYPERLINK("Объекты недвижимости, не соответствующие градостроительным нормам_00-022_Август/a2823c04-ad5f-4be5-b53c-d7f89091086f.jpg","open")</f>
        <v/>
      </c>
      <c r="C11627" t="inlineStr">
        <is>
          <t>61936922-4d4b-458e-80ea-6d4c450aa1d5</t>
        </is>
      </c>
      <c r="D11627" t="n">
        <v>55.64015</v>
      </c>
      <c r="E11627" t="n">
        <v>37.36585</v>
      </c>
      <c r="F11627" t="inlineStr"/>
      <c r="G11627" t="inlineStr"/>
      <c r="H11627" t="inlineStr"/>
    </row>
    <row r="11628">
      <c r="A11628" t="inlineStr">
        <is>
          <t>15da1c7b-8113-4443-b1e8-be24a344d9c0.jpg</t>
        </is>
      </c>
      <c r="B11628">
        <f>HYPERLINK("Объекты недвижимости, не соответствующие градостроительным нормам_00-022_Август/15da1c7b-8113-4443-b1e8-be24a344d9c0.jpg","open")</f>
        <v/>
      </c>
      <c r="C11628" t="inlineStr">
        <is>
          <t>91248771-2c4d-44f3-b3cf-d536bd4ae73c</t>
        </is>
      </c>
      <c r="D11628" t="n">
        <v>55.78891</v>
      </c>
      <c r="E11628" t="n">
        <v>37.71239</v>
      </c>
      <c r="F11628" t="inlineStr"/>
      <c r="G11628" t="inlineStr"/>
      <c r="H11628" t="inlineStr"/>
    </row>
    <row r="11629">
      <c r="A11629" t="inlineStr">
        <is>
          <t>859d7346-eaf9-4b30-a005-9030c39e1692.jpg</t>
        </is>
      </c>
      <c r="B11629">
        <f>HYPERLINK("Объекты недвижимости, не соответствующие градостроительным нормам_00-022_Август/859d7346-eaf9-4b30-a005-9030c39e1692.jpg","open")</f>
        <v/>
      </c>
      <c r="C11629" t="inlineStr">
        <is>
          <t>dd22c7c9-0046-46d8-8631-55150dbf8ae5</t>
        </is>
      </c>
      <c r="D11629" t="n">
        <v>55.78678</v>
      </c>
      <c r="E11629" t="n">
        <v>37.63473</v>
      </c>
      <c r="F11629" t="inlineStr"/>
      <c r="G11629" t="inlineStr"/>
      <c r="H11629" t="inlineStr"/>
    </row>
    <row r="11630">
      <c r="A11630" t="inlineStr">
        <is>
          <t>7f8246a8-46e3-4441-9902-3f4857c3d401.jpg</t>
        </is>
      </c>
      <c r="B11630">
        <f>HYPERLINK("Объекты недвижимости, не соответствующие градостроительным нормам_00-022_Август/7f8246a8-46e3-4441-9902-3f4857c3d401.jpg","open")</f>
        <v/>
      </c>
      <c r="C11630" t="inlineStr">
        <is>
          <t>8b2675e2-7f40-47a9-a462-7c9feecd299c</t>
        </is>
      </c>
      <c r="D11630" t="n">
        <v>55.77522</v>
      </c>
      <c r="E11630" t="n">
        <v>37.68324</v>
      </c>
      <c r="F11630" t="inlineStr"/>
      <c r="G11630" t="inlineStr"/>
      <c r="H11630" t="inlineStr"/>
    </row>
    <row r="11631">
      <c r="A11631" t="inlineStr">
        <is>
          <t>c5a7b3bc-80d4-484c-80cb-e4621cf43ca7.jpg</t>
        </is>
      </c>
      <c r="B11631">
        <f>HYPERLINK("Объекты недвижимости, не соответствующие градостроительным нормам_00-022_Август/c5a7b3bc-80d4-484c-80cb-e4621cf43ca7.jpg","open")</f>
        <v/>
      </c>
      <c r="C11631" t="inlineStr">
        <is>
          <t>e26f5fc2-1353-4f29-85f3-87c56419161c</t>
        </is>
      </c>
      <c r="D11631" t="n">
        <v>55.80527</v>
      </c>
      <c r="E11631" t="n">
        <v>37.58244</v>
      </c>
      <c r="F11631" t="inlineStr"/>
      <c r="G11631" t="inlineStr"/>
      <c r="H11631" t="inlineStr"/>
    </row>
    <row r="11632">
      <c r="A11632" t="inlineStr">
        <is>
          <t>20b14085-d52b-491e-8964-e6102e72a61c.jpg</t>
        </is>
      </c>
      <c r="B11632">
        <f>HYPERLINK("Объекты недвижимости, не соответствующие градостроительным нормам_00-022_Август/20b14085-d52b-491e-8964-e6102e72a61c.jpg","open")</f>
        <v/>
      </c>
      <c r="C11632" t="inlineStr">
        <is>
          <t>e26f5fc2-1353-4f29-85f3-87c56419161c</t>
        </is>
      </c>
      <c r="D11632" t="n">
        <v>55.80751</v>
      </c>
      <c r="E11632" t="n">
        <v>37.58109</v>
      </c>
      <c r="F11632" t="inlineStr"/>
      <c r="G11632" t="inlineStr"/>
      <c r="H11632" t="inlineStr"/>
    </row>
    <row r="11633">
      <c r="A11633" t="inlineStr">
        <is>
          <t>3e1405c8-9ae7-489f-b97d-a2892c35ab7c.jpg</t>
        </is>
      </c>
      <c r="B11633">
        <f>HYPERLINK("Объекты недвижимости, не соответствующие градостроительным нормам_00-022_Август/3e1405c8-9ae7-489f-b97d-a2892c35ab7c.jpg","open")</f>
        <v/>
      </c>
      <c r="C11633" t="inlineStr">
        <is>
          <t>31a713a9-b910-424b-b847-e0eaa2f70c70</t>
        </is>
      </c>
      <c r="D11633" t="n">
        <v>55.56736</v>
      </c>
      <c r="E11633" t="n">
        <v>37.44144</v>
      </c>
      <c r="F11633" t="inlineStr"/>
      <c r="G11633" t="inlineStr"/>
      <c r="H11633" t="inlineStr"/>
    </row>
    <row r="11634">
      <c r="A11634" t="inlineStr">
        <is>
          <t>586bea14-20dc-4887-a3a0-446de45fbbde.jpg</t>
        </is>
      </c>
      <c r="B11634">
        <f>HYPERLINK("Объекты недвижимости, не соответствующие градостроительным нормам_00-022_Август/586bea14-20dc-4887-a3a0-446de45fbbde.jpg","open")</f>
        <v/>
      </c>
      <c r="C11634" t="inlineStr">
        <is>
          <t>dd22c7c9-0046-46d8-8631-55150dbf8ae5</t>
        </is>
      </c>
      <c r="D11634" t="n">
        <v>55.78678</v>
      </c>
      <c r="E11634" t="n">
        <v>37.63473</v>
      </c>
      <c r="F11634" t="inlineStr"/>
      <c r="G11634" t="inlineStr"/>
      <c r="H11634" t="inlineStr"/>
    </row>
    <row r="11635">
      <c r="A11635" t="inlineStr">
        <is>
          <t>7cd3bf2c-c4cb-453a-86cb-ce8eb22da321.jpg</t>
        </is>
      </c>
      <c r="B11635">
        <f>HYPERLINK("Объекты недвижимости, не соответствующие градостроительным нормам_00-022_Август/7cd3bf2c-c4cb-453a-86cb-ce8eb22da321.jpg","open")</f>
        <v/>
      </c>
      <c r="C11635" t="inlineStr">
        <is>
          <t>48b533d5-d106-4175-ac9b-d5ce8d90cccf</t>
        </is>
      </c>
      <c r="D11635" t="n">
        <v>55.73</v>
      </c>
      <c r="E11635" t="n">
        <v>37.7732</v>
      </c>
      <c r="F11635" t="inlineStr"/>
      <c r="G11635" t="inlineStr"/>
      <c r="H11635" t="inlineStr"/>
    </row>
    <row r="11636">
      <c r="A11636" t="inlineStr">
        <is>
          <t>7d97c997-3b11-4cd5-b164-a3cc806854ef.jpg</t>
        </is>
      </c>
      <c r="B11636">
        <f>HYPERLINK("Объекты недвижимости, не соответствующие градостроительным нормам_00-022_Август/7d97c997-3b11-4cd5-b164-a3cc806854ef.jpg","open")</f>
        <v/>
      </c>
      <c r="C11636" t="inlineStr">
        <is>
          <t>8b2675e2-7f40-47a9-a462-7c9feecd299c</t>
        </is>
      </c>
      <c r="D11636" t="n">
        <v>55.77522</v>
      </c>
      <c r="E11636" t="n">
        <v>37.68324</v>
      </c>
      <c r="F11636" t="inlineStr"/>
      <c r="G11636" t="inlineStr"/>
      <c r="H11636" t="inlineStr"/>
    </row>
    <row r="11637">
      <c r="A11637" t="inlineStr">
        <is>
          <t>3f6d69c6-5106-4eea-83c1-ead0ab285a08.jpg</t>
        </is>
      </c>
      <c r="B11637">
        <f>HYPERLINK("Объекты недвижимости, не соответствующие градостроительным нормам_00-022_Август/3f6d69c6-5106-4eea-83c1-ead0ab285a08.jpg","open")</f>
        <v/>
      </c>
      <c r="C11637" t="inlineStr">
        <is>
          <t>0dd30d74-4dbc-46a8-b638-91e1431bb398</t>
        </is>
      </c>
      <c r="D11637" t="n">
        <v>55.87559</v>
      </c>
      <c r="E11637" t="n">
        <v>37.66452</v>
      </c>
      <c r="F11637" t="inlineStr"/>
      <c r="G11637" t="inlineStr"/>
      <c r="H11637" t="inlineStr"/>
    </row>
    <row r="11638">
      <c r="A11638" t="inlineStr">
        <is>
          <t>2ac1e110-99dd-416a-a4b9-2995f7f5d828.jpg</t>
        </is>
      </c>
      <c r="B11638">
        <f>HYPERLINK("Объекты недвижимости, не соответствующие градостроительным нормам_00-022_Август/2ac1e110-99dd-416a-a4b9-2995f7f5d828.jpg","open")</f>
        <v/>
      </c>
      <c r="C11638" t="inlineStr">
        <is>
          <t>8b2675e2-7f40-47a9-a462-7c9feecd299c</t>
        </is>
      </c>
      <c r="D11638" t="n">
        <v>55.77522</v>
      </c>
      <c r="E11638" t="n">
        <v>37.68324</v>
      </c>
      <c r="F11638" t="inlineStr"/>
      <c r="G11638" t="inlineStr"/>
      <c r="H11638" t="inlineStr"/>
    </row>
    <row r="11639">
      <c r="A11639" t="inlineStr">
        <is>
          <t>6830cbbc-7cb2-472a-baa7-d5b7d5e0300a.jpg</t>
        </is>
      </c>
      <c r="B11639">
        <f>HYPERLINK("Объекты недвижимости, не соответствующие градостроительным нормам_00-022_Август/6830cbbc-7cb2-472a-baa7-d5b7d5e0300a.jpg","open")</f>
        <v/>
      </c>
      <c r="C11639" t="inlineStr">
        <is>
          <t>fce890a6-27da-4062-a046-08262a160ee6</t>
        </is>
      </c>
      <c r="D11639" t="n">
        <v>55.78237</v>
      </c>
      <c r="E11639" t="n">
        <v>37.67124</v>
      </c>
      <c r="F11639" t="inlineStr"/>
      <c r="G11639" t="inlineStr"/>
      <c r="H11639" t="inlineStr"/>
    </row>
    <row r="11640">
      <c r="A11640" t="inlineStr">
        <is>
          <t>aafc659f-1799-460b-b938-07ceaf41bad6.jpg</t>
        </is>
      </c>
      <c r="B11640">
        <f>HYPERLINK("Объекты недвижимости, не соответствующие градостроительным нормам_00-022_Август/aafc659f-1799-460b-b938-07ceaf41bad6.jpg","open")</f>
        <v/>
      </c>
      <c r="C11640" t="inlineStr">
        <is>
          <t>fce890a6-27da-4062-a046-08262a160ee6</t>
        </is>
      </c>
      <c r="D11640" t="n">
        <v>55.78237</v>
      </c>
      <c r="E11640" t="n">
        <v>37.67124</v>
      </c>
      <c r="F11640" t="inlineStr"/>
      <c r="G11640" t="inlineStr"/>
      <c r="H11640" t="inlineStr"/>
    </row>
    <row r="11641">
      <c r="A11641" t="inlineStr">
        <is>
          <t>ce7e1f94-14bf-4089-ab4a-47770222927e.jpg</t>
        </is>
      </c>
      <c r="B11641">
        <f>HYPERLINK("Объекты недвижимости, не соответствующие градостроительным нормам_00-022_Август/ce7e1f94-14bf-4089-ab4a-47770222927e.jpg","open")</f>
        <v/>
      </c>
      <c r="C11641" t="inlineStr">
        <is>
          <t>8cde1fd0-eca1-4510-86ab-3c743b65fdfc</t>
        </is>
      </c>
      <c r="D11641" t="n">
        <v>55.58094</v>
      </c>
      <c r="E11641" t="n">
        <v>37.63768</v>
      </c>
      <c r="F11641" t="inlineStr"/>
      <c r="G11641" t="inlineStr"/>
      <c r="H11641" t="inlineStr"/>
    </row>
    <row r="11642">
      <c r="A11642" t="inlineStr">
        <is>
          <t>3517bc13-32bc-4c7b-be54-3a7041ae7831.jpg</t>
        </is>
      </c>
      <c r="B11642">
        <f>HYPERLINK("Объекты недвижимости, не соответствующие градостроительным нормам_00-022_Август/3517bc13-32bc-4c7b-be54-3a7041ae7831.jpg","open")</f>
        <v/>
      </c>
      <c r="C11642" t="inlineStr">
        <is>
          <t>fce890a6-27da-4062-a046-08262a160ee6</t>
        </is>
      </c>
      <c r="D11642" t="n">
        <v>55.78237</v>
      </c>
      <c r="E11642" t="n">
        <v>37.67124</v>
      </c>
      <c r="F11642" t="inlineStr"/>
      <c r="G11642" t="inlineStr"/>
      <c r="H11642" t="inlineStr"/>
    </row>
    <row r="11643">
      <c r="A11643" t="inlineStr">
        <is>
          <t>407b4fed-7557-42be-a35c-870e3b0d00d9.jpg</t>
        </is>
      </c>
      <c r="B11643">
        <f>HYPERLINK("Объекты недвижимости, не соответствующие градостроительным нормам_00-022_Август/407b4fed-7557-42be-a35c-870e3b0d00d9.jpg","open")</f>
        <v/>
      </c>
      <c r="C11643" t="inlineStr">
        <is>
          <t>fce890a6-27da-4062-a046-08262a160ee6</t>
        </is>
      </c>
      <c r="D11643" t="n">
        <v>55.78237</v>
      </c>
      <c r="E11643" t="n">
        <v>37.67124</v>
      </c>
      <c r="F11643" t="inlineStr"/>
      <c r="G11643" t="inlineStr"/>
      <c r="H11643" t="inlineStr"/>
    </row>
    <row r="11644">
      <c r="A11644" t="inlineStr">
        <is>
          <t>9924351d-57e9-4b9b-a215-4e165cde2525.jpg</t>
        </is>
      </c>
      <c r="B11644">
        <f>HYPERLINK("Объекты недвижимости, не соответствующие градостроительным нормам_00-022_Август/9924351d-57e9-4b9b-a215-4e165cde2525.jpg","open")</f>
        <v/>
      </c>
      <c r="C11644" t="inlineStr">
        <is>
          <t>fce890a6-27da-4062-a046-08262a160ee6</t>
        </is>
      </c>
      <c r="D11644" t="n">
        <v>55.78237</v>
      </c>
      <c r="E11644" t="n">
        <v>37.67124</v>
      </c>
      <c r="F11644" t="inlineStr"/>
      <c r="G11644" t="inlineStr"/>
      <c r="H11644" t="inlineStr"/>
    </row>
    <row r="11645">
      <c r="A11645" t="inlineStr">
        <is>
          <t>87078024-1315-415c-be85-9671a3615bff.jpg</t>
        </is>
      </c>
      <c r="B11645">
        <f>HYPERLINK("Объекты недвижимости, не соответствующие градостроительным нормам_00-022_Август/87078024-1315-415c-be85-9671a3615bff.jpg","open")</f>
        <v/>
      </c>
      <c r="C11645" t="inlineStr">
        <is>
          <t>9f88688f-4c81-42a8-b76a-3c3e7edf869e</t>
        </is>
      </c>
      <c r="D11645" t="n">
        <v>55.78237</v>
      </c>
      <c r="E11645" t="n">
        <v>37.67124</v>
      </c>
      <c r="F11645" t="inlineStr"/>
      <c r="G11645" t="inlineStr"/>
      <c r="H11645" t="inlineStr"/>
    </row>
    <row r="11646">
      <c r="A11646" t="inlineStr">
        <is>
          <t>44178d45-62a7-44b3-b3d9-83c3f8aebdeb.jpg</t>
        </is>
      </c>
      <c r="B11646">
        <f>HYPERLINK("Объекты недвижимости, не соответствующие градостроительным нормам_00-022_Август/44178d45-62a7-44b3-b3d9-83c3f8aebdeb.jpg","open")</f>
        <v/>
      </c>
      <c r="C11646" t="inlineStr">
        <is>
          <t>fce890a6-27da-4062-a046-08262a160ee6</t>
        </is>
      </c>
      <c r="D11646" t="n">
        <v>55.78237</v>
      </c>
      <c r="E11646" t="n">
        <v>37.67124</v>
      </c>
      <c r="F11646" t="inlineStr"/>
      <c r="G11646" t="inlineStr"/>
      <c r="H11646" t="inlineStr"/>
    </row>
    <row r="11647">
      <c r="A11647" t="inlineStr">
        <is>
          <t>a2b5cee1-bbdb-4d5b-9119-d79c19edd110.jpg</t>
        </is>
      </c>
      <c r="B11647">
        <f>HYPERLINK("Объекты недвижимости, не соответствующие градостроительным нормам_00-022_Август/a2b5cee1-bbdb-4d5b-9119-d79c19edd110.jpg","open")</f>
        <v/>
      </c>
      <c r="C11647" t="inlineStr">
        <is>
          <t>fce890a6-27da-4062-a046-08262a160ee6</t>
        </is>
      </c>
      <c r="D11647" t="n">
        <v>55.78237</v>
      </c>
      <c r="E11647" t="n">
        <v>37.67124</v>
      </c>
      <c r="F11647" t="inlineStr"/>
      <c r="G11647" t="inlineStr"/>
      <c r="H11647" t="inlineStr"/>
    </row>
    <row r="11648">
      <c r="A11648" t="inlineStr">
        <is>
          <t>4dd243d3-e372-4320-8b6a-3fac3151aaaf.jpg</t>
        </is>
      </c>
      <c r="B11648">
        <f>HYPERLINK("Объекты недвижимости, не соответствующие градостроительным нормам_00-022_Август/4dd243d3-e372-4320-8b6a-3fac3151aaaf.jpg","open")</f>
        <v/>
      </c>
      <c r="C11648" t="inlineStr">
        <is>
          <t>fce890a6-27da-4062-a046-08262a160ee6</t>
        </is>
      </c>
      <c r="D11648" t="n">
        <v>55.78237</v>
      </c>
      <c r="E11648" t="n">
        <v>37.67124</v>
      </c>
      <c r="F11648" t="inlineStr"/>
      <c r="G11648" t="inlineStr"/>
      <c r="H11648" t="inlineStr"/>
    </row>
    <row r="11649">
      <c r="A11649" t="inlineStr">
        <is>
          <t>91e37ea0-94b8-48d4-a28e-26103e1d31d9.jpg</t>
        </is>
      </c>
      <c r="B11649">
        <f>HYPERLINK("Объекты недвижимости, не соответствующие градостроительным нормам_00-022_Август/91e37ea0-94b8-48d4-a28e-26103e1d31d9.jpg","open")</f>
        <v/>
      </c>
      <c r="C11649" t="inlineStr">
        <is>
          <t>8b2675e2-7f40-47a9-a462-7c9feecd299c</t>
        </is>
      </c>
      <c r="D11649" t="n">
        <v>55.77522</v>
      </c>
      <c r="E11649" t="n">
        <v>37.68324</v>
      </c>
      <c r="F11649" t="inlineStr"/>
      <c r="G11649" t="inlineStr"/>
      <c r="H11649" t="inlineStr"/>
    </row>
    <row r="11650">
      <c r="A11650" t="inlineStr">
        <is>
          <t>fb662389-af22-4443-a836-578cf7128fd6.jpg</t>
        </is>
      </c>
      <c r="B11650">
        <f>HYPERLINK("Объекты недвижимости, не соответствующие градостроительным нормам_00-022_Август/fb662389-af22-4443-a836-578cf7128fd6.jpg","open")</f>
        <v/>
      </c>
      <c r="C11650" t="inlineStr">
        <is>
          <t>fce890a6-27da-4062-a046-08262a160ee6</t>
        </is>
      </c>
      <c r="D11650" t="n">
        <v>55.78237</v>
      </c>
      <c r="E11650" t="n">
        <v>37.67124</v>
      </c>
      <c r="F11650" t="inlineStr"/>
      <c r="G11650" t="inlineStr"/>
      <c r="H11650" t="inlineStr"/>
    </row>
    <row r="11651">
      <c r="A11651" t="inlineStr">
        <is>
          <t>164aaec0-1654-48df-9d3f-a2b440389158.jpg</t>
        </is>
      </c>
      <c r="B11651">
        <f>HYPERLINK("Объекты недвижимости, не соответствующие градостроительным нормам_00-022_Август/164aaec0-1654-48df-9d3f-a2b440389158.jpg","open")</f>
        <v/>
      </c>
      <c r="C11651" t="inlineStr">
        <is>
          <t>9f88688f-4c81-42a8-b76a-3c3e7edf869e</t>
        </is>
      </c>
      <c r="D11651" t="n">
        <v>55.78237</v>
      </c>
      <c r="E11651" t="n">
        <v>37.67124</v>
      </c>
      <c r="F11651" t="inlineStr"/>
      <c r="G11651" t="inlineStr"/>
      <c r="H11651" t="inlineStr"/>
    </row>
    <row r="11652">
      <c r="A11652" t="inlineStr">
        <is>
          <t>b511d640-4325-4e4a-a010-dabb4c8bc06e.jpg</t>
        </is>
      </c>
      <c r="B11652">
        <f>HYPERLINK("Объекты недвижимости, не соответствующие градостроительным нормам_00-022_Август/b511d640-4325-4e4a-a010-dabb4c8bc06e.jpg","open")</f>
        <v/>
      </c>
      <c r="C11652" t="inlineStr">
        <is>
          <t>fce890a6-27da-4062-a046-08262a160ee6</t>
        </is>
      </c>
      <c r="D11652" t="n">
        <v>55.78237</v>
      </c>
      <c r="E11652" t="n">
        <v>37.67124</v>
      </c>
      <c r="F11652" t="inlineStr"/>
      <c r="G11652" t="inlineStr"/>
      <c r="H11652" t="inlineStr"/>
    </row>
    <row r="11653">
      <c r="A11653" t="inlineStr">
        <is>
          <t>4a7c1d21-6cb9-4584-9843-e2ed17e91cf9.jpg</t>
        </is>
      </c>
      <c r="B11653">
        <f>HYPERLINK("Объекты недвижимости, не соответствующие градостроительным нормам_00-022_Август/4a7c1d21-6cb9-4584-9843-e2ed17e91cf9.jpg","open")</f>
        <v/>
      </c>
      <c r="C11653" t="inlineStr">
        <is>
          <t>9f88688f-4c81-42a8-b76a-3c3e7edf869e</t>
        </is>
      </c>
      <c r="D11653" t="n">
        <v>55.78237</v>
      </c>
      <c r="E11653" t="n">
        <v>37.67124</v>
      </c>
      <c r="F11653" t="inlineStr"/>
      <c r="G11653" t="inlineStr"/>
      <c r="H11653" t="inlineStr"/>
    </row>
    <row r="11654">
      <c r="A11654" t="inlineStr">
        <is>
          <t>1d727e55-0708-4d26-81fd-997f8a4a8191.jpg</t>
        </is>
      </c>
      <c r="B11654">
        <f>HYPERLINK("Объекты недвижимости, не соответствующие градостроительным нормам_00-022_Август/1d727e55-0708-4d26-81fd-997f8a4a8191.jpg","open")</f>
        <v/>
      </c>
      <c r="C11654" t="inlineStr">
        <is>
          <t>fce890a6-27da-4062-a046-08262a160ee6</t>
        </is>
      </c>
      <c r="D11654" t="n">
        <v>55.78237</v>
      </c>
      <c r="E11654" t="n">
        <v>37.67124</v>
      </c>
      <c r="F11654" t="inlineStr"/>
      <c r="G11654" t="inlineStr"/>
      <c r="H11654" t="inlineStr"/>
    </row>
    <row r="11655">
      <c r="A11655" t="inlineStr">
        <is>
          <t>17fbe38f-86d9-47a1-b7e8-341ccd8c1dae.jpg</t>
        </is>
      </c>
      <c r="B11655">
        <f>HYPERLINK("Объекты недвижимости, не соответствующие градостроительным нормам_00-022_Август/17fbe38f-86d9-47a1-b7e8-341ccd8c1dae.jpg","open")</f>
        <v/>
      </c>
      <c r="C11655" t="inlineStr">
        <is>
          <t>fce890a6-27da-4062-a046-08262a160ee6</t>
        </is>
      </c>
      <c r="D11655" t="n">
        <v>55.78237</v>
      </c>
      <c r="E11655" t="n">
        <v>37.67124</v>
      </c>
      <c r="F11655" t="inlineStr"/>
      <c r="G11655" t="inlineStr"/>
      <c r="H11655" t="inlineStr"/>
    </row>
    <row r="11656">
      <c r="A11656" t="inlineStr">
        <is>
          <t>9ba65da8-b2b3-4e8c-a52f-db0ca2621331.jpg</t>
        </is>
      </c>
      <c r="B11656">
        <f>HYPERLINK("Объекты недвижимости, не соответствующие градостроительным нормам_00-022_Август/9ba65da8-b2b3-4e8c-a52f-db0ca2621331.jpg","open")</f>
        <v/>
      </c>
      <c r="C11656" t="inlineStr">
        <is>
          <t>fce890a6-27da-4062-a046-08262a160ee6</t>
        </is>
      </c>
      <c r="D11656" t="n">
        <v>55.78237</v>
      </c>
      <c r="E11656" t="n">
        <v>37.67124</v>
      </c>
      <c r="F11656" t="inlineStr"/>
      <c r="G11656" t="inlineStr"/>
      <c r="H11656" t="inlineStr"/>
    </row>
    <row r="11657">
      <c r="A11657" t="inlineStr">
        <is>
          <t>9148cbb4-6ac2-4436-acd4-53a4ffac2f53.jpg</t>
        </is>
      </c>
      <c r="B11657">
        <f>HYPERLINK("Объекты недвижимости, не соответствующие градостроительным нормам_00-022_Август/9148cbb4-6ac2-4436-acd4-53a4ffac2f53.jpg","open")</f>
        <v/>
      </c>
      <c r="C11657" t="inlineStr">
        <is>
          <t>9f88688f-4c81-42a8-b76a-3c3e7edf869e</t>
        </is>
      </c>
      <c r="D11657" t="n">
        <v>55.78237</v>
      </c>
      <c r="E11657" t="n">
        <v>37.67124</v>
      </c>
      <c r="F11657" t="inlineStr"/>
      <c r="G11657" t="inlineStr"/>
      <c r="H11657" t="inlineStr"/>
    </row>
    <row r="11658">
      <c r="A11658" t="inlineStr">
        <is>
          <t>ba030fd8-c020-4763-99df-188dac8483bb.jpg</t>
        </is>
      </c>
      <c r="B11658">
        <f>HYPERLINK("Объекты недвижимости, не соответствующие градостроительным нормам_00-022_Август/ba030fd8-c020-4763-99df-188dac8483bb.jpg","open")</f>
        <v/>
      </c>
      <c r="C11658" t="inlineStr">
        <is>
          <t>fce890a6-27da-4062-a046-08262a160ee6</t>
        </is>
      </c>
      <c r="D11658" t="n">
        <v>55.78237</v>
      </c>
      <c r="E11658" t="n">
        <v>37.67124</v>
      </c>
      <c r="F11658" t="inlineStr"/>
      <c r="G11658" t="inlineStr"/>
      <c r="H11658" t="inlineStr"/>
    </row>
    <row r="11659">
      <c r="A11659" t="inlineStr">
        <is>
          <t>52d2d2dd-3305-4f0b-b255-60a0f8a0cb59.jpg</t>
        </is>
      </c>
      <c r="B11659">
        <f>HYPERLINK("Объекты недвижимости, не соответствующие градостроительным нормам_00-022_Август/52d2d2dd-3305-4f0b-b255-60a0f8a0cb59.jpg","open")</f>
        <v/>
      </c>
      <c r="C11659" t="inlineStr">
        <is>
          <t>12e795ad-2aa7-49de-b2da-2c6aa35a4559</t>
        </is>
      </c>
      <c r="D11659" t="n">
        <v>55.6117</v>
      </c>
      <c r="E11659" t="n">
        <v>37.49258</v>
      </c>
      <c r="F11659" t="inlineStr"/>
      <c r="G11659" t="inlineStr"/>
      <c r="H11659" t="inlineStr"/>
    </row>
    <row r="11660">
      <c r="A11660" t="inlineStr">
        <is>
          <t>2066675d-7934-481e-b2fc-264ae156c84a.jpg</t>
        </is>
      </c>
      <c r="B11660">
        <f>HYPERLINK("Объекты недвижимости, не соответствующие градостроительным нормам_00-022_Август/2066675d-7934-481e-b2fc-264ae156c84a.jpg","open")</f>
        <v/>
      </c>
      <c r="C11660" t="inlineStr">
        <is>
          <t>fce890a6-27da-4062-a046-08262a160ee6</t>
        </is>
      </c>
      <c r="D11660" t="n">
        <v>55.78237</v>
      </c>
      <c r="E11660" t="n">
        <v>37.67124</v>
      </c>
      <c r="F11660" t="inlineStr"/>
      <c r="G11660" t="inlineStr"/>
      <c r="H11660" t="inlineStr"/>
    </row>
    <row r="11661">
      <c r="A11661" t="inlineStr">
        <is>
          <t>df1a7ed6-5684-49dc-971b-4d7c0debdce3.jpg</t>
        </is>
      </c>
      <c r="B11661">
        <f>HYPERLINK("Объекты недвижимости, не соответствующие градостроительным нормам_00-022_Август/df1a7ed6-5684-49dc-971b-4d7c0debdce3.jpg","open")</f>
        <v/>
      </c>
      <c r="C11661" t="inlineStr">
        <is>
          <t>fce890a6-27da-4062-a046-08262a160ee6</t>
        </is>
      </c>
      <c r="D11661" t="n">
        <v>55.78237</v>
      </c>
      <c r="E11661" t="n">
        <v>37.67124</v>
      </c>
      <c r="F11661" t="inlineStr"/>
      <c r="G11661" t="inlineStr"/>
      <c r="H11661" t="inlineStr"/>
    </row>
    <row r="11662">
      <c r="A11662" t="inlineStr">
        <is>
          <t>20564848-c0aa-457e-b4e1-fd5c8b6bfbe4.jpg</t>
        </is>
      </c>
      <c r="B11662">
        <f>HYPERLINK("Объекты недвижимости, не соответствующие градостроительным нормам_00-022_Август/20564848-c0aa-457e-b4e1-fd5c8b6bfbe4.jpg","open")</f>
        <v/>
      </c>
      <c r="C11662" t="inlineStr">
        <is>
          <t>9f88688f-4c81-42a8-b76a-3c3e7edf869e</t>
        </is>
      </c>
      <c r="D11662" t="n">
        <v>55.78237</v>
      </c>
      <c r="E11662" t="n">
        <v>37.67124</v>
      </c>
      <c r="F11662" t="inlineStr"/>
      <c r="G11662" t="inlineStr"/>
      <c r="H11662" t="inlineStr"/>
    </row>
    <row r="11663">
      <c r="A11663" t="inlineStr">
        <is>
          <t>4950af6a-2370-4793-94df-5dcc1fffefd0.jpg</t>
        </is>
      </c>
      <c r="B11663">
        <f>HYPERLINK("Объекты недвижимости, не соответствующие градостроительным нормам_00-022_Август/4950af6a-2370-4793-94df-5dcc1fffefd0.jpg","open")</f>
        <v/>
      </c>
      <c r="C11663" t="inlineStr">
        <is>
          <t>fce890a6-27da-4062-a046-08262a160ee6</t>
        </is>
      </c>
      <c r="D11663" t="n">
        <v>55.78237</v>
      </c>
      <c r="E11663" t="n">
        <v>37.67124</v>
      </c>
      <c r="F11663" t="inlineStr"/>
      <c r="G11663" t="inlineStr"/>
      <c r="H11663" t="inlineStr"/>
    </row>
    <row r="11664">
      <c r="A11664" t="inlineStr">
        <is>
          <t>1d79a594-597c-494f-842b-0a987465a062.jpg</t>
        </is>
      </c>
      <c r="B11664">
        <f>HYPERLINK("Объекты недвижимости, не соответствующие градостроительным нормам_00-022_Август/1d79a594-597c-494f-842b-0a987465a062.jpg","open")</f>
        <v/>
      </c>
      <c r="C11664" t="inlineStr">
        <is>
          <t>fce890a6-27da-4062-a046-08262a160ee6</t>
        </is>
      </c>
      <c r="D11664" t="n">
        <v>55.78237</v>
      </c>
      <c r="E11664" t="n">
        <v>37.67124</v>
      </c>
      <c r="F11664" t="inlineStr"/>
      <c r="G11664" t="inlineStr"/>
      <c r="H11664" t="inlineStr"/>
    </row>
    <row r="11665">
      <c r="A11665" t="inlineStr">
        <is>
          <t>59e61592-ed91-478d-a548-acd94bbe6f4f.jpg</t>
        </is>
      </c>
      <c r="B11665">
        <f>HYPERLINK("Объекты недвижимости, не соответствующие градостроительным нормам_00-022_Август/59e61592-ed91-478d-a548-acd94bbe6f4f.jpg","open")</f>
        <v/>
      </c>
      <c r="C11665" t="inlineStr">
        <is>
          <t>18a5c468-d9e6-4814-8477-1caf4a2e1fe9</t>
        </is>
      </c>
      <c r="D11665" t="n">
        <v>55.72113</v>
      </c>
      <c r="E11665" t="n">
        <v>37.43562</v>
      </c>
      <c r="F11665" t="inlineStr"/>
      <c r="G11665" t="inlineStr"/>
      <c r="H11665" t="inlineStr"/>
    </row>
    <row r="11666">
      <c r="A11666" t="inlineStr">
        <is>
          <t>cc9e119c-9596-4ead-98cf-88dc8f59625f.jpg</t>
        </is>
      </c>
      <c r="B11666">
        <f>HYPERLINK("Объекты недвижимости, не соответствующие градостроительным нормам_00-022_Август/cc9e119c-9596-4ead-98cf-88dc8f59625f.jpg","open")</f>
        <v/>
      </c>
      <c r="C11666" t="inlineStr">
        <is>
          <t>18a5c468-d9e6-4814-8477-1caf4a2e1fe9</t>
        </is>
      </c>
      <c r="D11666" t="n">
        <v>55.72113</v>
      </c>
      <c r="E11666" t="n">
        <v>37.43562</v>
      </c>
      <c r="F11666" t="inlineStr"/>
      <c r="G11666" t="inlineStr"/>
      <c r="H11666" t="inlineStr"/>
    </row>
    <row r="11667">
      <c r="A11667" t="inlineStr">
        <is>
          <t>6bfcbea6-8d46-49f6-9929-859c4de94d2c.jpg</t>
        </is>
      </c>
      <c r="B11667">
        <f>HYPERLINK("Объекты недвижимости, не соответствующие градостроительным нормам_00-022_Август/6bfcbea6-8d46-49f6-9929-859c4de94d2c.jpg","open")</f>
        <v/>
      </c>
      <c r="C11667" t="inlineStr">
        <is>
          <t>18a5c468-d9e6-4814-8477-1caf4a2e1fe9</t>
        </is>
      </c>
      <c r="D11667" t="n">
        <v>55.72113</v>
      </c>
      <c r="E11667" t="n">
        <v>37.43562</v>
      </c>
      <c r="F11667" t="inlineStr"/>
      <c r="G11667" t="inlineStr"/>
      <c r="H11667" t="inlineStr"/>
    </row>
    <row r="11668">
      <c r="A11668" t="inlineStr">
        <is>
          <t>8c7be2f1-48cb-457a-ad62-caad1dd56959.jpg</t>
        </is>
      </c>
      <c r="B11668">
        <f>HYPERLINK("Объекты недвижимости, не соответствующие градостроительным нормам_00-022_Август/8c7be2f1-48cb-457a-ad62-caad1dd56959.jpg","open")</f>
        <v/>
      </c>
      <c r="C11668" t="inlineStr">
        <is>
          <t>fce890a6-27da-4062-a046-08262a160ee6</t>
        </is>
      </c>
      <c r="D11668" t="n">
        <v>55.78237</v>
      </c>
      <c r="E11668" t="n">
        <v>37.67124</v>
      </c>
      <c r="F11668" t="inlineStr"/>
      <c r="G11668" t="inlineStr"/>
      <c r="H11668" t="inlineStr"/>
    </row>
    <row r="11669">
      <c r="A11669" t="inlineStr">
        <is>
          <t>47c77191-b3eb-4866-9673-3db43d2793a7.jpg</t>
        </is>
      </c>
      <c r="B11669">
        <f>HYPERLINK("Объекты недвижимости, не соответствующие градостроительным нормам_00-022_Август/47c77191-b3eb-4866-9673-3db43d2793a7.jpg","open")</f>
        <v/>
      </c>
      <c r="C11669" t="inlineStr">
        <is>
          <t>fce890a6-27da-4062-a046-08262a160ee6</t>
        </is>
      </c>
      <c r="D11669" t="n">
        <v>55.78237</v>
      </c>
      <c r="E11669" t="n">
        <v>37.67124</v>
      </c>
      <c r="F11669" t="inlineStr"/>
      <c r="G11669" t="inlineStr"/>
      <c r="H11669" t="inlineStr"/>
    </row>
    <row r="11670">
      <c r="A11670" t="inlineStr">
        <is>
          <t>81e56791-ddf2-4264-ab4d-fba7ec2bbc45.jpg</t>
        </is>
      </c>
      <c r="B11670">
        <f>HYPERLINK("Объекты недвижимости, не соответствующие градостроительным нормам_00-022_Август/81e56791-ddf2-4264-ab4d-fba7ec2bbc45.jpg","open")</f>
        <v/>
      </c>
      <c r="C11670" t="inlineStr">
        <is>
          <t>9f88688f-4c81-42a8-b76a-3c3e7edf869e</t>
        </is>
      </c>
      <c r="D11670" t="n">
        <v>55.78237</v>
      </c>
      <c r="E11670" t="n">
        <v>37.67124</v>
      </c>
      <c r="F11670" t="inlineStr"/>
      <c r="G11670" t="inlineStr"/>
      <c r="H11670" t="inlineStr"/>
    </row>
    <row r="11671">
      <c r="A11671" t="inlineStr">
        <is>
          <t>8cf87e74-3cbe-411f-abb0-22b9ff7fbdaa.jpg</t>
        </is>
      </c>
      <c r="B11671">
        <f>HYPERLINK("Объекты недвижимости, не соответствующие градостроительным нормам_00-022_Август/8cf87e74-3cbe-411f-abb0-22b9ff7fbdaa.jpg","open")</f>
        <v/>
      </c>
      <c r="C11671" t="inlineStr">
        <is>
          <t>1c951e11-4940-43c6-a447-394097e5609a</t>
        </is>
      </c>
      <c r="D11671" t="n">
        <v>55.58047</v>
      </c>
      <c r="E11671" t="n">
        <v>37.64588</v>
      </c>
      <c r="F11671" t="inlineStr"/>
      <c r="G11671" t="inlineStr"/>
      <c r="H11671" t="inlineStr"/>
    </row>
    <row r="11672">
      <c r="A11672" t="inlineStr">
        <is>
          <t>d0c2450b-b810-46de-8a56-76c7a69eeb46.jpg</t>
        </is>
      </c>
      <c r="B11672">
        <f>HYPERLINK("Объекты недвижимости, не соответствующие градостроительным нормам_00-022_Август/d0c2450b-b810-46de-8a56-76c7a69eeb46.jpg","open")</f>
        <v/>
      </c>
      <c r="C11672" t="inlineStr">
        <is>
          <t>18a5c468-d9e6-4814-8477-1caf4a2e1fe9</t>
        </is>
      </c>
      <c r="D11672" t="n">
        <v>55.72113</v>
      </c>
      <c r="E11672" t="n">
        <v>37.43562</v>
      </c>
      <c r="F11672" t="inlineStr"/>
      <c r="G11672" t="inlineStr"/>
      <c r="H11672" t="inlineStr"/>
    </row>
    <row r="11673">
      <c r="A11673" t="inlineStr">
        <is>
          <t>54e04eb7-8a03-4fb3-b6dd-9abf75ba184d.jpg</t>
        </is>
      </c>
      <c r="B11673">
        <f>HYPERLINK("Объекты недвижимости, не соответствующие градостроительным нормам_00-022_Август/54e04eb7-8a03-4fb3-b6dd-9abf75ba184d.jpg","open")</f>
        <v/>
      </c>
      <c r="C11673" t="inlineStr">
        <is>
          <t>8cde1fd0-eca1-4510-86ab-3c743b65fdfc</t>
        </is>
      </c>
      <c r="D11673" t="n">
        <v>55.57956</v>
      </c>
      <c r="E11673" t="n">
        <v>37.65775</v>
      </c>
      <c r="F11673" t="inlineStr"/>
      <c r="G11673" t="inlineStr"/>
      <c r="H11673" t="inlineStr"/>
    </row>
    <row r="11674">
      <c r="A11674" t="inlineStr">
        <is>
          <t>921016d0-7c82-4960-a34f-dd2b32bf1632.jpg</t>
        </is>
      </c>
      <c r="B11674">
        <f>HYPERLINK("Объекты недвижимости, не соответствующие градостроительным нормам_00-022_Август/921016d0-7c82-4960-a34f-dd2b32bf1632.jpg","open")</f>
        <v/>
      </c>
      <c r="C11674" t="inlineStr">
        <is>
          <t>db8b536c-32f2-4d9a-ae08-679d227e61f1</t>
        </is>
      </c>
      <c r="D11674" t="n">
        <v>55.98184</v>
      </c>
      <c r="E11674" t="n">
        <v>37.42139</v>
      </c>
      <c r="F11674" t="inlineStr"/>
      <c r="G11674" t="inlineStr"/>
      <c r="H11674" t="inlineStr"/>
    </row>
    <row r="11675">
      <c r="A11675" t="inlineStr">
        <is>
          <t>b576596b-983c-4ede-a388-66de922e8fdd.jpg</t>
        </is>
      </c>
      <c r="B11675">
        <f>HYPERLINK("Объекты недвижимости, не соответствующие градостроительным нормам_00-022_Август/b576596b-983c-4ede-a388-66de922e8fdd.jpg","open")</f>
        <v/>
      </c>
      <c r="C11675" t="inlineStr">
        <is>
          <t>48b533d5-d106-4175-ac9b-d5ce8d90cccf</t>
        </is>
      </c>
      <c r="D11675" t="n">
        <v>55.72325</v>
      </c>
      <c r="E11675" t="n">
        <v>37.73404</v>
      </c>
      <c r="F11675" t="inlineStr"/>
      <c r="G11675" t="inlineStr"/>
      <c r="H11675" t="inlineStr"/>
    </row>
    <row r="11676">
      <c r="A11676" t="inlineStr">
        <is>
          <t>6cb7448a-afdf-48a7-a3d7-cc096dc2b83f.jpg</t>
        </is>
      </c>
      <c r="B11676">
        <f>HYPERLINK("Объекты недвижимости, не соответствующие градостроительным нормам_00-022_Август/6cb7448a-afdf-48a7-a3d7-cc096dc2b83f.jpg","open")</f>
        <v/>
      </c>
      <c r="C11676" t="inlineStr">
        <is>
          <t>8996eb30-6497-4318-8a0e-b95314b8172e</t>
        </is>
      </c>
      <c r="D11676" t="n">
        <v>55.72328</v>
      </c>
      <c r="E11676" t="n">
        <v>37.73411</v>
      </c>
      <c r="F11676" t="inlineStr"/>
      <c r="G11676" t="inlineStr"/>
      <c r="H11676" t="inlineStr"/>
    </row>
    <row r="11677">
      <c r="A11677" t="inlineStr">
        <is>
          <t>62928d39-845c-4889-aa84-cbc4a695d1b1.jpg</t>
        </is>
      </c>
      <c r="B11677">
        <f>HYPERLINK("Объекты недвижимости, не соответствующие градостроительным нормам_00-022_Август/62928d39-845c-4889-aa84-cbc4a695d1b1.jpg","open")</f>
        <v/>
      </c>
      <c r="C11677" t="inlineStr">
        <is>
          <t>4cd87d14-7440-44b7-a5b2-a738e10006f7</t>
        </is>
      </c>
      <c r="D11677" t="n">
        <v>55.90206</v>
      </c>
      <c r="E11677" t="n">
        <v>37.54327</v>
      </c>
      <c r="F11677" t="inlineStr"/>
      <c r="G11677" t="inlineStr"/>
      <c r="H11677" t="inlineStr"/>
    </row>
    <row r="11678">
      <c r="A11678" t="inlineStr">
        <is>
          <t>bb3ed885-a0a7-4ca1-b800-17d3dde8f57a.jpg</t>
        </is>
      </c>
      <c r="B11678">
        <f>HYPERLINK("Объекты недвижимости, не соответствующие градостроительным нормам_00-022_Август/bb3ed885-a0a7-4ca1-b800-17d3dde8f57a.jpg","open")</f>
        <v/>
      </c>
      <c r="C11678" t="inlineStr">
        <is>
          <t>12e795ad-2aa7-49de-b2da-2c6aa35a4559</t>
        </is>
      </c>
      <c r="D11678" t="n">
        <v>55.6097</v>
      </c>
      <c r="E11678" t="n">
        <v>37.51672</v>
      </c>
      <c r="F11678" t="inlineStr"/>
      <c r="G11678" t="inlineStr"/>
      <c r="H11678" t="inlineStr"/>
    </row>
    <row r="11679">
      <c r="A11679" t="inlineStr">
        <is>
          <t>c83492d6-1be8-43fa-9a7b-e1dcaf43c253.jpg</t>
        </is>
      </c>
      <c r="B11679">
        <f>HYPERLINK("Объекты недвижимости, не соответствующие градостроительным нормам_00-022_Август/c83492d6-1be8-43fa-9a7b-e1dcaf43c253.jpg","open")</f>
        <v/>
      </c>
      <c r="C11679" t="inlineStr">
        <is>
          <t>99f3abba-c55b-49f0-9de5-9f88e9597cc0</t>
        </is>
      </c>
      <c r="D11679" t="n">
        <v>55.59052</v>
      </c>
      <c r="E11679" t="n">
        <v>37.59512</v>
      </c>
      <c r="F11679" t="inlineStr"/>
      <c r="G11679" t="inlineStr"/>
      <c r="H11679" t="inlineStr"/>
    </row>
    <row r="11680">
      <c r="A11680" t="inlineStr">
        <is>
          <t>c33e0aa3-2b3e-43d2-8e91-59db59a55cd4.jpg</t>
        </is>
      </c>
      <c r="B11680">
        <f>HYPERLINK("Объекты недвижимости, не соответствующие градостроительным нормам_00-022_Август/c33e0aa3-2b3e-43d2-8e91-59db59a55cd4.jpg","open")</f>
        <v/>
      </c>
      <c r="C11680" t="inlineStr">
        <is>
          <t>8996eb30-6497-4318-8a0e-b95314b8172e</t>
        </is>
      </c>
      <c r="D11680" t="n">
        <v>55.7166</v>
      </c>
      <c r="E11680" t="n">
        <v>37.75425</v>
      </c>
      <c r="F11680" t="inlineStr"/>
      <c r="G11680" t="inlineStr"/>
      <c r="H11680" t="inlineStr"/>
    </row>
    <row r="11681">
      <c r="A11681" t="inlineStr">
        <is>
          <t>ffda8f08-c0d1-44ef-9476-a3c6075fca93.jpg</t>
        </is>
      </c>
      <c r="B11681">
        <f>HYPERLINK("Объекты недвижимости, не соответствующие градостроительным нормам_00-022_Август/ffda8f08-c0d1-44ef-9476-a3c6075fca93.jpg","open")</f>
        <v/>
      </c>
      <c r="C11681" t="inlineStr">
        <is>
          <t>18a5c468-d9e6-4814-8477-1caf4a2e1fe9</t>
        </is>
      </c>
      <c r="D11681" t="n">
        <v>55.72113</v>
      </c>
      <c r="E11681" t="n">
        <v>37.43562</v>
      </c>
      <c r="F11681" t="inlineStr"/>
      <c r="G11681" t="inlineStr"/>
      <c r="H11681" t="inlineStr"/>
    </row>
    <row r="11682">
      <c r="A11682" t="inlineStr">
        <is>
          <t>f8caf58e-48b2-45ea-92a0-6c4953e56d75.jpg</t>
        </is>
      </c>
      <c r="B11682">
        <f>HYPERLINK("Объекты недвижимости, не соответствующие градостроительным нормам_00-022_Август/f8caf58e-48b2-45ea-92a0-6c4953e56d75.jpg","open")</f>
        <v/>
      </c>
      <c r="C11682" t="inlineStr">
        <is>
          <t>18a5c468-d9e6-4814-8477-1caf4a2e1fe9</t>
        </is>
      </c>
      <c r="D11682" t="n">
        <v>55.72113</v>
      </c>
      <c r="E11682" t="n">
        <v>37.43562</v>
      </c>
      <c r="F11682" t="inlineStr"/>
      <c r="G11682" t="inlineStr"/>
      <c r="H11682" t="inlineStr"/>
    </row>
    <row r="11683">
      <c r="A11683" t="inlineStr">
        <is>
          <t>b3968096-dcfa-4fa0-811a-e0b6558dfb48.jpg</t>
        </is>
      </c>
      <c r="B11683">
        <f>HYPERLINK("Объекты недвижимости, не соответствующие градостроительным нормам_00-022_Август/b3968096-dcfa-4fa0-811a-e0b6558dfb48.jpg","open")</f>
        <v/>
      </c>
      <c r="C11683" t="inlineStr">
        <is>
          <t>d2c4eccd-3e4b-406c-a903-0f5e43d0be35</t>
        </is>
      </c>
      <c r="D11683" t="n">
        <v>55.72113</v>
      </c>
      <c r="E11683" t="n">
        <v>37.43562</v>
      </c>
      <c r="F11683" t="inlineStr"/>
      <c r="G11683" t="inlineStr"/>
      <c r="H11683" t="inlineStr"/>
    </row>
    <row r="11684">
      <c r="A11684" t="inlineStr">
        <is>
          <t>f24c9cf8-ee6d-4d3d-a680-2e1e884ae58c.jpg</t>
        </is>
      </c>
      <c r="B11684">
        <f>HYPERLINK("Объекты недвижимости, не соответствующие градостроительным нормам_00-022_Август/f24c9cf8-ee6d-4d3d-a680-2e1e884ae58c.jpg","open")</f>
        <v/>
      </c>
      <c r="C11684" t="inlineStr">
        <is>
          <t>99f3abba-c55b-49f0-9de5-9f88e9597cc0</t>
        </is>
      </c>
      <c r="D11684" t="n">
        <v>55.59094</v>
      </c>
      <c r="E11684" t="n">
        <v>37.59085</v>
      </c>
      <c r="F11684" t="inlineStr"/>
      <c r="G11684" t="inlineStr"/>
      <c r="H11684" t="inlineStr"/>
    </row>
    <row r="11685">
      <c r="A11685" t="inlineStr">
        <is>
          <t>cb0963cc-0905-451d-8a47-8ffc4fb596f4.jpg</t>
        </is>
      </c>
      <c r="B11685">
        <f>HYPERLINK("Объекты недвижимости, не соответствующие градостроительным нормам_00-022_Август/cb0963cc-0905-451d-8a47-8ffc4fb596f4.jpg","open")</f>
        <v/>
      </c>
      <c r="C11685" t="inlineStr">
        <is>
          <t>685d9054-b74f-49ab-857b-109fd2cec80d</t>
        </is>
      </c>
      <c r="D11685" t="n">
        <v>55.61935</v>
      </c>
      <c r="E11685" t="n">
        <v>37.4912</v>
      </c>
      <c r="F11685" t="inlineStr"/>
      <c r="G11685" t="inlineStr"/>
      <c r="H11685" t="inlineStr"/>
    </row>
    <row r="11686">
      <c r="A11686" t="inlineStr">
        <is>
          <t>a86fc68c-72f0-43fc-a5e8-9a632e35b997.jpg</t>
        </is>
      </c>
      <c r="B11686">
        <f>HYPERLINK("Объекты недвижимости, не соответствующие градостроительным нормам_00-022_Август/a86fc68c-72f0-43fc-a5e8-9a632e35b997.jpg","open")</f>
        <v/>
      </c>
      <c r="C11686" t="inlineStr">
        <is>
          <t>1231bbc5-e64c-4dc7-9acc-77710f47607a</t>
        </is>
      </c>
      <c r="D11686" t="n">
        <v>55.61935</v>
      </c>
      <c r="E11686" t="n">
        <v>37.4912</v>
      </c>
      <c r="F11686" t="inlineStr"/>
      <c r="G11686" t="inlineStr"/>
      <c r="H11686" t="inlineStr"/>
    </row>
    <row r="11687">
      <c r="A11687" t="inlineStr">
        <is>
          <t>c6c2d9b4-d24d-40fb-8c0f-7f596ea1ff22.jpg</t>
        </is>
      </c>
      <c r="B11687">
        <f>HYPERLINK("Объекты недвижимости, не соответствующие градостроительным нормам_00-022_Август/c6c2d9b4-d24d-40fb-8c0f-7f596ea1ff22.jpg","open")</f>
        <v/>
      </c>
      <c r="C11687" t="inlineStr">
        <is>
          <t>ed2bf0f1-3a66-4913-896e-4420a9796c0b</t>
        </is>
      </c>
      <c r="D11687" t="n">
        <v>55.67286</v>
      </c>
      <c r="E11687" t="n">
        <v>37.52596</v>
      </c>
      <c r="F11687" t="inlineStr"/>
      <c r="G11687" t="inlineStr"/>
      <c r="H11687" t="inlineStr"/>
    </row>
    <row r="11688">
      <c r="A11688" t="inlineStr">
        <is>
          <t>c91e60ff-d846-4f64-9a9e-650a81004491.jpg</t>
        </is>
      </c>
      <c r="B11688">
        <f>HYPERLINK("Объекты недвижимости, не соответствующие градостроительным нормам_00-022_Август/c91e60ff-d846-4f64-9a9e-650a81004491.jpg","open")</f>
        <v/>
      </c>
      <c r="C11688" t="inlineStr">
        <is>
          <t>ad64e6b9-1ed5-44d7-a101-4945a1f9dec6</t>
        </is>
      </c>
      <c r="D11688" t="n">
        <v>55.6096</v>
      </c>
      <c r="E11688" t="n">
        <v>37.5167</v>
      </c>
      <c r="F11688" t="inlineStr"/>
      <c r="G11688" t="inlineStr"/>
      <c r="H11688" t="inlineStr"/>
    </row>
    <row r="11689">
      <c r="A11689" t="inlineStr">
        <is>
          <t>513fccff-078b-4bbe-8eeb-bc2f2832f120.jpg</t>
        </is>
      </c>
      <c r="B11689">
        <f>HYPERLINK("Объекты недвижимости, не соответствующие градостроительным нормам_00-022_Август/513fccff-078b-4bbe-8eeb-bc2f2832f120.jpg","open")</f>
        <v/>
      </c>
      <c r="C11689" t="inlineStr">
        <is>
          <t>12e795ad-2aa7-49de-b2da-2c6aa35a4559</t>
        </is>
      </c>
      <c r="D11689" t="n">
        <v>55.6096</v>
      </c>
      <c r="E11689" t="n">
        <v>37.5167</v>
      </c>
      <c r="F11689" t="inlineStr"/>
      <c r="G11689" t="inlineStr"/>
      <c r="H11689" t="inlineStr"/>
    </row>
    <row r="11690">
      <c r="A11690" t="inlineStr">
        <is>
          <t>05e59574-26f0-48ac-9862-dd6cbf247554.jpg</t>
        </is>
      </c>
      <c r="B11690">
        <f>HYPERLINK("Объекты недвижимости, не соответствующие градостроительным нормам_00-022_Август/05e59574-26f0-48ac-9862-dd6cbf247554.jpg","open")</f>
        <v/>
      </c>
      <c r="C11690" t="inlineStr">
        <is>
          <t>9f88688f-4c81-42a8-b76a-3c3e7edf869e</t>
        </is>
      </c>
      <c r="D11690" t="n">
        <v>55.78237</v>
      </c>
      <c r="E11690" t="n">
        <v>37.67124</v>
      </c>
      <c r="F11690" t="inlineStr"/>
      <c r="G11690" t="inlineStr"/>
      <c r="H11690" t="inlineStr"/>
    </row>
    <row r="11691">
      <c r="A11691" t="inlineStr">
        <is>
          <t>e168c80a-ca75-402b-ba9a-2d2b8bb15912.jpg</t>
        </is>
      </c>
      <c r="B11691">
        <f>HYPERLINK("Объекты недвижимости, не соответствующие градостроительным нормам_00-022_Август/e168c80a-ca75-402b-ba9a-2d2b8bb15912.jpg","open")</f>
        <v/>
      </c>
      <c r="C11691" t="inlineStr">
        <is>
          <t>9f88688f-4c81-42a8-b76a-3c3e7edf869e</t>
        </is>
      </c>
      <c r="D11691" t="n">
        <v>55.78237</v>
      </c>
      <c r="E11691" t="n">
        <v>37.67124</v>
      </c>
      <c r="F11691" t="inlineStr"/>
      <c r="G11691" t="inlineStr"/>
      <c r="H11691" t="inlineStr"/>
    </row>
    <row r="11692">
      <c r="A11692" t="inlineStr">
        <is>
          <t>774d8830-3d76-44bb-b21e-41984be8ea54.jpg</t>
        </is>
      </c>
      <c r="B11692">
        <f>HYPERLINK("Объекты недвижимости, не соответствующие градостроительным нормам_00-022_Август/774d8830-3d76-44bb-b21e-41984be8ea54.jpg","open")</f>
        <v/>
      </c>
      <c r="C11692" t="inlineStr">
        <is>
          <t>fce890a6-27da-4062-a046-08262a160ee6</t>
        </is>
      </c>
      <c r="D11692" t="n">
        <v>55.78237</v>
      </c>
      <c r="E11692" t="n">
        <v>37.67124</v>
      </c>
      <c r="F11692" t="inlineStr"/>
      <c r="G11692" t="inlineStr"/>
      <c r="H11692" t="inlineStr"/>
    </row>
    <row r="11693">
      <c r="A11693" t="inlineStr">
        <is>
          <t>9c25f939-8cfe-465e-977b-3e619801ab0a.jpg</t>
        </is>
      </c>
      <c r="B11693">
        <f>HYPERLINK("Объекты недвижимости, не соответствующие градостроительным нормам_00-022_Август/9c25f939-8cfe-465e-977b-3e619801ab0a.jpg","open")</f>
        <v/>
      </c>
      <c r="C11693" t="inlineStr">
        <is>
          <t>1231bbc5-e64c-4dc7-9acc-77710f47607a</t>
        </is>
      </c>
      <c r="D11693" t="n">
        <v>55.62043</v>
      </c>
      <c r="E11693" t="n">
        <v>37.4897</v>
      </c>
      <c r="F11693" t="inlineStr"/>
      <c r="G11693" t="inlineStr"/>
      <c r="H11693" t="inlineStr"/>
    </row>
    <row r="11694">
      <c r="A11694" t="inlineStr">
        <is>
          <t>f27b923e-a2c6-4df3-8f1c-4bf0d0f7c9f0.jpg</t>
        </is>
      </c>
      <c r="B11694">
        <f>HYPERLINK("Объекты недвижимости, не соответствующие градостроительным нормам_00-022_Август/f27b923e-a2c6-4df3-8f1c-4bf0d0f7c9f0.jpg","open")</f>
        <v/>
      </c>
      <c r="C11694" t="inlineStr">
        <is>
          <t>b0429a31-0c70-4b9f-8ea5-73929d82f89e</t>
        </is>
      </c>
      <c r="D11694" t="n">
        <v>55.5921</v>
      </c>
      <c r="E11694" t="n">
        <v>37.59282</v>
      </c>
      <c r="F11694" t="inlineStr"/>
      <c r="G11694" t="inlineStr"/>
      <c r="H11694" t="inlineStr"/>
    </row>
    <row r="11695">
      <c r="A11695" t="inlineStr">
        <is>
          <t>59bbba5b-ffad-4c88-9f81-3629da475263.jpg</t>
        </is>
      </c>
      <c r="B11695">
        <f>HYPERLINK("Объекты недвижимости, не соответствующие градостроительным нормам_00-022_Август/59bbba5b-ffad-4c88-9f81-3629da475263.jpg","open")</f>
        <v/>
      </c>
      <c r="C11695" t="inlineStr">
        <is>
          <t>9f88688f-4c81-42a8-b76a-3c3e7edf869e</t>
        </is>
      </c>
      <c r="D11695" t="n">
        <v>55.78237</v>
      </c>
      <c r="E11695" t="n">
        <v>37.67124</v>
      </c>
      <c r="F11695" t="inlineStr"/>
      <c r="G11695" t="inlineStr"/>
      <c r="H11695" t="inlineStr"/>
    </row>
    <row r="11696">
      <c r="A11696" t="inlineStr">
        <is>
          <t>ed692331-7865-4d30-9767-63451144ce04.jpg</t>
        </is>
      </c>
      <c r="B11696">
        <f>HYPERLINK("Объекты недвижимости, не соответствующие градостроительным нормам_00-022_Август/ed692331-7865-4d30-9767-63451144ce04.jpg","open")</f>
        <v/>
      </c>
      <c r="C11696" t="inlineStr">
        <is>
          <t>e90a3ac0-5b70-4ede-abeb-382371713306</t>
        </is>
      </c>
      <c r="D11696" t="n">
        <v>55.98184</v>
      </c>
      <c r="E11696" t="n">
        <v>37.42139</v>
      </c>
      <c r="F11696" t="inlineStr"/>
      <c r="G11696" t="inlineStr"/>
      <c r="H11696" t="inlineStr"/>
    </row>
    <row r="11697">
      <c r="A11697" t="inlineStr">
        <is>
          <t>f36f584d-a8d3-4f12-b1c8-770e0d7c6949.jpg</t>
        </is>
      </c>
      <c r="B11697">
        <f>HYPERLINK("Объекты недвижимости, не соответствующие градостроительным нормам_00-022_Август/f36f584d-a8d3-4f12-b1c8-770e0d7c6949.jpg","open")</f>
        <v/>
      </c>
      <c r="C11697" t="inlineStr">
        <is>
          <t>036c664f-5408-4fd0-b479-342c00468eeb</t>
        </is>
      </c>
      <c r="D11697" t="n">
        <v>55.73396</v>
      </c>
      <c r="E11697" t="n">
        <v>37.42575</v>
      </c>
      <c r="F11697" t="inlineStr"/>
      <c r="G11697" t="inlineStr"/>
      <c r="H11697" t="inlineStr"/>
    </row>
    <row r="11698">
      <c r="A11698" t="inlineStr">
        <is>
          <t>ff84702f-ccca-48c7-b288-8491536941db.jpg</t>
        </is>
      </c>
      <c r="B11698">
        <f>HYPERLINK("Объекты недвижимости, не соответствующие градостроительным нормам_00-022_Август/ff84702f-ccca-48c7-b288-8491536941db.jpg","open")</f>
        <v/>
      </c>
      <c r="C11698" t="inlineStr">
        <is>
          <t>e26f5fc2-1353-4f29-85f3-87c56419161c</t>
        </is>
      </c>
      <c r="D11698" t="n">
        <v>55.89827</v>
      </c>
      <c r="E11698" t="n">
        <v>37.55279</v>
      </c>
      <c r="F11698" t="inlineStr"/>
      <c r="G11698" t="inlineStr"/>
      <c r="H11698" t="inlineStr"/>
    </row>
    <row r="11699">
      <c r="A11699" t="inlineStr">
        <is>
          <t>ed75d481-0e19-4d3d-9382-ad88c779e191.jpg</t>
        </is>
      </c>
      <c r="B11699">
        <f>HYPERLINK("Объекты недвижимости, не соответствующие градостроительным нормам_00-022_Август/ed75d481-0e19-4d3d-9382-ad88c779e191.jpg","open")</f>
        <v/>
      </c>
      <c r="C11699" t="inlineStr">
        <is>
          <t>dd22c7c9-0046-46d8-8631-55150dbf8ae5</t>
        </is>
      </c>
      <c r="D11699" t="n">
        <v>55.78678</v>
      </c>
      <c r="E11699" t="n">
        <v>37.63473</v>
      </c>
      <c r="F11699" t="inlineStr"/>
      <c r="G11699" t="inlineStr"/>
      <c r="H11699" t="inlineStr"/>
    </row>
    <row r="11700">
      <c r="A11700" t="inlineStr">
        <is>
          <t>e22a95b6-e8ee-4369-b87c-944e64be72a3.jpg</t>
        </is>
      </c>
      <c r="B11700">
        <f>HYPERLINK("Объекты недвижимости, не соответствующие градостроительным нормам_00-022_Август/e22a95b6-e8ee-4369-b87c-944e64be72a3.jpg","open")</f>
        <v/>
      </c>
      <c r="C11700" t="inlineStr">
        <is>
          <t>48b533d5-d106-4175-ac9b-d5ce8d90cccf</t>
        </is>
      </c>
      <c r="D11700" t="n">
        <v>55.71553</v>
      </c>
      <c r="E11700" t="n">
        <v>37.75073</v>
      </c>
      <c r="F11700" t="inlineStr"/>
      <c r="G11700" t="inlineStr"/>
      <c r="H11700" t="inlineStr"/>
    </row>
    <row r="11701">
      <c r="A11701" t="inlineStr">
        <is>
          <t>5d984380-05ca-4aad-86df-0cd68dc256cf.jpg</t>
        </is>
      </c>
      <c r="B11701">
        <f>HYPERLINK("Объекты недвижимости, не соответствующие градостроительным нормам_00-022_Август/5d984380-05ca-4aad-86df-0cd68dc256cf.jpg","open")</f>
        <v/>
      </c>
      <c r="C11701" t="inlineStr">
        <is>
          <t>5e5b9944-4f9e-4223-bf96-0bc0c8a93dfa</t>
        </is>
      </c>
      <c r="D11701" t="n">
        <v>55.98244</v>
      </c>
      <c r="E11701" t="n">
        <v>37.41866</v>
      </c>
      <c r="F11701" t="inlineStr"/>
      <c r="G11701" t="inlineStr"/>
      <c r="H11701" t="inlineStr"/>
    </row>
    <row r="11702">
      <c r="A11702" t="inlineStr">
        <is>
          <t>7df07add-cdaf-4d21-ae83-9f270f3fceb4.jpg</t>
        </is>
      </c>
      <c r="B11702">
        <f>HYPERLINK("Объекты недвижимости, не соответствующие градостроительным нормам_00-022_Август/7df07add-cdaf-4d21-ae83-9f270f3fceb4.jpg","open")</f>
        <v/>
      </c>
      <c r="C11702" t="inlineStr">
        <is>
          <t>8996eb30-6497-4318-8a0e-b95314b8172e</t>
        </is>
      </c>
      <c r="D11702" t="n">
        <v>55.71554</v>
      </c>
      <c r="E11702" t="n">
        <v>37.75069</v>
      </c>
      <c r="F11702" t="inlineStr"/>
      <c r="G11702" t="inlineStr"/>
      <c r="H11702" t="inlineStr"/>
    </row>
    <row r="11703">
      <c r="A11703" t="inlineStr">
        <is>
          <t>e1d78342-1cac-430f-83a6-c2763a3b4f8a.jpg</t>
        </is>
      </c>
      <c r="B11703">
        <f>HYPERLINK("Объекты недвижимости, не соответствующие градостроительным нормам_00-022_Август/e1d78342-1cac-430f-83a6-c2763a3b4f8a.jpg","open")</f>
        <v/>
      </c>
      <c r="C11703" t="inlineStr">
        <is>
          <t>dd22c7c9-0046-46d8-8631-55150dbf8ae5</t>
        </is>
      </c>
      <c r="D11703" t="n">
        <v>55.78678</v>
      </c>
      <c r="E11703" t="n">
        <v>37.63473</v>
      </c>
      <c r="F11703" t="inlineStr"/>
      <c r="G11703" t="inlineStr"/>
      <c r="H11703" t="inlineStr"/>
    </row>
    <row r="11704">
      <c r="A11704" t="inlineStr">
        <is>
          <t>5cc076bd-9683-462e-8911-4a6e686fdc9e.jpg</t>
        </is>
      </c>
      <c r="B11704">
        <f>HYPERLINK("Объекты недвижимости, не соответствующие градостроительным нормам_00-022_Август/5cc076bd-9683-462e-8911-4a6e686fdc9e.jpg","open")</f>
        <v/>
      </c>
      <c r="C11704" t="inlineStr">
        <is>
          <t>48b533d5-d106-4175-ac9b-d5ce8d90cccf</t>
        </is>
      </c>
      <c r="D11704" t="n">
        <v>55.71589</v>
      </c>
      <c r="E11704" t="n">
        <v>37.74925</v>
      </c>
      <c r="F11704" t="inlineStr"/>
      <c r="G11704" t="inlineStr"/>
      <c r="H11704" t="inlineStr"/>
    </row>
    <row r="11705">
      <c r="A11705" t="inlineStr">
        <is>
          <t>cc2f68ba-a538-4031-9cad-45dc02c1d763.jpg</t>
        </is>
      </c>
      <c r="B11705">
        <f>HYPERLINK("Объекты недвижимости, не соответствующие градостроительным нормам_00-022_Август/cc2f68ba-a538-4031-9cad-45dc02c1d763.jpg","open")</f>
        <v/>
      </c>
      <c r="C11705" t="inlineStr">
        <is>
          <t>8996eb30-6497-4318-8a0e-b95314b8172e</t>
        </is>
      </c>
      <c r="D11705" t="n">
        <v>55.71588</v>
      </c>
      <c r="E11705" t="n">
        <v>37.74921</v>
      </c>
      <c r="F11705" t="inlineStr"/>
      <c r="G11705" t="inlineStr"/>
      <c r="H11705" t="inlineStr"/>
    </row>
    <row r="11706">
      <c r="A11706" t="inlineStr">
        <is>
          <t>27d9a281-7fc1-4d55-a1d6-d3b16f472199.jpg</t>
        </is>
      </c>
      <c r="B11706">
        <f>HYPERLINK("Объекты недвижимости, не соответствующие градостроительным нормам_00-022_Август/27d9a281-7fc1-4d55-a1d6-d3b16f472199.jpg","open")</f>
        <v/>
      </c>
      <c r="C11706" t="inlineStr">
        <is>
          <t>789f6c51-64ee-4078-b7bd-443af8b8b68a</t>
        </is>
      </c>
      <c r="D11706" t="n">
        <v>55.8339</v>
      </c>
      <c r="E11706" t="n">
        <v>37.66341</v>
      </c>
      <c r="F11706" t="inlineStr"/>
      <c r="G11706" t="inlineStr"/>
      <c r="H11706" t="inlineStr"/>
    </row>
    <row r="11707">
      <c r="A11707" t="inlineStr">
        <is>
          <t>e8c4b2d8-d61c-476a-b807-99e427de1dd2.jpg</t>
        </is>
      </c>
      <c r="B11707">
        <f>HYPERLINK("Объекты недвижимости, не соответствующие градостроительным нормам_00-022_Август/e8c4b2d8-d61c-476a-b807-99e427de1dd2.jpg","open")</f>
        <v/>
      </c>
      <c r="C11707" t="inlineStr">
        <is>
          <t>a28f597e-d1cd-4d3b-b572-c86d033412e9</t>
        </is>
      </c>
      <c r="D11707" t="n">
        <v>55.73612</v>
      </c>
      <c r="E11707" t="n">
        <v>37.4257</v>
      </c>
      <c r="F11707" t="inlineStr"/>
      <c r="G11707" t="inlineStr"/>
      <c r="H11707" t="inlineStr"/>
    </row>
    <row r="11708">
      <c r="A11708" t="inlineStr">
        <is>
          <t>c2147504-5bf4-4d1e-8364-2f964917f946.jpg</t>
        </is>
      </c>
      <c r="B11708">
        <f>HYPERLINK("Объекты недвижимости, не соответствующие градостроительным нормам_00-022_Август/c2147504-5bf4-4d1e-8364-2f964917f946.jpg","open")</f>
        <v/>
      </c>
      <c r="C11708" t="inlineStr">
        <is>
          <t>ed2bf0f1-3a66-4913-896e-4420a9796c0b</t>
        </is>
      </c>
      <c r="D11708" t="n">
        <v>55.67231</v>
      </c>
      <c r="E11708" t="n">
        <v>37.54248</v>
      </c>
      <c r="F11708" t="inlineStr"/>
      <c r="G11708" t="inlineStr"/>
      <c r="H11708" t="inlineStr"/>
    </row>
    <row r="11709">
      <c r="A11709" t="inlineStr">
        <is>
          <t>e895177f-b7ed-4d08-8736-5c748dec60a0.jpg</t>
        </is>
      </c>
      <c r="B11709">
        <f>HYPERLINK("Объекты недвижимости, не соответствующие градостроительным нормам_00-022_Август/e895177f-b7ed-4d08-8736-5c748dec60a0.jpg","open")</f>
        <v/>
      </c>
      <c r="C11709" t="inlineStr">
        <is>
          <t>b0429a31-0c70-4b9f-8ea5-73929d82f89e</t>
        </is>
      </c>
      <c r="D11709" t="n">
        <v>55.59512</v>
      </c>
      <c r="E11709" t="n">
        <v>37.5947</v>
      </c>
      <c r="F11709" t="inlineStr"/>
      <c r="G11709" t="inlineStr"/>
      <c r="H11709" t="inlineStr"/>
    </row>
    <row r="11710">
      <c r="A11710" t="inlineStr">
        <is>
          <t>803e8d52-b852-4ea9-9668-66f0e0c6ef65.jpg</t>
        </is>
      </c>
      <c r="B11710">
        <f>HYPERLINK("Объекты недвижимости, не соответствующие градостроительным нормам_00-022_Август/803e8d52-b852-4ea9-9668-66f0e0c6ef65.jpg","open")</f>
        <v/>
      </c>
      <c r="C11710" t="inlineStr">
        <is>
          <t>e26f5fc2-1353-4f29-85f3-87c56419161c</t>
        </is>
      </c>
      <c r="D11710" t="n">
        <v>55.89622</v>
      </c>
      <c r="E11710" t="n">
        <v>37.65334</v>
      </c>
      <c r="F11710" t="inlineStr"/>
      <c r="G11710" t="inlineStr"/>
      <c r="H11710" t="inlineStr"/>
    </row>
    <row r="11711">
      <c r="A11711" t="inlineStr">
        <is>
          <t>248c58b6-30c2-4802-bf9f-a8804ea19b6d.jpg</t>
        </is>
      </c>
      <c r="B11711">
        <f>HYPERLINK("Объекты недвижимости, не соответствующие градостроительным нормам_00-022_Август/248c58b6-30c2-4802-bf9f-a8804ea19b6d.jpg","open")</f>
        <v/>
      </c>
      <c r="C11711" t="inlineStr">
        <is>
          <t>ffd931da-542f-43e9-979f-5552b17fe3dc</t>
        </is>
      </c>
      <c r="D11711" t="n">
        <v>55.79863</v>
      </c>
      <c r="E11711" t="n">
        <v>37.70659</v>
      </c>
      <c r="F11711" t="inlineStr"/>
      <c r="G11711" t="inlineStr"/>
      <c r="H11711" t="inlineStr"/>
    </row>
    <row r="11712">
      <c r="A11712" t="inlineStr">
        <is>
          <t>c03d121f-05fe-4c40-b15d-28c45ddd6696.jpg</t>
        </is>
      </c>
      <c r="B11712">
        <f>HYPERLINK("Объекты недвижимости, не соответствующие градостроительным нормам_00-022_Август/c03d121f-05fe-4c40-b15d-28c45ddd6696.jpg","open")</f>
        <v/>
      </c>
      <c r="C11712" t="inlineStr">
        <is>
          <t>a28f597e-d1cd-4d3b-b572-c86d033412e9</t>
        </is>
      </c>
      <c r="D11712" t="n">
        <v>55.73453</v>
      </c>
      <c r="E11712" t="n">
        <v>37.42101</v>
      </c>
      <c r="F11712" t="inlineStr"/>
      <c r="G11712" t="inlineStr"/>
      <c r="H11712" t="inlineStr"/>
    </row>
    <row r="11713">
      <c r="A11713" t="inlineStr">
        <is>
          <t>de993a87-f44a-4f65-893d-cad38c88db79.jpg</t>
        </is>
      </c>
      <c r="B11713">
        <f>HYPERLINK("Объекты недвижимости, не соответствующие градостроительным нормам_00-022_Август/de993a87-f44a-4f65-893d-cad38c88db79.jpg","open")</f>
        <v/>
      </c>
      <c r="C11713" t="inlineStr">
        <is>
          <t>55da50d9-6d31-4c29-a85b-6a228578c6de</t>
        </is>
      </c>
      <c r="D11713" t="n">
        <v>55.71018</v>
      </c>
      <c r="E11713" t="n">
        <v>37.66472</v>
      </c>
      <c r="F11713" t="inlineStr"/>
      <c r="G11713" t="inlineStr"/>
      <c r="H11713" t="inlineStr"/>
    </row>
    <row r="11714">
      <c r="A11714" t="inlineStr">
        <is>
          <t>365c93da-3950-4c0b-afc7-4b1cee92d5b8.jpg</t>
        </is>
      </c>
      <c r="B11714">
        <f>HYPERLINK("Объекты недвижимости, не соответствующие градостроительным нормам_00-022_Август/365c93da-3950-4c0b-afc7-4b1cee92d5b8.jpg","open")</f>
        <v/>
      </c>
      <c r="C11714" t="inlineStr">
        <is>
          <t>8b2675e2-7f40-47a9-a462-7c9feecd299c</t>
        </is>
      </c>
      <c r="D11714" t="n">
        <v>55.71024</v>
      </c>
      <c r="E11714" t="n">
        <v>37.66469</v>
      </c>
      <c r="F11714" t="inlineStr"/>
      <c r="G11714" t="inlineStr"/>
      <c r="H11714" t="inlineStr"/>
    </row>
    <row r="11715">
      <c r="A11715" t="inlineStr">
        <is>
          <t>2e3b2983-260c-4d0b-8fea-51b137711a79.jpg</t>
        </is>
      </c>
      <c r="B11715">
        <f>HYPERLINK("Объекты недвижимости, не соответствующие градостроительным нормам_00-022_Август/2e3b2983-260c-4d0b-8fea-51b137711a79.jpg","open")</f>
        <v/>
      </c>
      <c r="C11715" t="inlineStr">
        <is>
          <t>50e4626c-a80e-42ab-b999-b5092c2c063f</t>
        </is>
      </c>
      <c r="D11715" t="n">
        <v>55.75566</v>
      </c>
      <c r="E11715" t="n">
        <v>37.73819</v>
      </c>
      <c r="F11715" t="inlineStr"/>
      <c r="G11715" t="inlineStr"/>
      <c r="H11715" t="inlineStr"/>
    </row>
    <row r="11716">
      <c r="A11716" t="inlineStr">
        <is>
          <t>c15f0d31-72e5-46fe-8891-eb8d134b2632.jpg</t>
        </is>
      </c>
      <c r="B11716">
        <f>HYPERLINK("Объекты недвижимости, не соответствующие градостроительным нормам_00-022_Август/c15f0d31-72e5-46fe-8891-eb8d134b2632.jpg","open")</f>
        <v/>
      </c>
      <c r="C11716" t="inlineStr">
        <is>
          <t>036c664f-5408-4fd0-b479-342c00468eeb</t>
        </is>
      </c>
      <c r="D11716" t="n">
        <v>55.73111</v>
      </c>
      <c r="E11716" t="n">
        <v>37.42398</v>
      </c>
      <c r="F11716" t="inlineStr"/>
      <c r="G11716" t="inlineStr"/>
      <c r="H11716" t="inlineStr"/>
    </row>
    <row r="11717">
      <c r="A11717" t="inlineStr">
        <is>
          <t>427b8740-7bdb-4c28-a50c-6abfbfff579e.jpg</t>
        </is>
      </c>
      <c r="B11717">
        <f>HYPERLINK("Объекты недвижимости, не соответствующие градостроительным нормам_00-022_Август/427b8740-7bdb-4c28-a50c-6abfbfff579e.jpg","open")</f>
        <v/>
      </c>
      <c r="C11717" t="inlineStr">
        <is>
          <t>55da50d9-6d31-4c29-a85b-6a228578c6de</t>
        </is>
      </c>
      <c r="D11717" t="n">
        <v>55.70124</v>
      </c>
      <c r="E11717" t="n">
        <v>37.67453</v>
      </c>
      <c r="F11717" t="inlineStr"/>
      <c r="G11717" t="inlineStr"/>
      <c r="H11717" t="inlineStr"/>
    </row>
    <row r="11718">
      <c r="A11718" t="inlineStr">
        <is>
          <t>ca0e78f3-46c1-4acf-986c-6041f20b1444.jpg</t>
        </is>
      </c>
      <c r="B11718">
        <f>HYPERLINK("Объекты недвижимости, не соответствующие градостроительным нормам_00-022_Август/ca0e78f3-46c1-4acf-986c-6041f20b1444.jpg","open")</f>
        <v/>
      </c>
      <c r="C11718" t="inlineStr">
        <is>
          <t>ffd931da-542f-43e9-979f-5552b17fe3dc</t>
        </is>
      </c>
      <c r="D11718" t="n">
        <v>55.79866</v>
      </c>
      <c r="E11718" t="n">
        <v>37.70928</v>
      </c>
      <c r="F11718" t="inlineStr"/>
      <c r="G11718" t="inlineStr"/>
      <c r="H11718" t="inlineStr"/>
    </row>
    <row r="11719">
      <c r="A11719" t="inlineStr">
        <is>
          <t>4c8cfbda-937e-4b0c-9fc3-6e545f38c4b0.jpg</t>
        </is>
      </c>
      <c r="B11719">
        <f>HYPERLINK("Объекты недвижимости, не соответствующие градостроительным нормам_00-022_Август/4c8cfbda-937e-4b0c-9fc3-6e545f38c4b0.jpg","open")</f>
        <v/>
      </c>
      <c r="C11719" t="inlineStr">
        <is>
          <t>b23a39fd-838c-435a-bacd-b4d6bb842c62</t>
        </is>
      </c>
      <c r="D11719" t="n">
        <v>55.86771</v>
      </c>
      <c r="E11719" t="n">
        <v>37.49433</v>
      </c>
      <c r="F11719" t="inlineStr"/>
      <c r="G11719" t="inlineStr"/>
      <c r="H11719" t="inlineStr"/>
    </row>
    <row r="11720">
      <c r="A11720" t="inlineStr">
        <is>
          <t>6eb04258-9086-45cf-b2fb-e7f57daa9795.jpg</t>
        </is>
      </c>
      <c r="B11720">
        <f>HYPERLINK("Объекты недвижимости, не соответствующие градостроительным нормам_00-022_Август/6eb04258-9086-45cf-b2fb-e7f57daa9795.jpg","open")</f>
        <v/>
      </c>
      <c r="C11720" t="inlineStr">
        <is>
          <t>fb9a37cc-57a6-447c-98bb-0b299f09c809</t>
        </is>
      </c>
      <c r="D11720" t="n">
        <v>55.86771</v>
      </c>
      <c r="E11720" t="n">
        <v>37.49429</v>
      </c>
      <c r="F11720" t="inlineStr"/>
      <c r="G11720" t="inlineStr"/>
      <c r="H11720" t="inlineStr"/>
    </row>
    <row r="11721">
      <c r="A11721" t="inlineStr">
        <is>
          <t>f7f34f48-14f3-438d-8e71-13ce9fac0ff5.jpg</t>
        </is>
      </c>
      <c r="B11721">
        <f>HYPERLINK("Объекты недвижимости, не соответствующие градостроительным нормам_00-022_Август/f7f34f48-14f3-438d-8e71-13ce9fac0ff5.jpg","open")</f>
        <v/>
      </c>
      <c r="C11721" t="inlineStr">
        <is>
          <t>18a5c468-d9e6-4814-8477-1caf4a2e1fe9</t>
        </is>
      </c>
      <c r="D11721" t="n">
        <v>55.72113</v>
      </c>
      <c r="E11721" t="n">
        <v>37.43562</v>
      </c>
      <c r="F11721" t="inlineStr"/>
      <c r="G11721" t="inlineStr"/>
      <c r="H11721" t="inlineStr"/>
    </row>
    <row r="11722">
      <c r="A11722" t="inlineStr">
        <is>
          <t>06256e0d-2466-410d-9322-b0fbd2fcab83.jpg</t>
        </is>
      </c>
      <c r="B11722">
        <f>HYPERLINK("Объекты недвижимости, не соответствующие градостроительным нормам_00-022_Август/06256e0d-2466-410d-9322-b0fbd2fcab83.jpg","open")</f>
        <v/>
      </c>
      <c r="C11722" t="inlineStr">
        <is>
          <t>036c664f-5408-4fd0-b479-342c00468eeb</t>
        </is>
      </c>
      <c r="D11722" t="n">
        <v>55.72781</v>
      </c>
      <c r="E11722" t="n">
        <v>37.43439</v>
      </c>
      <c r="F11722" t="inlineStr"/>
      <c r="G11722" t="inlineStr"/>
      <c r="H11722" t="inlineStr"/>
    </row>
    <row r="11723">
      <c r="A11723" t="inlineStr">
        <is>
          <t>060491e8-f32a-430c-bb31-ac32c9e9a777.jpg</t>
        </is>
      </c>
      <c r="B11723">
        <f>HYPERLINK("Объекты недвижимости, не соответствующие градостроительным нормам_00-022_Август/060491e8-f32a-430c-bb31-ac32c9e9a777.jpg","open")</f>
        <v/>
      </c>
      <c r="C11723" t="inlineStr">
        <is>
          <t>b0429a31-0c70-4b9f-8ea5-73929d82f89e</t>
        </is>
      </c>
      <c r="D11723" t="n">
        <v>55.59416</v>
      </c>
      <c r="E11723" t="n">
        <v>37.60577</v>
      </c>
      <c r="F11723" t="inlineStr"/>
      <c r="G11723" t="inlineStr"/>
      <c r="H11723" t="inlineStr"/>
    </row>
    <row r="11724">
      <c r="A11724" t="inlineStr">
        <is>
          <t>e46ef88d-89b3-4649-8b9a-de3b93531b25.jpg</t>
        </is>
      </c>
      <c r="B11724">
        <f>HYPERLINK("Объекты недвижимости, не соответствующие градостроительным нормам_00-022_Август/e46ef88d-89b3-4649-8b9a-de3b93531b25.jpg","open")</f>
        <v/>
      </c>
      <c r="C11724" t="inlineStr">
        <is>
          <t>b0429a31-0c70-4b9f-8ea5-73929d82f89e</t>
        </is>
      </c>
      <c r="D11724" t="n">
        <v>55.5943</v>
      </c>
      <c r="E11724" t="n">
        <v>37.60547</v>
      </c>
      <c r="F11724" t="inlineStr"/>
      <c r="G11724" t="inlineStr"/>
      <c r="H11724" t="inlineStr"/>
    </row>
    <row r="11725">
      <c r="A11725" t="inlineStr">
        <is>
          <t>ac6e5fe7-5a30-49d1-9c8d-6b53af9be3cf.jpg</t>
        </is>
      </c>
      <c r="B11725">
        <f>HYPERLINK("Объекты недвижимости, не соответствующие градостроительным нормам_00-022_Август/ac6e5fe7-5a30-49d1-9c8d-6b53af9be3cf.jpg","open")</f>
        <v/>
      </c>
      <c r="C11725" t="inlineStr">
        <is>
          <t>e85aff3b-73e8-4856-827e-477ccc0aea77</t>
        </is>
      </c>
      <c r="D11725" t="n">
        <v>55.96976</v>
      </c>
      <c r="E11725" t="n">
        <v>37.32004</v>
      </c>
      <c r="F11725" t="inlineStr"/>
      <c r="G11725" t="inlineStr"/>
      <c r="H11725" t="inlineStr"/>
    </row>
    <row r="11726">
      <c r="A11726" t="inlineStr">
        <is>
          <t>950208e0-414a-4a9b-9b8e-8f570a27d7a7.jpg</t>
        </is>
      </c>
      <c r="B11726">
        <f>HYPERLINK("Объекты недвижимости, не соответствующие градостроительным нормам_00-022_Август/950208e0-414a-4a9b-9b8e-8f570a27d7a7.jpg","open")</f>
        <v/>
      </c>
      <c r="C11726" t="inlineStr">
        <is>
          <t>8b2675e2-7f40-47a9-a462-7c9feecd299c</t>
        </is>
      </c>
      <c r="D11726" t="n">
        <v>55.68972</v>
      </c>
      <c r="E11726" t="n">
        <v>37.71727</v>
      </c>
      <c r="F11726" t="inlineStr"/>
      <c r="G11726" t="inlineStr"/>
      <c r="H11726" t="inlineStr"/>
    </row>
    <row r="11727">
      <c r="A11727" t="inlineStr">
        <is>
          <t>6b239eea-0edd-42d9-ac21-51617323a456.jpg</t>
        </is>
      </c>
      <c r="B11727">
        <f>HYPERLINK("Объекты недвижимости, не соответствующие градостроительным нормам_00-022_Август/6b239eea-0edd-42d9-ac21-51617323a456.jpg","open")</f>
        <v/>
      </c>
      <c r="C11727" t="inlineStr">
        <is>
          <t>50e4626c-a80e-42ab-b999-b5092c2c063f</t>
        </is>
      </c>
      <c r="D11727" t="n">
        <v>55.75013</v>
      </c>
      <c r="E11727" t="n">
        <v>37.70992</v>
      </c>
      <c r="F11727" t="inlineStr"/>
      <c r="G11727" t="inlineStr"/>
      <c r="H11727" t="inlineStr"/>
    </row>
    <row r="11728">
      <c r="A11728" t="inlineStr">
        <is>
          <t>c7b12416-dc5e-46f0-a0bc-21c2c2e79d7f.jpg</t>
        </is>
      </c>
      <c r="B11728">
        <f>HYPERLINK("Объекты недвижимости, не соответствующие градостроительным нормам_00-022_Август/c7b12416-dc5e-46f0-a0bc-21c2c2e79d7f.jpg","open")</f>
        <v/>
      </c>
      <c r="C11728" t="inlineStr">
        <is>
          <t>8b2675e2-7f40-47a9-a462-7c9feecd299c</t>
        </is>
      </c>
      <c r="D11728" t="n">
        <v>55.6828</v>
      </c>
      <c r="E11728" t="n">
        <v>37.71756</v>
      </c>
      <c r="F11728" t="inlineStr"/>
      <c r="G11728" t="inlineStr"/>
      <c r="H11728" t="inlineStr"/>
    </row>
    <row r="11729">
      <c r="A11729" t="inlineStr">
        <is>
          <t>9a80d1e9-a992-4684-a222-a1a0b785722c.jpg</t>
        </is>
      </c>
      <c r="B11729">
        <f>HYPERLINK("Объекты недвижимости, не соответствующие градостроительным нормам_00-022_Август/9a80d1e9-a992-4684-a222-a1a0b785722c.jpg","open")</f>
        <v/>
      </c>
      <c r="C11729" t="inlineStr">
        <is>
          <t>50e4626c-a80e-42ab-b999-b5092c2c063f</t>
        </is>
      </c>
      <c r="D11729" t="n">
        <v>55.75013</v>
      </c>
      <c r="E11729" t="n">
        <v>37.70992</v>
      </c>
      <c r="F11729" t="inlineStr"/>
      <c r="G11729" t="inlineStr"/>
      <c r="H11729" t="inlineStr"/>
    </row>
    <row r="11730">
      <c r="A11730" t="inlineStr">
        <is>
          <t>d12d4f62-8959-4132-9c4b-7ad60588a864.jpg</t>
        </is>
      </c>
      <c r="B11730">
        <f>HYPERLINK("Объекты недвижимости, не соответствующие градостроительным нормам_00-022_Август/d12d4f62-8959-4132-9c4b-7ad60588a864.jpg","open")</f>
        <v/>
      </c>
      <c r="C11730" t="inlineStr">
        <is>
          <t>b0429a31-0c70-4b9f-8ea5-73929d82f89e</t>
        </is>
      </c>
      <c r="D11730" t="n">
        <v>55.59097</v>
      </c>
      <c r="E11730" t="n">
        <v>37.60802</v>
      </c>
      <c r="F11730" t="inlineStr"/>
      <c r="G11730" t="inlineStr"/>
      <c r="H11730" t="inlineStr"/>
    </row>
    <row r="11731">
      <c r="A11731" t="inlineStr">
        <is>
          <t>42d6b878-fcbf-46fa-99df-fec8e9d79d92.jpg</t>
        </is>
      </c>
      <c r="B11731">
        <f>HYPERLINK("Объекты недвижимости, не соответствующие градостроительным нормам_00-022_Август/42d6b878-fcbf-46fa-99df-fec8e9d79d92.jpg","open")</f>
        <v/>
      </c>
      <c r="C11731" t="inlineStr">
        <is>
          <t>1231bbc5-e64c-4dc7-9acc-77710f47607a</t>
        </is>
      </c>
      <c r="D11731" t="n">
        <v>55.62026</v>
      </c>
      <c r="E11731" t="n">
        <v>37.48954</v>
      </c>
      <c r="F11731" t="inlineStr"/>
      <c r="G11731" t="inlineStr"/>
      <c r="H11731" t="inlineStr"/>
    </row>
    <row r="11732">
      <c r="A11732" t="inlineStr">
        <is>
          <t>3aa98ad6-80b3-4a43-bb4b-2e6907255565.jpg</t>
        </is>
      </c>
      <c r="B11732">
        <f>HYPERLINK("Объекты недвижимости, не соответствующие градостроительным нормам_00-022_Август/3aa98ad6-80b3-4a43-bb4b-2e6907255565.jpg","open")</f>
        <v/>
      </c>
      <c r="C11732" t="inlineStr">
        <is>
          <t>f6f80c84-5569-48fd-b627-6f41ce4c61c4</t>
        </is>
      </c>
      <c r="D11732" t="n">
        <v>55.74266</v>
      </c>
      <c r="E11732" t="n">
        <v>37.49299</v>
      </c>
      <c r="F11732" t="inlineStr"/>
      <c r="G11732" t="inlineStr"/>
      <c r="H11732" t="inlineStr"/>
    </row>
    <row r="11733">
      <c r="A11733" t="inlineStr">
        <is>
          <t>aff15884-0ac3-465b-b3fe-9317e3f28e9e.jpg</t>
        </is>
      </c>
      <c r="B11733">
        <f>HYPERLINK("Объекты недвижимости, не соответствующие градостроительным нормам_00-022_Август/aff15884-0ac3-465b-b3fe-9317e3f28e9e.jpg","open")</f>
        <v/>
      </c>
      <c r="C11733" t="inlineStr">
        <is>
          <t>5adecbcf-6742-48b8-951f-8e3abc9509e4</t>
        </is>
      </c>
      <c r="D11733" t="n">
        <v>55.98244</v>
      </c>
      <c r="E11733" t="n">
        <v>37.41866</v>
      </c>
      <c r="F11733" t="inlineStr"/>
      <c r="G11733" t="inlineStr"/>
      <c r="H11733" t="inlineStr"/>
    </row>
    <row r="11734">
      <c r="A11734" t="inlineStr">
        <is>
          <t>6d23f12c-b094-4f41-a11b-d71089fa7c55.jpg</t>
        </is>
      </c>
      <c r="B11734">
        <f>HYPERLINK("Объекты недвижимости, не соответствующие градостроительным нормам_00-022_Август/6d23f12c-b094-4f41-a11b-d71089fa7c55.jpg","open")</f>
        <v/>
      </c>
      <c r="C11734" t="inlineStr">
        <is>
          <t>1231bbc5-e64c-4dc7-9acc-77710f47607a</t>
        </is>
      </c>
      <c r="D11734" t="n">
        <v>55.62017</v>
      </c>
      <c r="E11734" t="n">
        <v>37.48803</v>
      </c>
      <c r="F11734" t="inlineStr"/>
      <c r="G11734" t="inlineStr"/>
      <c r="H11734" t="inlineStr"/>
    </row>
    <row r="11735">
      <c r="A11735" t="inlineStr">
        <is>
          <t>0fca3f34-43ad-440d-8cbb-3d9756029a50.jpg</t>
        </is>
      </c>
      <c r="B11735">
        <f>HYPERLINK("Объекты недвижимости, не соответствующие градостроительным нормам_00-022_Август/0fca3f34-43ad-440d-8cbb-3d9756029a50.jpg","open")</f>
        <v/>
      </c>
      <c r="C11735" t="inlineStr">
        <is>
          <t>55da50d9-6d31-4c29-a85b-6a228578c6de</t>
        </is>
      </c>
      <c r="D11735" t="n">
        <v>55.68143</v>
      </c>
      <c r="E11735" t="n">
        <v>37.73509</v>
      </c>
      <c r="F11735" t="inlineStr"/>
      <c r="G11735" t="inlineStr"/>
      <c r="H11735" t="inlineStr"/>
    </row>
    <row r="11736">
      <c r="A11736" t="inlineStr">
        <is>
          <t>4619f6de-b815-4fbd-a96c-db676d3f8781.jpg</t>
        </is>
      </c>
      <c r="B11736">
        <f>HYPERLINK("Объекты недвижимости, не соответствующие градостроительным нормам_00-022_Август/4619f6de-b815-4fbd-a96c-db676d3f8781.jpg","open")</f>
        <v/>
      </c>
      <c r="C11736" t="inlineStr">
        <is>
          <t>8b2675e2-7f40-47a9-a462-7c9feecd299c</t>
        </is>
      </c>
      <c r="D11736" t="n">
        <v>55.68143</v>
      </c>
      <c r="E11736" t="n">
        <v>37.73509</v>
      </c>
      <c r="F11736" t="inlineStr"/>
      <c r="G11736" t="inlineStr"/>
      <c r="H11736" t="inlineStr"/>
    </row>
    <row r="11737">
      <c r="A11737" t="inlineStr">
        <is>
          <t>006558a3-a6dd-4aa9-bc34-ea59dfadfd9d.jpg</t>
        </is>
      </c>
      <c r="B11737">
        <f>HYPERLINK("Объекты недвижимости, не соответствующие градостроительным нормам_00-022_Август/006558a3-a6dd-4aa9-bc34-ea59dfadfd9d.jpg","open")</f>
        <v/>
      </c>
      <c r="C11737" t="inlineStr">
        <is>
          <t>ffd931da-542f-43e9-979f-5552b17fe3dc</t>
        </is>
      </c>
      <c r="D11737" t="n">
        <v>55.79249</v>
      </c>
      <c r="E11737" t="n">
        <v>37.7147</v>
      </c>
      <c r="F11737" t="inlineStr"/>
      <c r="G11737" t="inlineStr"/>
      <c r="H11737" t="inlineStr"/>
    </row>
    <row r="11738">
      <c r="A11738" t="inlineStr">
        <is>
          <t>d2539f65-9e91-4ea9-8697-6844e2edf5cc.jpg</t>
        </is>
      </c>
      <c r="B11738">
        <f>HYPERLINK("Объекты недвижимости, не соответствующие градостроительным нормам_00-022_Август/d2539f65-9e91-4ea9-8697-6844e2edf5cc.jpg","open")</f>
        <v/>
      </c>
      <c r="C11738" t="inlineStr">
        <is>
          <t>8b2675e2-7f40-47a9-a462-7c9feecd299c</t>
        </is>
      </c>
      <c r="D11738" t="n">
        <v>55.67673</v>
      </c>
      <c r="E11738" t="n">
        <v>37.73687</v>
      </c>
      <c r="F11738" t="inlineStr"/>
      <c r="G11738" t="inlineStr"/>
      <c r="H11738" t="inlineStr"/>
    </row>
    <row r="11739">
      <c r="A11739" t="inlineStr">
        <is>
          <t>018c9f93-4964-4d8d-b442-1d231c9d954e.jpg</t>
        </is>
      </c>
      <c r="B11739">
        <f>HYPERLINK("Объекты недвижимости, не соответствующие градостроительным нормам_00-022_Август/018c9f93-4964-4d8d-b442-1d231c9d954e.jpg","open")</f>
        <v/>
      </c>
      <c r="C11739" t="inlineStr">
        <is>
          <t>8b2675e2-7f40-47a9-a462-7c9feecd299c</t>
        </is>
      </c>
      <c r="D11739" t="n">
        <v>55.67693</v>
      </c>
      <c r="E11739" t="n">
        <v>37.73949</v>
      </c>
      <c r="F11739" t="inlineStr"/>
      <c r="G11739" t="inlineStr"/>
      <c r="H11739" t="inlineStr"/>
    </row>
    <row r="11740">
      <c r="A11740" t="inlineStr">
        <is>
          <t>041cffb2-67ac-4d3d-82ba-122ea1788101.jpg</t>
        </is>
      </c>
      <c r="B11740">
        <f>HYPERLINK("Объекты недвижимости, не соответствующие градостроительным нормам_00-022_Август/041cffb2-67ac-4d3d-82ba-122ea1788101.jpg","open")</f>
        <v/>
      </c>
      <c r="C11740" t="inlineStr">
        <is>
          <t>8b2675e2-7f40-47a9-a462-7c9feecd299c</t>
        </is>
      </c>
      <c r="D11740" t="n">
        <v>55.67693</v>
      </c>
      <c r="E11740" t="n">
        <v>37.73949</v>
      </c>
      <c r="F11740" t="inlineStr"/>
      <c r="G11740" t="inlineStr"/>
      <c r="H11740" t="inlineStr"/>
    </row>
    <row r="11741">
      <c r="A11741" t="inlineStr">
        <is>
          <t>0a94d074-6d86-44de-b30e-838c32cb539d.jpg</t>
        </is>
      </c>
      <c r="B11741">
        <f>HYPERLINK("Объекты недвижимости, не соответствующие градостроительным нормам_00-022_Август/0a94d074-6d86-44de-b30e-838c32cb539d.jpg","open")</f>
        <v/>
      </c>
      <c r="C11741" t="inlineStr">
        <is>
          <t>ffd931da-542f-43e9-979f-5552b17fe3dc</t>
        </is>
      </c>
      <c r="D11741" t="n">
        <v>55.79078</v>
      </c>
      <c r="E11741" t="n">
        <v>37.71418</v>
      </c>
      <c r="F11741" t="inlineStr"/>
      <c r="G11741" t="inlineStr"/>
      <c r="H11741" t="inlineStr"/>
    </row>
    <row r="11742">
      <c r="A11742" t="inlineStr">
        <is>
          <t>cb4cfd6f-671f-4e3b-846a-2f1cdb0ada03.jpg</t>
        </is>
      </c>
      <c r="B11742">
        <f>HYPERLINK("Объекты недвижимости, не соответствующие градостроительным нормам_00-022_Август/cb4cfd6f-671f-4e3b-846a-2f1cdb0ada03.jpg","open")</f>
        <v/>
      </c>
      <c r="C11742" t="inlineStr">
        <is>
          <t>f60286ac-55e7-4099-85bd-cc599a7a0c65</t>
        </is>
      </c>
      <c r="D11742" t="n">
        <v>55.79076</v>
      </c>
      <c r="E11742" t="n">
        <v>37.71317</v>
      </c>
      <c r="F11742" t="inlineStr"/>
      <c r="G11742" t="inlineStr"/>
      <c r="H11742" t="inlineStr"/>
    </row>
    <row r="11743">
      <c r="A11743" t="inlineStr">
        <is>
          <t>98822f5f-477a-4413-9e70-684d9f0d8800.jpg</t>
        </is>
      </c>
      <c r="B11743">
        <f>HYPERLINK("Объекты недвижимости, не соответствующие градостроительным нормам_00-022_Август/98822f5f-477a-4413-9e70-684d9f0d8800.jpg","open")</f>
        <v/>
      </c>
      <c r="C11743" t="inlineStr">
        <is>
          <t>ffd931da-542f-43e9-979f-5552b17fe3dc</t>
        </is>
      </c>
      <c r="D11743" t="n">
        <v>55.7907</v>
      </c>
      <c r="E11743" t="n">
        <v>37.7126</v>
      </c>
      <c r="F11743" t="inlineStr"/>
      <c r="G11743" t="inlineStr"/>
      <c r="H11743" t="inlineStr"/>
    </row>
    <row r="11744">
      <c r="A11744" t="inlineStr">
        <is>
          <t>22a87433-4a16-4741-bc8b-495d28c97d80.jpg</t>
        </is>
      </c>
      <c r="B11744">
        <f>HYPERLINK("Объекты недвижимости, не соответствующие градостроительным нормам_00-022_Август/22a87433-4a16-4741-bc8b-495d28c97d80.jpg","open")</f>
        <v/>
      </c>
      <c r="C11744" t="inlineStr">
        <is>
          <t>f60286ac-55e7-4099-85bd-cc599a7a0c65</t>
        </is>
      </c>
      <c r="D11744" t="n">
        <v>55.7907</v>
      </c>
      <c r="E11744" t="n">
        <v>37.71262</v>
      </c>
      <c r="F11744" t="inlineStr"/>
      <c r="G11744" t="inlineStr"/>
      <c r="H11744" t="inlineStr"/>
    </row>
    <row r="11745">
      <c r="A11745" t="inlineStr">
        <is>
          <t>e288f43c-0362-4c29-b031-301c3cfc00c4.jpg</t>
        </is>
      </c>
      <c r="B11745">
        <f>HYPERLINK("Объекты недвижимости, не соответствующие градостроительным нормам_00-022_Август/e288f43c-0362-4c29-b031-301c3cfc00c4.jpg","open")</f>
        <v/>
      </c>
      <c r="C11745" t="inlineStr">
        <is>
          <t>1231bbc5-e64c-4dc7-9acc-77710f47607a</t>
        </is>
      </c>
      <c r="D11745" t="n">
        <v>55.62009</v>
      </c>
      <c r="E11745" t="n">
        <v>37.48561</v>
      </c>
      <c r="F11745" t="inlineStr"/>
      <c r="G11745" t="inlineStr"/>
      <c r="H11745" t="inlineStr"/>
    </row>
    <row r="11746">
      <c r="A11746" t="inlineStr">
        <is>
          <t>d8bce1b7-42ee-4683-8b03-a20fd91ce7cb.jpg</t>
        </is>
      </c>
      <c r="B11746">
        <f>HYPERLINK("Объекты недвижимости, не соответствующие градостроительным нормам_00-022_Август/d8bce1b7-42ee-4683-8b03-a20fd91ce7cb.jpg","open")</f>
        <v/>
      </c>
      <c r="C11746" t="inlineStr">
        <is>
          <t>685d9054-b74f-49ab-857b-109fd2cec80d</t>
        </is>
      </c>
      <c r="D11746" t="n">
        <v>55.62008</v>
      </c>
      <c r="E11746" t="n">
        <v>37.48544</v>
      </c>
      <c r="F11746" t="inlineStr"/>
      <c r="G11746" t="inlineStr"/>
      <c r="H11746" t="inlineStr"/>
    </row>
    <row r="11747">
      <c r="A11747" t="inlineStr">
        <is>
          <t>13874d31-edc2-4932-a0fa-bea21d25da7b.jpg</t>
        </is>
      </c>
      <c r="B11747">
        <f>HYPERLINK("Объекты недвижимости, не соответствующие градостроительным нормам_00-022_Август/13874d31-edc2-4932-a0fa-bea21d25da7b.jpg","open")</f>
        <v/>
      </c>
      <c r="C11747" t="inlineStr">
        <is>
          <t>685d9054-b74f-49ab-857b-109fd2cec80d</t>
        </is>
      </c>
      <c r="D11747" t="n">
        <v>55.62014</v>
      </c>
      <c r="E11747" t="n">
        <v>37.48541</v>
      </c>
      <c r="F11747" t="inlineStr"/>
      <c r="G11747" t="inlineStr"/>
      <c r="H11747" t="inlineStr"/>
    </row>
    <row r="11748">
      <c r="A11748" t="inlineStr">
        <is>
          <t>4d1ed76a-59a4-4fd3-81c6-5c8f0d8d7278.jpg</t>
        </is>
      </c>
      <c r="B11748">
        <f>HYPERLINK("Объекты недвижимости, не соответствующие градостроительным нормам_00-022_Август/4d1ed76a-59a4-4fd3-81c6-5c8f0d8d7278.jpg","open")</f>
        <v/>
      </c>
      <c r="C11748" t="inlineStr">
        <is>
          <t>ffd931da-542f-43e9-979f-5552b17fe3dc</t>
        </is>
      </c>
      <c r="D11748" t="n">
        <v>55.78625</v>
      </c>
      <c r="E11748" t="n">
        <v>37.71724</v>
      </c>
      <c r="F11748" t="inlineStr"/>
      <c r="G11748" t="inlineStr"/>
      <c r="H11748" t="inlineStr"/>
    </row>
    <row r="11749">
      <c r="A11749" t="inlineStr">
        <is>
          <t>d1ccc00b-d66c-413e-8f3f-e9044ed1c372.jpg</t>
        </is>
      </c>
      <c r="B11749">
        <f>HYPERLINK("Объекты недвижимости, не соответствующие градостроительным нормам_00-022_Август/d1ccc00b-d66c-413e-8f3f-e9044ed1c372.jpg","open")</f>
        <v/>
      </c>
      <c r="C11749" t="inlineStr">
        <is>
          <t>dd22c7c9-0046-46d8-8631-55150dbf8ae5</t>
        </is>
      </c>
      <c r="D11749" t="n">
        <v>55.78678</v>
      </c>
      <c r="E11749" t="n">
        <v>37.63473</v>
      </c>
      <c r="F11749" t="inlineStr"/>
      <c r="G11749" t="inlineStr"/>
      <c r="H11749" t="inlineStr"/>
    </row>
    <row r="11750">
      <c r="A11750" t="inlineStr">
        <is>
          <t>d8aeb11d-8645-482f-a802-55a19c7490aa.jpg</t>
        </is>
      </c>
      <c r="B11750">
        <f>HYPERLINK("Объекты недвижимости, не соответствующие градостроительным нормам_00-022_Август/d8aeb11d-8645-482f-a802-55a19c7490aa.jpg","open")</f>
        <v/>
      </c>
      <c r="C11750" t="inlineStr">
        <is>
          <t>9f88688f-4c81-42a8-b76a-3c3e7edf869e</t>
        </is>
      </c>
      <c r="D11750" t="n">
        <v>55.78237</v>
      </c>
      <c r="E11750" t="n">
        <v>37.67124</v>
      </c>
      <c r="F11750" t="inlineStr"/>
      <c r="G11750" t="inlineStr"/>
      <c r="H11750" t="inlineStr"/>
    </row>
    <row r="11751">
      <c r="A11751" t="inlineStr">
        <is>
          <t>e8867c71-a415-4ed4-87d3-0fd46dd1ec9d.jpg</t>
        </is>
      </c>
      <c r="B11751">
        <f>HYPERLINK("Объекты недвижимости, не соответствующие градостроительным нормам_00-022_Август/e8867c71-a415-4ed4-87d3-0fd46dd1ec9d.jpg","open")</f>
        <v/>
      </c>
      <c r="C11751" t="inlineStr">
        <is>
          <t>a28f597e-d1cd-4d3b-b572-c86d033412e9</t>
        </is>
      </c>
      <c r="D11751" t="n">
        <v>55.73184</v>
      </c>
      <c r="E11751" t="n">
        <v>37.42236</v>
      </c>
      <c r="F11751" t="inlineStr"/>
      <c r="G11751" t="inlineStr"/>
      <c r="H11751" t="inlineStr"/>
    </row>
    <row r="11752">
      <c r="A11752" t="inlineStr">
        <is>
          <t>855e444e-6045-4645-b798-b379d44116c8.jpg</t>
        </is>
      </c>
      <c r="B11752">
        <f>HYPERLINK("Объекты недвижимости, не соответствующие градостроительным нормам_00-022_Август/855e444e-6045-4645-b798-b379d44116c8.jpg","open")</f>
        <v/>
      </c>
      <c r="C11752" t="inlineStr">
        <is>
          <t>fce890a6-27da-4062-a046-08262a160ee6</t>
        </is>
      </c>
      <c r="D11752" t="n">
        <v>55.78237</v>
      </c>
      <c r="E11752" t="n">
        <v>37.67124</v>
      </c>
      <c r="F11752" t="inlineStr"/>
      <c r="G11752" t="inlineStr"/>
      <c r="H11752" t="inlineStr"/>
    </row>
    <row r="11753">
      <c r="A11753" t="inlineStr">
        <is>
          <t>a5198c06-137b-49ab-a9b8-904a4c7cec49.jpg</t>
        </is>
      </c>
      <c r="B11753">
        <f>HYPERLINK("Объекты недвижимости, не соответствующие градостроительным нормам_00-022_Август/a5198c06-137b-49ab-a9b8-904a4c7cec49.jpg","open")</f>
        <v/>
      </c>
      <c r="C11753" t="inlineStr">
        <is>
          <t>dd22c7c9-0046-46d8-8631-55150dbf8ae5</t>
        </is>
      </c>
      <c r="D11753" t="n">
        <v>55.78678</v>
      </c>
      <c r="E11753" t="n">
        <v>37.63473</v>
      </c>
      <c r="F11753" t="inlineStr"/>
      <c r="G11753" t="inlineStr"/>
      <c r="H11753" t="inlineStr"/>
    </row>
    <row r="11754">
      <c r="A11754" t="inlineStr">
        <is>
          <t>88f5fbae-17a6-4d90-b7fa-8064deac9262.jpg</t>
        </is>
      </c>
      <c r="B11754">
        <f>HYPERLINK("Объекты недвижимости, не соответствующие градостроительным нормам_00-022_Август/88f5fbae-17a6-4d90-b7fa-8064deac9262.jpg","open")</f>
        <v/>
      </c>
      <c r="C11754" t="inlineStr">
        <is>
          <t>dd22c7c9-0046-46d8-8631-55150dbf8ae5</t>
        </is>
      </c>
      <c r="D11754" t="n">
        <v>55.78678</v>
      </c>
      <c r="E11754" t="n">
        <v>37.63473</v>
      </c>
      <c r="F11754" t="inlineStr"/>
      <c r="G11754" t="inlineStr"/>
      <c r="H11754" t="inlineStr"/>
    </row>
    <row r="11755">
      <c r="A11755" t="inlineStr">
        <is>
          <t>43ce3a97-e11c-4e99-96e9-986936567544.jpg</t>
        </is>
      </c>
      <c r="B11755">
        <f>HYPERLINK("Объекты недвижимости, не соответствующие градостроительным нормам_00-022_Август/43ce3a97-e11c-4e99-96e9-986936567544.jpg","open")</f>
        <v/>
      </c>
      <c r="C11755" t="inlineStr">
        <is>
          <t>dd22c7c9-0046-46d8-8631-55150dbf8ae5</t>
        </is>
      </c>
      <c r="D11755" t="n">
        <v>55.78678</v>
      </c>
      <c r="E11755" t="n">
        <v>37.63473</v>
      </c>
      <c r="F11755" t="inlineStr"/>
      <c r="G11755" t="inlineStr"/>
      <c r="H11755" t="inlineStr"/>
    </row>
    <row r="11756">
      <c r="A11756" t="inlineStr">
        <is>
          <t>b21a3c43-6a67-4604-8c55-fd8dd4e81be7.jpg</t>
        </is>
      </c>
      <c r="B11756">
        <f>HYPERLINK("Объекты недвижимости, не соответствующие градостроительным нормам_00-022_Август/b21a3c43-6a67-4604-8c55-fd8dd4e81be7.jpg","open")</f>
        <v/>
      </c>
      <c r="C11756" t="inlineStr">
        <is>
          <t>fce890a6-27da-4062-a046-08262a160ee6</t>
        </is>
      </c>
      <c r="D11756" t="n">
        <v>55.78237</v>
      </c>
      <c r="E11756" t="n">
        <v>37.67124</v>
      </c>
      <c r="F11756" t="inlineStr"/>
      <c r="G11756" t="inlineStr"/>
      <c r="H11756" t="inlineStr"/>
    </row>
    <row r="11757">
      <c r="A11757" t="inlineStr">
        <is>
          <t>d573a88b-cb2a-42cb-a6b3-5bba6ac65e9f.jpg</t>
        </is>
      </c>
      <c r="B11757">
        <f>HYPERLINK("Объекты недвижимости, не соответствующие градостроительным нормам_00-022_Август/d573a88b-cb2a-42cb-a6b3-5bba6ac65e9f.jpg","open")</f>
        <v/>
      </c>
      <c r="C11757" t="inlineStr">
        <is>
          <t>9f88688f-4c81-42a8-b76a-3c3e7edf869e</t>
        </is>
      </c>
      <c r="D11757" t="n">
        <v>55.78237</v>
      </c>
      <c r="E11757" t="n">
        <v>37.67124</v>
      </c>
      <c r="F11757" t="inlineStr"/>
      <c r="G11757" t="inlineStr"/>
      <c r="H11757" t="inlineStr"/>
    </row>
    <row r="11758">
      <c r="A11758" t="inlineStr">
        <is>
          <t>9551809b-5a13-490d-b2db-3901b189cf5e.jpg</t>
        </is>
      </c>
      <c r="B11758">
        <f>HYPERLINK("Объекты недвижимости, не соответствующие градостроительным нормам_00-022_Август/9551809b-5a13-490d-b2db-3901b189cf5e.jpg","open")</f>
        <v/>
      </c>
      <c r="C11758" t="inlineStr">
        <is>
          <t>a28f597e-d1cd-4d3b-b572-c86d033412e9</t>
        </is>
      </c>
      <c r="D11758" t="n">
        <v>55.73274</v>
      </c>
      <c r="E11758" t="n">
        <v>37.41636</v>
      </c>
      <c r="F11758" t="inlineStr"/>
      <c r="G11758" t="inlineStr"/>
      <c r="H11758" t="inlineStr"/>
    </row>
    <row r="11759">
      <c r="A11759" t="inlineStr">
        <is>
          <t>ef317d59-4046-4767-9fc2-4f0b81292dba.jpg</t>
        </is>
      </c>
      <c r="B11759">
        <f>HYPERLINK("Объекты недвижимости, не соответствующие градостроительным нормам_00-022_Август/ef317d59-4046-4767-9fc2-4f0b81292dba.jpg","open")</f>
        <v/>
      </c>
      <c r="C11759" t="inlineStr">
        <is>
          <t>a28f597e-d1cd-4d3b-b572-c86d033412e9</t>
        </is>
      </c>
      <c r="D11759" t="n">
        <v>55.7328</v>
      </c>
      <c r="E11759" t="n">
        <v>37.4163</v>
      </c>
      <c r="F11759" t="inlineStr"/>
      <c r="G11759" t="inlineStr"/>
      <c r="H11759" t="inlineStr"/>
    </row>
    <row r="11760">
      <c r="A11760" t="inlineStr">
        <is>
          <t>a2e43a31-0ed3-410c-8b25-e167fd00537a.jpg</t>
        </is>
      </c>
      <c r="B11760">
        <f>HYPERLINK("Объекты недвижимости, не соответствующие градостроительным нормам_00-022_Август/a2e43a31-0ed3-410c-8b25-e167fd00537a.jpg","open")</f>
        <v/>
      </c>
      <c r="C11760" t="inlineStr">
        <is>
          <t>f60286ac-55e7-4099-85bd-cc599a7a0c65</t>
        </is>
      </c>
      <c r="D11760" t="n">
        <v>55.78478</v>
      </c>
      <c r="E11760" t="n">
        <v>37.71434</v>
      </c>
      <c r="F11760" t="inlineStr"/>
      <c r="G11760" t="inlineStr"/>
      <c r="H11760" t="inlineStr"/>
    </row>
    <row r="11761">
      <c r="A11761" t="inlineStr">
        <is>
          <t>1410bb7f-abf7-4d26-8ed0-392128f11320.jpg</t>
        </is>
      </c>
      <c r="B11761">
        <f>HYPERLINK("Объекты недвижимости, не соответствующие градостроительным нормам_00-022_Август/1410bb7f-abf7-4d26-8ed0-392128f11320.jpg","open")</f>
        <v/>
      </c>
      <c r="C11761" t="inlineStr">
        <is>
          <t>caa4772d-6278-4484-a046-ee25514bf521</t>
        </is>
      </c>
      <c r="D11761" t="n">
        <v>55.74786</v>
      </c>
      <c r="E11761" t="n">
        <v>37.50181</v>
      </c>
      <c r="F11761" t="inlineStr"/>
      <c r="G11761" t="inlineStr"/>
      <c r="H11761" t="inlineStr"/>
    </row>
    <row r="11762">
      <c r="A11762" t="inlineStr">
        <is>
          <t>269434f7-190f-42d7-9b0a-ee9fb5737aed.jpg</t>
        </is>
      </c>
      <c r="B11762">
        <f>HYPERLINK("Объекты недвижимости, не соответствующие градостроительным нормам_00-022_Август/269434f7-190f-42d7-9b0a-ee9fb5737aed.jpg","open")</f>
        <v/>
      </c>
      <c r="C11762" t="inlineStr">
        <is>
          <t>fb40ed24-21ef-458a-a239-038ab19932cc</t>
        </is>
      </c>
      <c r="D11762" t="n">
        <v>55.80363</v>
      </c>
      <c r="E11762" t="n">
        <v>37.82565</v>
      </c>
      <c r="F11762" t="inlineStr"/>
      <c r="G11762" t="inlineStr"/>
      <c r="H11762" t="inlineStr"/>
    </row>
    <row r="11763">
      <c r="A11763" t="inlineStr">
        <is>
          <t>f38d6bd1-f802-44d7-b2ba-86af3ade3119.jpg</t>
        </is>
      </c>
      <c r="B11763">
        <f>HYPERLINK("Объекты недвижимости, не соответствующие градостроительным нормам_00-022_Август/f38d6bd1-f802-44d7-b2ba-86af3ade3119.jpg","open")</f>
        <v/>
      </c>
      <c r="C11763" t="inlineStr">
        <is>
          <t>797901ad-53b1-41b8-99d1-d59d59c863d5</t>
        </is>
      </c>
      <c r="D11763" t="n">
        <v>55.80364</v>
      </c>
      <c r="E11763" t="n">
        <v>37.82554</v>
      </c>
      <c r="F11763" t="inlineStr"/>
      <c r="G11763" t="inlineStr"/>
      <c r="H11763" t="inlineStr"/>
    </row>
    <row r="11764">
      <c r="A11764" t="inlineStr">
        <is>
          <t>0c90cd13-1e3a-43b9-af04-f5bf5f5a0140.jpg</t>
        </is>
      </c>
      <c r="B11764">
        <f>HYPERLINK("Объекты недвижимости, не соответствующие градостроительным нормам_00-022_Август/0c90cd13-1e3a-43b9-af04-f5bf5f5a0140.jpg","open")</f>
        <v/>
      </c>
      <c r="C11764" t="inlineStr">
        <is>
          <t>fce890a6-27da-4062-a046-08262a160ee6</t>
        </is>
      </c>
      <c r="D11764" t="n">
        <v>55.78237</v>
      </c>
      <c r="E11764" t="n">
        <v>37.67124</v>
      </c>
      <c r="F11764" t="inlineStr"/>
      <c r="G11764" t="inlineStr"/>
      <c r="H11764" t="inlineStr"/>
    </row>
    <row r="11765">
      <c r="A11765" t="inlineStr">
        <is>
          <t>29b41032-5411-44ad-84e4-21246423c8e7.jpg</t>
        </is>
      </c>
      <c r="B11765">
        <f>HYPERLINK("Объекты недвижимости, не соответствующие градостроительным нормам_00-022_Август/29b41032-5411-44ad-84e4-21246423c8e7.jpg","open")</f>
        <v/>
      </c>
      <c r="C11765" t="inlineStr">
        <is>
          <t>036c664f-5408-4fd0-b479-342c00468eeb</t>
        </is>
      </c>
      <c r="D11765" t="n">
        <v>55.73284</v>
      </c>
      <c r="E11765" t="n">
        <v>37.41622</v>
      </c>
      <c r="F11765" t="inlineStr"/>
      <c r="G11765" t="inlineStr"/>
      <c r="H11765" t="inlineStr"/>
    </row>
    <row r="11766">
      <c r="A11766" t="inlineStr">
        <is>
          <t>65b1af4c-4639-47f7-aa26-a2c0ae8e6650.jpg</t>
        </is>
      </c>
      <c r="B11766">
        <f>HYPERLINK("Объекты недвижимости, не соответствующие градостроительным нормам_00-022_Август/65b1af4c-4639-47f7-aa26-a2c0ae8e6650.jpg","open")</f>
        <v/>
      </c>
      <c r="C11766" t="inlineStr">
        <is>
          <t>fce890a6-27da-4062-a046-08262a160ee6</t>
        </is>
      </c>
      <c r="D11766" t="n">
        <v>55.78237</v>
      </c>
      <c r="E11766" t="n">
        <v>37.67124</v>
      </c>
      <c r="F11766" t="inlineStr"/>
      <c r="G11766" t="inlineStr"/>
      <c r="H11766" t="inlineStr"/>
    </row>
    <row r="11767">
      <c r="A11767" t="inlineStr">
        <is>
          <t>d2f248b7-5f17-4954-bb53-745201427af4.jpg</t>
        </is>
      </c>
      <c r="B11767">
        <f>HYPERLINK("Объекты недвижимости, не соответствующие градостроительным нормам_00-022_Август/d2f248b7-5f17-4954-bb53-745201427af4.jpg","open")</f>
        <v/>
      </c>
      <c r="C11767" t="inlineStr">
        <is>
          <t>fb9a37cc-57a6-447c-98bb-0b299f09c809</t>
        </is>
      </c>
      <c r="D11767" t="n">
        <v>55.86457</v>
      </c>
      <c r="E11767" t="n">
        <v>37.50781</v>
      </c>
      <c r="F11767" t="inlineStr"/>
      <c r="G11767" t="inlineStr"/>
      <c r="H11767" t="inlineStr"/>
    </row>
    <row r="11768">
      <c r="A11768" t="inlineStr">
        <is>
          <t>b7325557-0ba1-4ec1-90d9-bddf495241ab.jpg</t>
        </is>
      </c>
      <c r="B11768">
        <f>HYPERLINK("Объекты недвижимости, не соответствующие градостроительным нормам_00-022_Август/b7325557-0ba1-4ec1-90d9-bddf495241ab.jpg","open")</f>
        <v/>
      </c>
      <c r="C11768" t="inlineStr">
        <is>
          <t>8cde1fd0-eca1-4510-86ab-3c743b65fdfc</t>
        </is>
      </c>
      <c r="D11768" t="n">
        <v>55.60498</v>
      </c>
      <c r="E11768" t="n">
        <v>37.63116</v>
      </c>
      <c r="F11768" t="inlineStr"/>
      <c r="G11768" t="inlineStr"/>
      <c r="H11768" t="inlineStr"/>
    </row>
    <row r="11769">
      <c r="A11769" t="inlineStr">
        <is>
          <t>bdd00fdb-f907-4a51-8dbb-49c665fafaf2.jpg</t>
        </is>
      </c>
      <c r="B11769">
        <f>HYPERLINK("Объекты недвижимости, не соответствующие градостроительным нормам_00-022_Август/bdd00fdb-f907-4a51-8dbb-49c665fafaf2.jpg","open")</f>
        <v/>
      </c>
      <c r="C11769" t="inlineStr">
        <is>
          <t>789f6c51-64ee-4078-b7bd-443af8b8b68a</t>
        </is>
      </c>
      <c r="D11769" t="n">
        <v>55.83692</v>
      </c>
      <c r="E11769" t="n">
        <v>37.66744</v>
      </c>
      <c r="F11769" t="inlineStr"/>
      <c r="G11769" t="inlineStr"/>
      <c r="H11769" t="inlineStr"/>
    </row>
    <row r="11770">
      <c r="A11770" t="inlineStr">
        <is>
          <t>49be4f95-2bf4-4298-9a31-f6307ebd3ba8.jpg</t>
        </is>
      </c>
      <c r="B11770">
        <f>HYPERLINK("Объекты недвижимости, не соответствующие градостроительным нормам_00-022_Август/49be4f95-2bf4-4298-9a31-f6307ebd3ba8.jpg","open")</f>
        <v/>
      </c>
      <c r="C11770" t="inlineStr">
        <is>
          <t>6e2567a0-1fb9-40d5-a0e7-0adb480d2965</t>
        </is>
      </c>
      <c r="D11770" t="n">
        <v>55.78183</v>
      </c>
      <c r="E11770" t="n">
        <v>37.67115</v>
      </c>
      <c r="F11770" t="inlineStr"/>
      <c r="G11770" t="inlineStr"/>
      <c r="H11770" t="inlineStr"/>
    </row>
    <row r="11771">
      <c r="A11771" t="inlineStr">
        <is>
          <t>2eea3054-703b-45fc-8659-cb50acc19bb9.jpg</t>
        </is>
      </c>
      <c r="B11771">
        <f>HYPERLINK("Объекты недвижимости, не соответствующие градостроительным нормам_00-022_Август/2eea3054-703b-45fc-8659-cb50acc19bb9.jpg","open")</f>
        <v/>
      </c>
      <c r="C11771" t="inlineStr">
        <is>
          <t>fce890a6-27da-4062-a046-08262a160ee6</t>
        </is>
      </c>
      <c r="D11771" t="n">
        <v>55.78237</v>
      </c>
      <c r="E11771" t="n">
        <v>37.67124</v>
      </c>
      <c r="F11771" t="inlineStr"/>
      <c r="G11771" t="inlineStr"/>
      <c r="H11771" t="inlineStr"/>
    </row>
    <row r="11772">
      <c r="A11772" t="inlineStr">
        <is>
          <t>cc36d1cc-9fab-4a6a-9d84-00b24daaa3c7.jpg</t>
        </is>
      </c>
      <c r="B11772">
        <f>HYPERLINK("Объекты недвижимости, не соответствующие градостроительным нормам_00-022_Август/cc36d1cc-9fab-4a6a-9d84-00b24daaa3c7.jpg","open")</f>
        <v/>
      </c>
      <c r="C11772" t="inlineStr">
        <is>
          <t>6e2567a0-1fb9-40d5-a0e7-0adb480d2965</t>
        </is>
      </c>
      <c r="D11772" t="n">
        <v>55.78183</v>
      </c>
      <c r="E11772" t="n">
        <v>37.67115</v>
      </c>
      <c r="F11772" t="inlineStr"/>
      <c r="G11772" t="inlineStr"/>
      <c r="H11772" t="inlineStr"/>
    </row>
    <row r="11773">
      <c r="A11773" t="inlineStr">
        <is>
          <t>e70d0b54-bce8-42ba-ac11-cbb1acbf1b18.jpg</t>
        </is>
      </c>
      <c r="B11773">
        <f>HYPERLINK("Объекты недвижимости, не соответствующие градостроительным нормам_00-022_Август/e70d0b54-bce8-42ba-ac11-cbb1acbf1b18.jpg","open")</f>
        <v/>
      </c>
      <c r="C11773" t="inlineStr">
        <is>
          <t>dd22c7c9-0046-46d8-8631-55150dbf8ae5</t>
        </is>
      </c>
      <c r="D11773" t="n">
        <v>55.78678</v>
      </c>
      <c r="E11773" t="n">
        <v>37.63473</v>
      </c>
      <c r="F11773" t="inlineStr"/>
      <c r="G11773" t="inlineStr"/>
      <c r="H11773" t="inlineStr"/>
    </row>
    <row r="11774">
      <c r="A11774" t="inlineStr">
        <is>
          <t>b2c1a958-0d04-4d4c-9dc1-68aaeadb8d09.jpg</t>
        </is>
      </c>
      <c r="B11774">
        <f>HYPERLINK("Объекты недвижимости, не соответствующие градостроительным нормам_00-022_Август/b2c1a958-0d04-4d4c-9dc1-68aaeadb8d09.jpg","open")</f>
        <v/>
      </c>
      <c r="C11774" t="inlineStr">
        <is>
          <t>fce890a6-27da-4062-a046-08262a160ee6</t>
        </is>
      </c>
      <c r="D11774" t="n">
        <v>55.78237</v>
      </c>
      <c r="E11774" t="n">
        <v>37.67124</v>
      </c>
      <c r="F11774" t="inlineStr"/>
      <c r="G11774" t="inlineStr"/>
      <c r="H11774" t="inlineStr"/>
    </row>
    <row r="11775">
      <c r="A11775" t="inlineStr">
        <is>
          <t>da6dcf79-3239-463b-82a6-7d231466043f.jpg</t>
        </is>
      </c>
      <c r="B11775">
        <f>HYPERLINK("Объекты недвижимости, не соответствующие градостроительным нормам_00-022_Август/da6dcf79-3239-463b-82a6-7d231466043f.jpg","open")</f>
        <v/>
      </c>
      <c r="C11775" t="inlineStr">
        <is>
          <t>9f88688f-4c81-42a8-b76a-3c3e7edf869e</t>
        </is>
      </c>
      <c r="D11775" t="n">
        <v>55.78237</v>
      </c>
      <c r="E11775" t="n">
        <v>37.67124</v>
      </c>
      <c r="F11775" t="inlineStr"/>
      <c r="G11775" t="inlineStr"/>
      <c r="H11775" t="inlineStr"/>
    </row>
    <row r="11776">
      <c r="A11776" t="inlineStr">
        <is>
          <t>0b1dc872-7cb4-44f6-b11a-b35e9262cac1.jpg</t>
        </is>
      </c>
      <c r="B11776">
        <f>HYPERLINK("Объекты недвижимости, не соответствующие градостроительным нормам_00-022_Август/0b1dc872-7cb4-44f6-b11a-b35e9262cac1.jpg","open")</f>
        <v/>
      </c>
      <c r="C11776" t="inlineStr">
        <is>
          <t>6e2567a0-1fb9-40d5-a0e7-0adb480d2965</t>
        </is>
      </c>
      <c r="D11776" t="n">
        <v>55.78183</v>
      </c>
      <c r="E11776" t="n">
        <v>37.67115</v>
      </c>
      <c r="F11776" t="inlineStr"/>
      <c r="G11776" t="inlineStr"/>
      <c r="H11776" t="inlineStr"/>
    </row>
    <row r="11777">
      <c r="A11777" t="inlineStr">
        <is>
          <t>65b8c0d7-481f-4606-b239-6dc2828544a3.jpg</t>
        </is>
      </c>
      <c r="B11777">
        <f>HYPERLINK("Объекты недвижимости, не соответствующие градостроительным нормам_00-022_Август/65b8c0d7-481f-4606-b239-6dc2828544a3.jpg","open")</f>
        <v/>
      </c>
      <c r="C11777" t="inlineStr">
        <is>
          <t>6e2567a0-1fb9-40d5-a0e7-0adb480d2965</t>
        </is>
      </c>
      <c r="D11777" t="n">
        <v>55.78183</v>
      </c>
      <c r="E11777" t="n">
        <v>37.67115</v>
      </c>
      <c r="F11777" t="inlineStr"/>
      <c r="G11777" t="inlineStr"/>
      <c r="H11777" t="inlineStr"/>
    </row>
    <row r="11778">
      <c r="A11778" t="inlineStr">
        <is>
          <t>91bf3b77-2780-4f36-a105-5a420d83e5d7.jpg</t>
        </is>
      </c>
      <c r="B11778">
        <f>HYPERLINK("Объекты недвижимости, не соответствующие градостроительным нормам_00-022_Август/91bf3b77-2780-4f36-a105-5a420d83e5d7.jpg","open")</f>
        <v/>
      </c>
      <c r="C11778" t="inlineStr">
        <is>
          <t>caa4772d-6278-4484-a046-ee25514bf521</t>
        </is>
      </c>
      <c r="D11778" t="n">
        <v>55.74097</v>
      </c>
      <c r="E11778" t="n">
        <v>37.50915</v>
      </c>
      <c r="F11778" t="inlineStr"/>
      <c r="G11778" t="inlineStr"/>
      <c r="H11778" t="inlineStr"/>
    </row>
    <row r="11779">
      <c r="A11779" t="inlineStr">
        <is>
          <t>3ec344a7-ee8f-4a2f-ac39-45d4c0e57bb9.jpg</t>
        </is>
      </c>
      <c r="B11779">
        <f>HYPERLINK("Объекты недвижимости, не соответствующие градостроительным нормам_00-022_Август/3ec344a7-ee8f-4a2f-ac39-45d4c0e57bb9.jpg","open")</f>
        <v/>
      </c>
      <c r="C11779" t="inlineStr">
        <is>
          <t>6e2567a0-1fb9-40d5-a0e7-0adb480d2965</t>
        </is>
      </c>
      <c r="D11779" t="n">
        <v>55.78183</v>
      </c>
      <c r="E11779" t="n">
        <v>37.67115</v>
      </c>
      <c r="F11779" t="inlineStr"/>
      <c r="G11779" t="inlineStr"/>
      <c r="H11779" t="inlineStr"/>
    </row>
    <row r="11780">
      <c r="A11780" t="inlineStr">
        <is>
          <t>e8439656-c6e7-4bbe-ac8f-efaa8fe188b3.jpg</t>
        </is>
      </c>
      <c r="B11780">
        <f>HYPERLINK("Объекты недвижимости, не соответствующие градостроительным нормам_00-022_Август/e8439656-c6e7-4bbe-ac8f-efaa8fe188b3.jpg","open")</f>
        <v/>
      </c>
      <c r="C11780" t="inlineStr">
        <is>
          <t>750bf7e4-0f0f-4f1a-96af-607dc8c1f1c9</t>
        </is>
      </c>
      <c r="D11780" t="n">
        <v>55.57151</v>
      </c>
      <c r="E11780" t="n">
        <v>37.48654</v>
      </c>
      <c r="F11780" t="inlineStr"/>
      <c r="G11780" t="inlineStr"/>
      <c r="H11780" t="inlineStr"/>
    </row>
    <row r="11781">
      <c r="A11781" t="inlineStr">
        <is>
          <t>e780267a-eab9-40d5-9456-cab4196d2734.jpg</t>
        </is>
      </c>
      <c r="B11781">
        <f>HYPERLINK("Объекты недвижимости, не соответствующие градостроительным нормам_00-022_Август/e780267a-eab9-40d5-9456-cab4196d2734.jpg","open")</f>
        <v/>
      </c>
      <c r="C11781" t="inlineStr">
        <is>
          <t>31a713a9-b910-424b-b847-e0eaa2f70c70</t>
        </is>
      </c>
      <c r="D11781" t="n">
        <v>55.57152</v>
      </c>
      <c r="E11781" t="n">
        <v>37.48655</v>
      </c>
      <c r="F11781" t="inlineStr"/>
      <c r="G11781" t="inlineStr"/>
      <c r="H11781" t="inlineStr"/>
    </row>
    <row r="11782">
      <c r="A11782" t="inlineStr">
        <is>
          <t>84cfbbf8-c596-4ef0-ae98-3277b8dc81aa.jpg</t>
        </is>
      </c>
      <c r="B11782">
        <f>HYPERLINK("Объекты недвижимости, не соответствующие градостроительным нормам_00-022_Август/84cfbbf8-c596-4ef0-ae98-3277b8dc81aa.jpg","open")</f>
        <v/>
      </c>
      <c r="C11782" t="inlineStr">
        <is>
          <t>caa4772d-6278-4484-a046-ee25514bf521</t>
        </is>
      </c>
      <c r="D11782" t="n">
        <v>55.73954</v>
      </c>
      <c r="E11782" t="n">
        <v>37.50786</v>
      </c>
      <c r="F11782" t="inlineStr"/>
      <c r="G11782" t="inlineStr"/>
      <c r="H11782" t="inlineStr"/>
    </row>
    <row r="11783">
      <c r="A11783" t="inlineStr">
        <is>
          <t>b9895f64-f5fd-49f2-ab45-5c7fa348ef70.jpg</t>
        </is>
      </c>
      <c r="B11783">
        <f>HYPERLINK("Объекты недвижимости, не соответствующие градостроительным нормам_00-022_Август/b9895f64-f5fd-49f2-ab45-5c7fa348ef70.jpg","open")</f>
        <v/>
      </c>
      <c r="C11783" t="inlineStr">
        <is>
          <t>dd48f742-b338-42e2-bbaf-b3a9701b437c</t>
        </is>
      </c>
      <c r="D11783" t="n">
        <v>55.77945</v>
      </c>
      <c r="E11783" t="n">
        <v>37.63292</v>
      </c>
      <c r="F11783" t="inlineStr"/>
      <c r="G11783" t="inlineStr"/>
      <c r="H11783" t="inlineStr"/>
    </row>
    <row r="11784">
      <c r="A11784" t="inlineStr">
        <is>
          <t>4946dadc-5b97-438f-81bb-da05c96cedad.jpg</t>
        </is>
      </c>
      <c r="B11784">
        <f>HYPERLINK("Объекты недвижимости, не соответствующие градостроительным нормам_00-022_Август/4946dadc-5b97-438f-81bb-da05c96cedad.jpg","open")</f>
        <v/>
      </c>
      <c r="C11784" t="inlineStr">
        <is>
          <t>9c930d0e-e445-452d-a046-325646b21ab7</t>
        </is>
      </c>
      <c r="D11784" t="n">
        <v>55.77932</v>
      </c>
      <c r="E11784" t="n">
        <v>37.63285</v>
      </c>
      <c r="F11784" t="inlineStr"/>
      <c r="G11784" t="inlineStr"/>
      <c r="H11784" t="inlineStr"/>
    </row>
    <row r="11785">
      <c r="A11785" t="inlineStr">
        <is>
          <t>65cc5805-7aa3-46dc-8fc2-f1498e178bec.jpg</t>
        </is>
      </c>
      <c r="B11785">
        <f>HYPERLINK("Объекты недвижимости, не соответствующие градостроительным нормам_00-022_Август/65cc5805-7aa3-46dc-8fc2-f1498e178bec.jpg","open")</f>
        <v/>
      </c>
      <c r="C11785" t="inlineStr">
        <is>
          <t>8b2675e2-7f40-47a9-a462-7c9feecd299c</t>
        </is>
      </c>
      <c r="D11785" t="n">
        <v>55.65738</v>
      </c>
      <c r="E11785" t="n">
        <v>37.74263</v>
      </c>
      <c r="F11785" t="inlineStr"/>
      <c r="G11785" t="inlineStr"/>
      <c r="H11785" t="inlineStr"/>
    </row>
    <row r="11786">
      <c r="A11786" t="inlineStr">
        <is>
          <t>eba70982-725a-4dc0-845a-a8228ae0e1f2.jpg</t>
        </is>
      </c>
      <c r="B11786">
        <f>HYPERLINK("Объекты недвижимости, не соответствующие градостроительным нормам_00-022_Август/eba70982-725a-4dc0-845a-a8228ae0e1f2.jpg","open")</f>
        <v/>
      </c>
      <c r="C11786" t="inlineStr">
        <is>
          <t>fb9a37cc-57a6-447c-98bb-0b299f09c809</t>
        </is>
      </c>
      <c r="D11786" t="n">
        <v>55.87487</v>
      </c>
      <c r="E11786" t="n">
        <v>37.49524</v>
      </c>
      <c r="F11786" t="inlineStr"/>
      <c r="G11786" t="inlineStr"/>
      <c r="H11786" t="inlineStr"/>
    </row>
    <row r="11787">
      <c r="A11787" t="inlineStr">
        <is>
          <t>e2289d3d-4ce2-4f88-9c01-af8645534881.jpg</t>
        </is>
      </c>
      <c r="B11787">
        <f>HYPERLINK("Объекты недвижимости, не соответствующие градостроительным нормам_00-022_Август/e2289d3d-4ce2-4f88-9c01-af8645534881.jpg","open")</f>
        <v/>
      </c>
      <c r="C11787" t="inlineStr">
        <is>
          <t>797901ad-53b1-41b8-99d1-d59d59c863d5</t>
        </is>
      </c>
      <c r="D11787" t="n">
        <v>55.7932</v>
      </c>
      <c r="E11787" t="n">
        <v>37.79234</v>
      </c>
      <c r="F11787" t="inlineStr"/>
      <c r="G11787" t="inlineStr"/>
      <c r="H11787" t="inlineStr"/>
    </row>
    <row r="11788">
      <c r="A11788" t="inlineStr">
        <is>
          <t>83728cd8-7f40-4095-bfb8-dc04c984f6de.jpg</t>
        </is>
      </c>
      <c r="B11788">
        <f>HYPERLINK("Объекты недвижимости, не соответствующие градостроительным нормам_00-022_Август/83728cd8-7f40-4095-bfb8-dc04c984f6de.jpg","open")</f>
        <v/>
      </c>
      <c r="C11788" t="inlineStr">
        <is>
          <t>797901ad-53b1-41b8-99d1-d59d59c863d5</t>
        </is>
      </c>
      <c r="D11788" t="n">
        <v>55.79286</v>
      </c>
      <c r="E11788" t="n">
        <v>37.78285</v>
      </c>
      <c r="F11788" t="inlineStr"/>
      <c r="G11788" t="inlineStr"/>
      <c r="H11788" t="inlineStr"/>
    </row>
    <row r="11789">
      <c r="A11789" t="inlineStr">
        <is>
          <t>07cb6dd4-974e-4085-9949-10e584117935.jpg</t>
        </is>
      </c>
      <c r="B11789">
        <f>HYPERLINK("Объекты недвижимости, не соответствующие градостроительным нормам_00-022_Август/07cb6dd4-974e-4085-9949-10e584117935.jpg","open")</f>
        <v/>
      </c>
      <c r="C11789" t="inlineStr">
        <is>
          <t>fce890a6-27da-4062-a046-08262a160ee6</t>
        </is>
      </c>
      <c r="D11789" t="n">
        <v>55.79242</v>
      </c>
      <c r="E11789" t="n">
        <v>37.59137</v>
      </c>
      <c r="F11789" t="inlineStr"/>
      <c r="G11789" t="inlineStr"/>
      <c r="H11789" t="inlineStr"/>
    </row>
    <row r="11790">
      <c r="A11790" t="inlineStr">
        <is>
          <t>41f963c7-60d2-4341-bdec-ea25a3ab35df.jpg</t>
        </is>
      </c>
      <c r="B11790">
        <f>HYPERLINK("Объекты недвижимости, не соответствующие градостроительным нормам_00-022_Август/41f963c7-60d2-4341-bdec-ea25a3ab35df.jpg","open")</f>
        <v/>
      </c>
      <c r="C11790" t="inlineStr">
        <is>
          <t>b6b3590f-f506-4399-8205-e7ac710132e7</t>
        </is>
      </c>
      <c r="D11790" t="n">
        <v>55.81101</v>
      </c>
      <c r="E11790" t="n">
        <v>37.53892</v>
      </c>
      <c r="F11790" t="inlineStr"/>
      <c r="G11790" t="inlineStr"/>
      <c r="H11790" t="inlineStr"/>
    </row>
    <row r="11791">
      <c r="A11791" t="inlineStr">
        <is>
          <t>c333f7c3-4003-4eea-89c4-c0d8de467c48.jpg</t>
        </is>
      </c>
      <c r="B11791">
        <f>HYPERLINK("Объекты недвижимости, не соответствующие градостроительным нормам_00-022_Август/c333f7c3-4003-4eea-89c4-c0d8de467c48.jpg","open")</f>
        <v/>
      </c>
      <c r="C11791" t="inlineStr">
        <is>
          <t>fb9a37cc-57a6-447c-98bb-0b299f09c809</t>
        </is>
      </c>
      <c r="D11791" t="n">
        <v>55.90111</v>
      </c>
      <c r="E11791" t="n">
        <v>37.48989</v>
      </c>
      <c r="F11791" t="inlineStr"/>
      <c r="G11791" t="inlineStr"/>
      <c r="H11791" t="inlineStr"/>
    </row>
    <row r="11792">
      <c r="A11792" t="inlineStr">
        <is>
          <t>59465203-423d-4210-8633-e25b24a817f8.jpg</t>
        </is>
      </c>
      <c r="B11792">
        <f>HYPERLINK("Объекты недвижимости, не соответствующие градостроительным нормам_00-022_Август/59465203-423d-4210-8633-e25b24a817f8.jpg","open")</f>
        <v/>
      </c>
      <c r="C11792" t="inlineStr">
        <is>
          <t>fce890a6-27da-4062-a046-08262a160ee6</t>
        </is>
      </c>
      <c r="D11792" t="n">
        <v>55.79242</v>
      </c>
      <c r="E11792" t="n">
        <v>37.59137</v>
      </c>
      <c r="F11792" t="inlineStr"/>
      <c r="G11792" t="inlineStr"/>
      <c r="H11792" t="inlineStr"/>
    </row>
    <row r="11793">
      <c r="A11793" t="inlineStr">
        <is>
          <t>87366036-406a-4370-a1f0-c10e1927d4fd.jpg</t>
        </is>
      </c>
      <c r="B11793">
        <f>HYPERLINK("Объекты недвижимости, не соответствующие градостроительным нормам_00-022_Август/87366036-406a-4370-a1f0-c10e1927d4fd.jpg","open")</f>
        <v/>
      </c>
      <c r="C11793" t="inlineStr">
        <is>
          <t>91248771-2c4d-44f3-b3cf-d536bd4ae73c</t>
        </is>
      </c>
      <c r="D11793" t="n">
        <v>55.71407</v>
      </c>
      <c r="E11793" t="n">
        <v>37.67878</v>
      </c>
      <c r="F11793" t="inlineStr"/>
      <c r="G11793" t="inlineStr"/>
      <c r="H11793" t="inlineStr"/>
    </row>
    <row r="11794">
      <c r="A11794" t="inlineStr">
        <is>
          <t>23cccb49-cbcb-4f47-bb53-44e108edf586.jpg</t>
        </is>
      </c>
      <c r="B11794">
        <f>HYPERLINK("Объекты недвижимости, не соответствующие градостроительным нормам_00-022_Август/23cccb49-cbcb-4f47-bb53-44e108edf586.jpg","open")</f>
        <v/>
      </c>
      <c r="C11794" t="inlineStr">
        <is>
          <t>af173c70-3716-4040-aa0b-1be99e78abe8</t>
        </is>
      </c>
      <c r="D11794" t="n">
        <v>55.78678</v>
      </c>
      <c r="E11794" t="n">
        <v>37.63473</v>
      </c>
      <c r="F11794" t="inlineStr"/>
      <c r="G11794" t="inlineStr"/>
      <c r="H11794" t="inlineStr"/>
    </row>
    <row r="11795">
      <c r="A11795" t="inlineStr">
        <is>
          <t>8c2df093-111f-47ea-a1ce-45fa0d556161.jpg</t>
        </is>
      </c>
      <c r="B11795">
        <f>HYPERLINK("Объекты недвижимости, не соответствующие градостроительным нормам_00-022_Август/8c2df093-111f-47ea-a1ce-45fa0d556161.jpg","open")</f>
        <v/>
      </c>
      <c r="C11795" t="inlineStr">
        <is>
          <t>e26f5fc2-1353-4f29-85f3-87c56419161c</t>
        </is>
      </c>
      <c r="D11795" t="n">
        <v>55.80297</v>
      </c>
      <c r="E11795" t="n">
        <v>37.78638</v>
      </c>
      <c r="F11795" t="inlineStr"/>
      <c r="G11795" t="inlineStr"/>
      <c r="H11795" t="inlineStr"/>
    </row>
    <row r="11796">
      <c r="A11796" t="inlineStr">
        <is>
          <t>9b11a0a1-9b83-4c2e-8aa6-e7fca6992481.jpg</t>
        </is>
      </c>
      <c r="B11796">
        <f>HYPERLINK("Объекты недвижимости, не соответствующие градостроительным нормам_00-022_Август/9b11a0a1-9b83-4c2e-8aa6-e7fca6992481.jpg","open")</f>
        <v/>
      </c>
      <c r="C11796" t="inlineStr">
        <is>
          <t>57aae8a4-582b-4309-8045-c8127a9f86ae</t>
        </is>
      </c>
      <c r="D11796" t="n">
        <v>55.759</v>
      </c>
      <c r="E11796" t="n">
        <v>37.79395</v>
      </c>
      <c r="F11796" t="inlineStr"/>
      <c r="G11796" t="inlineStr"/>
      <c r="H11796" t="inlineStr"/>
    </row>
    <row r="11797">
      <c r="A11797" t="inlineStr">
        <is>
          <t>d099014d-e734-42ae-884e-28462c2cc384.jpg</t>
        </is>
      </c>
      <c r="B11797">
        <f>HYPERLINK("Объекты недвижимости, не соответствующие градостроительным нормам_00-022_Август/d099014d-e734-42ae-884e-28462c2cc384.jpg","open")</f>
        <v/>
      </c>
      <c r="C11797" t="inlineStr">
        <is>
          <t>fb9a37cc-57a6-447c-98bb-0b299f09c809</t>
        </is>
      </c>
      <c r="D11797" t="n">
        <v>55.86133</v>
      </c>
      <c r="E11797" t="n">
        <v>37.52493</v>
      </c>
      <c r="F11797" t="inlineStr"/>
      <c r="G11797" t="inlineStr"/>
      <c r="H11797" t="inlineStr"/>
    </row>
    <row r="11798">
      <c r="A11798" t="inlineStr">
        <is>
          <t>5644e711-e4a8-4079-af35-c06ea48034c0.jpg</t>
        </is>
      </c>
      <c r="B11798">
        <f>HYPERLINK("Объекты недвижимости, не соответствующие градостроительным нормам_00-022_Август/5644e711-e4a8-4079-af35-c06ea48034c0.jpg","open")</f>
        <v/>
      </c>
      <c r="C11798" t="inlineStr">
        <is>
          <t>8b2675e2-7f40-47a9-a462-7c9feecd299c</t>
        </is>
      </c>
      <c r="D11798" t="n">
        <v>55.67089</v>
      </c>
      <c r="E11798" t="n">
        <v>37.74877</v>
      </c>
      <c r="F11798" t="inlineStr"/>
      <c r="G11798" t="inlineStr"/>
      <c r="H11798" t="inlineStr"/>
    </row>
    <row r="11799">
      <c r="A11799" t="inlineStr">
        <is>
          <t>63babc4a-2362-40e0-8749-cba0b51a299e.jpg</t>
        </is>
      </c>
      <c r="B11799">
        <f>HYPERLINK("Объекты недвижимости, не соответствующие градостроительным нормам_00-022_Август/63babc4a-2362-40e0-8749-cba0b51a299e.jpg","open")</f>
        <v/>
      </c>
      <c r="C11799" t="inlineStr">
        <is>
          <t>61936922-4d4b-458e-80ea-6d4c450aa1d5</t>
        </is>
      </c>
      <c r="D11799" t="n">
        <v>55.64059</v>
      </c>
      <c r="E11799" t="n">
        <v>37.36</v>
      </c>
      <c r="F11799" t="inlineStr"/>
      <c r="G11799" t="inlineStr"/>
      <c r="H11799" t="inlineStr"/>
    </row>
    <row r="11800">
      <c r="A11800" t="inlineStr">
        <is>
          <t>ecbe2330-9e60-412b-bb0c-04a047d0d6c5.jpg</t>
        </is>
      </c>
      <c r="B11800">
        <f>HYPERLINK("Объекты недвижимости, не соответствующие градостроительным нормам_00-022_Август/ecbe2330-9e60-412b-bb0c-04a047d0d6c5.jpg","open")</f>
        <v/>
      </c>
      <c r="C11800" t="inlineStr">
        <is>
          <t>fb9a37cc-57a6-447c-98bb-0b299f09c809</t>
        </is>
      </c>
      <c r="D11800" t="n">
        <v>55.84521</v>
      </c>
      <c r="E11800" t="n">
        <v>37.55799</v>
      </c>
      <c r="F11800" t="inlineStr"/>
      <c r="G11800" t="inlineStr"/>
      <c r="H11800" t="inlineStr"/>
    </row>
    <row r="11801">
      <c r="A11801" t="inlineStr">
        <is>
          <t>65c7ee20-4997-4a63-bdf0-417dc9b3cd1d.jpg</t>
        </is>
      </c>
      <c r="B11801">
        <f>HYPERLINK("Объекты недвижимости, не соответствующие градостроительным нормам_00-022_Август/65c7ee20-4997-4a63-bdf0-417dc9b3cd1d.jpg","open")</f>
        <v/>
      </c>
      <c r="C11801" t="inlineStr">
        <is>
          <t>750bf7e4-0f0f-4f1a-96af-607dc8c1f1c9</t>
        </is>
      </c>
      <c r="D11801" t="n">
        <v>55.56229</v>
      </c>
      <c r="E11801" t="n">
        <v>37.49671</v>
      </c>
      <c r="F11801" t="inlineStr"/>
      <c r="G11801" t="inlineStr"/>
      <c r="H11801" t="inlineStr"/>
    </row>
    <row r="11802">
      <c r="A11802" t="inlineStr">
        <is>
          <t>7de51ff1-a98d-4b7d-94c2-b43ffa13cf8e.jpg</t>
        </is>
      </c>
      <c r="B11802">
        <f>HYPERLINK("Объекты недвижимости, не соответствующие градостроительным нормам_00-022_Август/7de51ff1-a98d-4b7d-94c2-b43ffa13cf8e.jpg","open")</f>
        <v/>
      </c>
      <c r="C11802" t="inlineStr">
        <is>
          <t>93848fc8-17e7-4748-9ebc-c7e379e11d2f</t>
        </is>
      </c>
      <c r="D11802" t="n">
        <v>55.89807</v>
      </c>
      <c r="E11802" t="n">
        <v>37.55701</v>
      </c>
      <c r="F11802" t="inlineStr"/>
      <c r="G11802" t="inlineStr"/>
      <c r="H11802" t="inlineStr"/>
    </row>
    <row r="11803">
      <c r="A11803" t="inlineStr">
        <is>
          <t>99f3257b-bc95-4246-bb1a-36e67d57bb54.jpg</t>
        </is>
      </c>
      <c r="B11803">
        <f>HYPERLINK("Объекты недвижимости, не соответствующие градостроительным нормам_00-022_Август/99f3257b-bc95-4246-bb1a-36e67d57bb54.jpg","open")</f>
        <v/>
      </c>
      <c r="C11803" t="inlineStr">
        <is>
          <t>e26f5fc2-1353-4f29-85f3-87c56419161c</t>
        </is>
      </c>
      <c r="D11803" t="n">
        <v>55.81527</v>
      </c>
      <c r="E11803" t="n">
        <v>37.74271</v>
      </c>
      <c r="F11803" t="inlineStr"/>
      <c r="G11803" t="inlineStr"/>
      <c r="H11803" t="inlineStr"/>
    </row>
    <row r="11804">
      <c r="A11804" t="inlineStr">
        <is>
          <t>c76c2cc2-6aa8-4a88-879a-aa45bde245a9.jpg</t>
        </is>
      </c>
      <c r="B11804">
        <f>HYPERLINK("Объекты недвижимости, не соответствующие градостроительным нормам_00-022_Август/c76c2cc2-6aa8-4a88-879a-aa45bde245a9.jpg","open")</f>
        <v/>
      </c>
      <c r="C11804" t="inlineStr">
        <is>
          <t>29ad9edb-d533-4272-a986-be24eb004851</t>
        </is>
      </c>
      <c r="D11804" t="n">
        <v>55.78225</v>
      </c>
      <c r="E11804" t="n">
        <v>37.67127</v>
      </c>
      <c r="F11804" t="inlineStr"/>
      <c r="G11804" t="inlineStr"/>
      <c r="H11804" t="inlineStr"/>
    </row>
    <row r="11805">
      <c r="A11805" t="inlineStr">
        <is>
          <t>caffe1d8-db3e-4566-b8fe-26409ed808dc.jpg</t>
        </is>
      </c>
      <c r="B11805">
        <f>HYPERLINK("Объекты недвижимости, не соответствующие градостроительным нормам_00-022_Август/caffe1d8-db3e-4566-b8fe-26409ed808dc.jpg","open")</f>
        <v/>
      </c>
      <c r="C11805" t="inlineStr">
        <is>
          <t>8b2675e2-7f40-47a9-a462-7c9feecd299c</t>
        </is>
      </c>
      <c r="D11805" t="n">
        <v>55.71021</v>
      </c>
      <c r="E11805" t="n">
        <v>37.72685</v>
      </c>
      <c r="F11805" t="inlineStr"/>
      <c r="G11805" t="inlineStr"/>
      <c r="H11805" t="inlineStr"/>
    </row>
    <row r="11806">
      <c r="A11806" t="inlineStr">
        <is>
          <t>485a3116-7662-466f-b93b-d3b018a2c2be.jpg</t>
        </is>
      </c>
      <c r="B11806">
        <f>HYPERLINK("Объекты недвижимости, не соответствующие градостроительным нормам_00-022_Август/485a3116-7662-466f-b93b-d3b018a2c2be.jpg","open")</f>
        <v/>
      </c>
      <c r="C11806" t="inlineStr">
        <is>
          <t>dd22c7c9-0046-46d8-8631-55150dbf8ae5</t>
        </is>
      </c>
      <c r="D11806" t="n">
        <v>55.78678</v>
      </c>
      <c r="E11806" t="n">
        <v>37.63473</v>
      </c>
      <c r="F11806" t="inlineStr"/>
      <c r="G11806" t="inlineStr"/>
      <c r="H11806" t="inlineStr"/>
    </row>
    <row r="11807">
      <c r="A11807" t="inlineStr">
        <is>
          <t>b554011b-6c1c-4a5c-983e-faaeb96c2dd4.jpg</t>
        </is>
      </c>
      <c r="B11807">
        <f>HYPERLINK("Объекты недвижимости, не соответствующие градостроительным нормам_00-022_Август/b554011b-6c1c-4a5c-983e-faaeb96c2dd4.jpg","open")</f>
        <v/>
      </c>
      <c r="C11807" t="inlineStr">
        <is>
          <t>a28f597e-d1cd-4d3b-b572-c86d033412e9</t>
        </is>
      </c>
      <c r="D11807" t="n">
        <v>55.72847</v>
      </c>
      <c r="E11807" t="n">
        <v>37.41203</v>
      </c>
      <c r="F11807" t="inlineStr"/>
      <c r="G11807" t="inlineStr"/>
      <c r="H11807" t="inlineStr"/>
    </row>
    <row r="11808">
      <c r="A11808" t="inlineStr">
        <is>
          <t>80c43403-26f2-41a1-9694-bf2568544af9.jpg</t>
        </is>
      </c>
      <c r="B11808">
        <f>HYPERLINK("Объекты недвижимости, не соответствующие градостроительным нормам_00-022_Август/80c43403-26f2-41a1-9694-bf2568544af9.jpg","open")</f>
        <v/>
      </c>
      <c r="C11808" t="inlineStr">
        <is>
          <t>036c664f-5408-4fd0-b479-342c00468eeb</t>
        </is>
      </c>
      <c r="D11808" t="n">
        <v>55.72847</v>
      </c>
      <c r="E11808" t="n">
        <v>37.41202</v>
      </c>
      <c r="F11808" t="inlineStr"/>
      <c r="G11808" t="inlineStr"/>
      <c r="H11808" t="inlineStr"/>
    </row>
    <row r="11809">
      <c r="A11809" t="inlineStr">
        <is>
          <t>862bbf2c-fb51-46cc-ae8c-26c2e83997ae.jpg</t>
        </is>
      </c>
      <c r="B11809">
        <f>HYPERLINK("Объекты недвижимости, не соответствующие градостроительным нормам_00-022_Август/862bbf2c-fb51-46cc-ae8c-26c2e83997ae.jpg","open")</f>
        <v/>
      </c>
      <c r="C11809" t="inlineStr">
        <is>
          <t>a28f597e-d1cd-4d3b-b572-c86d033412e9</t>
        </is>
      </c>
      <c r="D11809" t="n">
        <v>55.72874</v>
      </c>
      <c r="E11809" t="n">
        <v>37.412</v>
      </c>
      <c r="F11809" t="inlineStr"/>
      <c r="G11809" t="inlineStr"/>
      <c r="H11809" t="inlineStr"/>
    </row>
    <row r="11810">
      <c r="A11810" t="inlineStr">
        <is>
          <t>7052625c-80a1-4980-aa9d-000361d5c531.jpg</t>
        </is>
      </c>
      <c r="B11810">
        <f>HYPERLINK("Объекты недвижимости, не соответствующие градостроительным нормам_00-022_Август/7052625c-80a1-4980-aa9d-000361d5c531.jpg","open")</f>
        <v/>
      </c>
      <c r="C11810" t="inlineStr">
        <is>
          <t>036c664f-5408-4fd0-b479-342c00468eeb</t>
        </is>
      </c>
      <c r="D11810" t="n">
        <v>55.72877</v>
      </c>
      <c r="E11810" t="n">
        <v>37.41193</v>
      </c>
      <c r="F11810" t="inlineStr"/>
      <c r="G11810" t="inlineStr"/>
      <c r="H11810" t="inlineStr"/>
    </row>
    <row r="11811">
      <c r="A11811" t="inlineStr">
        <is>
          <t>25a1872b-f77c-4e9c-8385-bffb9b72585e.jpg</t>
        </is>
      </c>
      <c r="B11811">
        <f>HYPERLINK("Объекты недвижимости, не соответствующие градостроительным нормам_00-022_Август/25a1872b-f77c-4e9c-8385-bffb9b72585e.jpg","open")</f>
        <v/>
      </c>
      <c r="C11811" t="inlineStr">
        <is>
          <t>31a713a9-b910-424b-b847-e0eaa2f70c70</t>
        </is>
      </c>
      <c r="D11811" t="n">
        <v>55.55227</v>
      </c>
      <c r="E11811" t="n">
        <v>37.51572</v>
      </c>
      <c r="F11811" t="inlineStr"/>
      <c r="G11811" t="inlineStr"/>
      <c r="H11811" t="inlineStr"/>
    </row>
    <row r="11812">
      <c r="A11812" t="inlineStr">
        <is>
          <t>e6f511e0-bfdf-41cf-8000-6c1690c55695.jpg</t>
        </is>
      </c>
      <c r="B11812">
        <f>HYPERLINK("Объекты недвижимости, не соответствующие градостроительным нормам_00-022_Август/e6f511e0-bfdf-41cf-8000-6c1690c55695.jpg","open")</f>
        <v/>
      </c>
      <c r="C11812" t="inlineStr">
        <is>
          <t>a28f597e-d1cd-4d3b-b572-c86d033412e9</t>
        </is>
      </c>
      <c r="D11812" t="n">
        <v>55.7287</v>
      </c>
      <c r="E11812" t="n">
        <v>37.41631</v>
      </c>
      <c r="F11812" t="inlineStr"/>
      <c r="G11812" t="inlineStr"/>
      <c r="H11812" t="inlineStr"/>
    </row>
    <row r="11813">
      <c r="A11813" t="inlineStr">
        <is>
          <t>594aaca9-dc22-480c-8155-10f54d25a948.jpg</t>
        </is>
      </c>
      <c r="B11813">
        <f>HYPERLINK("Объекты недвижимости, не соответствующие градостроительным нормам_00-022_Август/594aaca9-dc22-480c-8155-10f54d25a948.jpg","open")</f>
        <v/>
      </c>
      <c r="C11813" t="inlineStr">
        <is>
          <t>8b2675e2-7f40-47a9-a462-7c9feecd299c</t>
        </is>
      </c>
      <c r="D11813" t="n">
        <v>55.71062</v>
      </c>
      <c r="E11813" t="n">
        <v>37.67027</v>
      </c>
      <c r="F11813" t="inlineStr"/>
      <c r="G11813" t="inlineStr"/>
      <c r="H11813" t="inlineStr"/>
    </row>
    <row r="11814">
      <c r="A11814" t="inlineStr">
        <is>
          <t>e9f64f76-07e0-47c3-bf6a-e615f5eb8966.jpg</t>
        </is>
      </c>
      <c r="B11814">
        <f>HYPERLINK("Объекты недвижимости, не соответствующие градостроительным нормам_00-022_Август/e9f64f76-07e0-47c3-bf6a-e615f5eb8966.jpg","open")</f>
        <v/>
      </c>
      <c r="C11814" t="inlineStr">
        <is>
          <t>91248771-2c4d-44f3-b3cf-d536bd4ae73c</t>
        </is>
      </c>
      <c r="D11814" t="n">
        <v>55.71407</v>
      </c>
      <c r="E11814" t="n">
        <v>37.67878</v>
      </c>
      <c r="F11814" t="inlineStr"/>
      <c r="G11814" t="inlineStr"/>
      <c r="H11814" t="inlineStr"/>
    </row>
    <row r="11815">
      <c r="A11815" t="inlineStr">
        <is>
          <t>c6178f1f-7d6c-4938-8394-a1d7157e9b43.jpg</t>
        </is>
      </c>
      <c r="B11815">
        <f>HYPERLINK("Объекты недвижимости, не соответствующие градостроительным нормам_00-022_Август/c6178f1f-7d6c-4938-8394-a1d7157e9b43.jpg","open")</f>
        <v/>
      </c>
      <c r="C11815" t="inlineStr">
        <is>
          <t>a28f597e-d1cd-4d3b-b572-c86d033412e9</t>
        </is>
      </c>
      <c r="D11815" t="n">
        <v>55.72889</v>
      </c>
      <c r="E11815" t="n">
        <v>37.41228</v>
      </c>
      <c r="F11815" t="inlineStr"/>
      <c r="G11815" t="inlineStr"/>
      <c r="H11815" t="inlineStr"/>
    </row>
    <row r="11816">
      <c r="A11816" t="inlineStr">
        <is>
          <t>35159253-4dbb-4466-95ab-b74bb0f08478.jpg</t>
        </is>
      </c>
      <c r="B11816">
        <f>HYPERLINK("Объекты недвижимости, не соответствующие градостроительным нормам_00-022_Август/35159253-4dbb-4466-95ab-b74bb0f08478.jpg","open")</f>
        <v/>
      </c>
      <c r="C11816" t="inlineStr">
        <is>
          <t>fb9a37cc-57a6-447c-98bb-0b299f09c809</t>
        </is>
      </c>
      <c r="D11816" t="n">
        <v>55.84492</v>
      </c>
      <c r="E11816" t="n">
        <v>37.54332</v>
      </c>
      <c r="F11816" t="inlineStr"/>
      <c r="G11816" t="inlineStr"/>
      <c r="H11816" t="inlineStr"/>
    </row>
    <row r="11817">
      <c r="A11817" t="inlineStr">
        <is>
          <t>20aa998a-a19c-4770-9cc3-4e5ac643ff70.jpg</t>
        </is>
      </c>
      <c r="B11817">
        <f>HYPERLINK("Объекты недвижимости, не соответствующие градостроительным нормам_00-022_Август/20aa998a-a19c-4770-9cc3-4e5ac643ff70.jpg","open")</f>
        <v/>
      </c>
      <c r="C11817" t="inlineStr">
        <is>
          <t>55da50d9-6d31-4c29-a85b-6a228578c6de</t>
        </is>
      </c>
      <c r="D11817" t="n">
        <v>55.71013</v>
      </c>
      <c r="E11817" t="n">
        <v>37.66448</v>
      </c>
      <c r="F11817" t="inlineStr"/>
      <c r="G11817" t="inlineStr"/>
      <c r="H11817" t="inlineStr"/>
    </row>
    <row r="11818">
      <c r="A11818" t="inlineStr">
        <is>
          <t>4f602326-314f-41dd-ac87-4e752f7324e2.jpg</t>
        </is>
      </c>
      <c r="B11818">
        <f>HYPERLINK("Объекты недвижимости, не соответствующие градостроительным нормам_00-022_Август/4f602326-314f-41dd-ac87-4e752f7324e2.jpg","open")</f>
        <v/>
      </c>
      <c r="C11818" t="inlineStr">
        <is>
          <t>936502dd-24a4-4256-9fdf-0d8fb72af3ed</t>
        </is>
      </c>
      <c r="D11818" t="n">
        <v>55.74203</v>
      </c>
      <c r="E11818" t="n">
        <v>37.69757</v>
      </c>
      <c r="F11818" t="inlineStr"/>
      <c r="G11818" t="inlineStr"/>
      <c r="H11818" t="inlineStr"/>
    </row>
    <row r="11819">
      <c r="A11819" t="inlineStr">
        <is>
          <t>a71817d9-5ebd-49d5-94ee-129d07b0751f.jpg</t>
        </is>
      </c>
      <c r="B11819">
        <f>HYPERLINK("Объекты недвижимости, не соответствующие градостроительным нормам_00-022_Август/a71817d9-5ebd-49d5-94ee-129d07b0751f.jpg","open")</f>
        <v/>
      </c>
      <c r="C11819" t="inlineStr">
        <is>
          <t>ed2bf0f1-3a66-4913-896e-4420a9796c0b</t>
        </is>
      </c>
      <c r="D11819" t="n">
        <v>55.65727</v>
      </c>
      <c r="E11819" t="n">
        <v>37.49582</v>
      </c>
      <c r="F11819" t="inlineStr"/>
      <c r="G11819" t="inlineStr"/>
      <c r="H11819" t="inlineStr"/>
    </row>
    <row r="11820">
      <c r="A11820" t="inlineStr">
        <is>
          <t>c582d4a6-c40a-4e68-b9a1-61037e5594a3.jpg</t>
        </is>
      </c>
      <c r="B11820">
        <f>HYPERLINK("Объекты недвижимости, не соответствующие градостроительным нормам_00-022_Август/c582d4a6-c40a-4e68-b9a1-61037e5594a3.jpg","open")</f>
        <v/>
      </c>
      <c r="C11820" t="inlineStr">
        <is>
          <t>936502dd-24a4-4256-9fdf-0d8fb72af3ed</t>
        </is>
      </c>
      <c r="D11820" t="n">
        <v>55.74802</v>
      </c>
      <c r="E11820" t="n">
        <v>37.70119</v>
      </c>
      <c r="F11820" t="inlineStr"/>
      <c r="G11820" t="inlineStr"/>
      <c r="H11820" t="inlineStr"/>
    </row>
    <row r="11821">
      <c r="A11821" t="inlineStr">
        <is>
          <t>8493e8ea-3ab6-4540-b0f1-dc23b0415e18.jpg</t>
        </is>
      </c>
      <c r="B11821">
        <f>HYPERLINK("Объекты недвижимости, не соответствующие градостроительным нормам_00-022_Август/8493e8ea-3ab6-4540-b0f1-dc23b0415e18.jpg","open")</f>
        <v/>
      </c>
      <c r="C11821" t="inlineStr">
        <is>
          <t>9f88688f-4c81-42a8-b76a-3c3e7edf869e</t>
        </is>
      </c>
      <c r="D11821" t="n">
        <v>55.79242</v>
      </c>
      <c r="E11821" t="n">
        <v>37.59137</v>
      </c>
      <c r="F11821" t="inlineStr"/>
      <c r="G11821" t="inlineStr"/>
      <c r="H11821" t="inlineStr"/>
    </row>
    <row r="11822">
      <c r="A11822" t="inlineStr">
        <is>
          <t>55e61780-16b8-41bb-b84d-d9bf89f9c1fd.jpg</t>
        </is>
      </c>
      <c r="B11822">
        <f>HYPERLINK("Объекты недвижимости, не соответствующие градостроительным нормам_00-022_Август/55e61780-16b8-41bb-b84d-d9bf89f9c1fd.jpg","open")</f>
        <v/>
      </c>
      <c r="C11822" t="inlineStr">
        <is>
          <t>31a713a9-b910-424b-b847-e0eaa2f70c70</t>
        </is>
      </c>
      <c r="D11822" t="n">
        <v>55.52254</v>
      </c>
      <c r="E11822" t="n">
        <v>37.5071</v>
      </c>
      <c r="F11822" t="inlineStr"/>
      <c r="G11822" t="inlineStr"/>
      <c r="H11822" t="inlineStr"/>
    </row>
    <row r="11823">
      <c r="A11823" t="inlineStr">
        <is>
          <t>b6ddf040-9663-4d6b-9350-1e8a3fd6ff39.jpg</t>
        </is>
      </c>
      <c r="B11823">
        <f>HYPERLINK("Объекты недвижимости, не соответствующие градостроительным нормам_00-022_Август/b6ddf040-9663-4d6b-9350-1e8a3fd6ff39.jpg","open")</f>
        <v/>
      </c>
      <c r="C11823" t="inlineStr">
        <is>
          <t>31a713a9-b910-424b-b847-e0eaa2f70c70</t>
        </is>
      </c>
      <c r="D11823" t="n">
        <v>55.52252</v>
      </c>
      <c r="E11823" t="n">
        <v>37.50709</v>
      </c>
      <c r="F11823" t="inlineStr"/>
      <c r="G11823" t="inlineStr"/>
      <c r="H11823" t="inlineStr"/>
    </row>
    <row r="11824">
      <c r="A11824" t="inlineStr">
        <is>
          <t>e06b0873-b6cf-4368-9632-c8ffc04d87a9.jpg</t>
        </is>
      </c>
      <c r="B11824">
        <f>HYPERLINK("Объекты недвижимости, не соответствующие градостроительным нормам_00-022_Август/e06b0873-b6cf-4368-9632-c8ffc04d87a9.jpg","open")</f>
        <v/>
      </c>
      <c r="C11824" t="inlineStr">
        <is>
          <t>750bf7e4-0f0f-4f1a-96af-607dc8c1f1c9</t>
        </is>
      </c>
      <c r="D11824" t="n">
        <v>55.52252</v>
      </c>
      <c r="E11824" t="n">
        <v>37.50709</v>
      </c>
      <c r="F11824" t="inlineStr"/>
      <c r="G11824" t="inlineStr"/>
      <c r="H11824" t="inlineStr"/>
    </row>
    <row r="11825">
      <c r="A11825" t="inlineStr">
        <is>
          <t>02e5b66a-f36f-4b38-82dc-623d5f9da685.jpg</t>
        </is>
      </c>
      <c r="B11825">
        <f>HYPERLINK("Объекты недвижимости, не соответствующие градостроительным нормам_00-022_Август/02e5b66a-f36f-4b38-82dc-623d5f9da685.jpg","open")</f>
        <v/>
      </c>
      <c r="C11825" t="inlineStr">
        <is>
          <t>31a713a9-b910-424b-b847-e0eaa2f70c70</t>
        </is>
      </c>
      <c r="D11825" t="n">
        <v>55.52252</v>
      </c>
      <c r="E11825" t="n">
        <v>37.50709</v>
      </c>
      <c r="F11825" t="inlineStr"/>
      <c r="G11825" t="inlineStr"/>
      <c r="H11825" t="inlineStr"/>
    </row>
    <row r="11826">
      <c r="A11826" t="inlineStr">
        <is>
          <t>72ae065a-073c-408e-92c8-7c55cadb7e3a.jpg</t>
        </is>
      </c>
      <c r="B11826">
        <f>HYPERLINK("Объекты недвижимости, не соответствующие градостроительным нормам_00-022_Август/72ae065a-073c-408e-92c8-7c55cadb7e3a.jpg","open")</f>
        <v/>
      </c>
      <c r="C11826" t="inlineStr">
        <is>
          <t>31a713a9-b910-424b-b847-e0eaa2f70c70</t>
        </is>
      </c>
      <c r="D11826" t="n">
        <v>55.51667</v>
      </c>
      <c r="E11826" t="n">
        <v>37.5365</v>
      </c>
      <c r="F11826" t="inlineStr"/>
      <c r="G11826" t="inlineStr"/>
      <c r="H11826" t="inlineStr"/>
    </row>
    <row r="11827">
      <c r="A11827" t="inlineStr">
        <is>
          <t>f5404a33-acb8-4db7-ba91-dec7b918e2dc.jpg</t>
        </is>
      </c>
      <c r="B11827">
        <f>HYPERLINK("Объекты недвижимости, не соответствующие градостроительным нормам_00-022_Август/f5404a33-acb8-4db7-ba91-dec7b918e2dc.jpg","open")</f>
        <v/>
      </c>
      <c r="C11827" t="inlineStr">
        <is>
          <t>31a713a9-b910-424b-b847-e0eaa2f70c70</t>
        </is>
      </c>
      <c r="D11827" t="n">
        <v>55.51187</v>
      </c>
      <c r="E11827" t="n">
        <v>37.54494</v>
      </c>
      <c r="F11827" t="inlineStr"/>
      <c r="G11827" t="inlineStr"/>
      <c r="H11827" t="inlineStr"/>
    </row>
    <row r="11828">
      <c r="A11828" t="inlineStr">
        <is>
          <t>4a2f7e09-e20a-4657-8556-6bfa99e50621.jpg</t>
        </is>
      </c>
      <c r="B11828">
        <f>HYPERLINK("Объекты недвижимости, не соответствующие градостроительным нормам_00-022_Август/4a2f7e09-e20a-4657-8556-6bfa99e50621.jpg","open")</f>
        <v/>
      </c>
      <c r="C11828" t="inlineStr">
        <is>
          <t>e26f5fc2-1353-4f29-85f3-87c56419161c</t>
        </is>
      </c>
      <c r="D11828" t="n">
        <v>55.89826</v>
      </c>
      <c r="E11828" t="n">
        <v>37.55265</v>
      </c>
      <c r="F11828" t="inlineStr"/>
      <c r="G11828" t="inlineStr"/>
      <c r="H11828" t="inlineStr"/>
    </row>
    <row r="11829">
      <c r="A11829" t="inlineStr">
        <is>
          <t>bf8136cd-a024-430d-94bb-e91c4cfba768.jpg</t>
        </is>
      </c>
      <c r="B11829">
        <f>HYPERLINK("Объекты недвижимости, не соответствующие градостроительным нормам_00-022_Август/bf8136cd-a024-430d-94bb-e91c4cfba768.jpg","open")</f>
        <v/>
      </c>
      <c r="C11829" t="inlineStr">
        <is>
          <t>b0429a31-0c70-4b9f-8ea5-73929d82f89e</t>
        </is>
      </c>
      <c r="D11829" t="n">
        <v>55.60118</v>
      </c>
      <c r="E11829" t="n">
        <v>37.61188</v>
      </c>
      <c r="F11829" t="inlineStr"/>
      <c r="G11829" t="inlineStr"/>
      <c r="H11829" t="inlineStr"/>
    </row>
    <row r="11830">
      <c r="A11830" t="inlineStr">
        <is>
          <t>425b5a59-d062-43fd-bbe5-cb5324e5b578.jpg</t>
        </is>
      </c>
      <c r="B11830">
        <f>HYPERLINK("Объекты недвижимости, не соответствующие градостроительным нормам_00-022_Август/425b5a59-d062-43fd-bbe5-cb5324e5b578.jpg","open")</f>
        <v/>
      </c>
      <c r="C11830" t="inlineStr">
        <is>
          <t>99f3abba-c55b-49f0-9de5-9f88e9597cc0</t>
        </is>
      </c>
      <c r="D11830" t="n">
        <v>55.60118</v>
      </c>
      <c r="E11830" t="n">
        <v>37.61182</v>
      </c>
      <c r="F11830" t="inlineStr"/>
      <c r="G11830" t="inlineStr"/>
      <c r="H11830" t="inlineStr"/>
    </row>
    <row r="11831">
      <c r="A11831" t="inlineStr">
        <is>
          <t>a62a1eee-11a1-41ae-803f-20aa067c8e77.jpg</t>
        </is>
      </c>
      <c r="B11831">
        <f>HYPERLINK("Объекты недвижимости, не соответствующие градостроительным нормам_00-022_Август/a62a1eee-11a1-41ae-803f-20aa067c8e77.jpg","open")</f>
        <v/>
      </c>
      <c r="C11831" t="inlineStr">
        <is>
          <t>1c951e11-4940-43c6-a447-394097e5609a</t>
        </is>
      </c>
      <c r="D11831" t="n">
        <v>55.61091</v>
      </c>
      <c r="E11831" t="n">
        <v>37.66191</v>
      </c>
      <c r="F11831" t="inlineStr"/>
      <c r="G11831" t="inlineStr"/>
      <c r="H11831" t="inlineStr"/>
    </row>
    <row r="11832">
      <c r="A11832" t="inlineStr">
        <is>
          <t>b1340d51-6271-4edb-bdf5-4eac98c42bd5.jpg</t>
        </is>
      </c>
      <c r="B11832">
        <f>HYPERLINK("Объекты недвижимости, не соответствующие градостроительным нормам_00-022_Август/b1340d51-6271-4edb-bdf5-4eac98c42bd5.jpg","open")</f>
        <v/>
      </c>
      <c r="C11832" t="inlineStr">
        <is>
          <t>57aae8a4-582b-4309-8045-c8127a9f86ae</t>
        </is>
      </c>
      <c r="D11832" t="n">
        <v>55.75713</v>
      </c>
      <c r="E11832" t="n">
        <v>37.79888</v>
      </c>
      <c r="F11832" t="inlineStr"/>
      <c r="G11832" t="inlineStr"/>
      <c r="H11832" t="inlineStr"/>
    </row>
    <row r="11833">
      <c r="A11833" t="inlineStr">
        <is>
          <t>04ef8f92-05a8-44d1-9796-408427863e59.jpg</t>
        </is>
      </c>
      <c r="B11833">
        <f>HYPERLINK("Объекты недвижимости, не соответствующие градостроительным нормам_00-022_Август/04ef8f92-05a8-44d1-9796-408427863e59.jpg","open")</f>
        <v/>
      </c>
      <c r="C11833" t="inlineStr">
        <is>
          <t>8cde1fd0-eca1-4510-86ab-3c743b65fdfc</t>
        </is>
      </c>
      <c r="D11833" t="n">
        <v>55.60977</v>
      </c>
      <c r="E11833" t="n">
        <v>37.65861</v>
      </c>
      <c r="F11833" t="inlineStr"/>
      <c r="G11833" t="inlineStr"/>
      <c r="H11833" t="inlineStr"/>
    </row>
    <row r="11834">
      <c r="A11834" t="inlineStr">
        <is>
          <t>5ebe52c1-8362-4331-ab77-685168653b05.jpg</t>
        </is>
      </c>
      <c r="B11834">
        <f>HYPERLINK("Объекты недвижимости, не соответствующие градостроительным нормам_00-022_Август/5ebe52c1-8362-4331-ab77-685168653b05.jpg","open")</f>
        <v/>
      </c>
      <c r="C11834" t="inlineStr">
        <is>
          <t>b0b7ea82-53be-40d0-b992-e2fd18611d5c</t>
        </is>
      </c>
      <c r="D11834" t="n">
        <v>55.70284</v>
      </c>
      <c r="E11834" t="n">
        <v>37.766</v>
      </c>
      <c r="F11834" t="inlineStr"/>
      <c r="G11834" t="inlineStr"/>
      <c r="H11834" t="inlineStr"/>
    </row>
    <row r="11835">
      <c r="A11835" t="inlineStr">
        <is>
          <t>9a4d6ed0-92a3-4338-bf2b-e3ed1a3aed38.jpg</t>
        </is>
      </c>
      <c r="B11835">
        <f>HYPERLINK("Объекты недвижимости, не соответствующие градостроительным нормам_00-022_Август/9a4d6ed0-92a3-4338-bf2b-e3ed1a3aed38.jpg","open")</f>
        <v/>
      </c>
      <c r="C11835" t="inlineStr">
        <is>
          <t>acedacc2-0d8b-4fc1-9622-25621a89d071</t>
        </is>
      </c>
      <c r="D11835" t="n">
        <v>55.75506</v>
      </c>
      <c r="E11835" t="n">
        <v>37.80281</v>
      </c>
      <c r="F11835" t="inlineStr"/>
      <c r="G11835" t="inlineStr"/>
      <c r="H11835" t="inlineStr"/>
    </row>
    <row r="11836">
      <c r="A11836" t="inlineStr">
        <is>
          <t>a6679283-8f33-4037-abfe-348e60da4c88.jpg</t>
        </is>
      </c>
      <c r="B11836">
        <f>HYPERLINK("Объекты недвижимости, не соответствующие градостроительным нормам_00-022_Август/a6679283-8f33-4037-abfe-348e60da4c88.jpg","open")</f>
        <v/>
      </c>
      <c r="C11836" t="inlineStr">
        <is>
          <t>b0b7ea82-53be-40d0-b992-e2fd18611d5c</t>
        </is>
      </c>
      <c r="D11836" t="n">
        <v>55.70441</v>
      </c>
      <c r="E11836" t="n">
        <v>37.76658</v>
      </c>
      <c r="F11836" t="inlineStr"/>
      <c r="G11836" t="inlineStr"/>
      <c r="H11836" t="inlineStr"/>
    </row>
    <row r="11837">
      <c r="A11837" t="inlineStr">
        <is>
          <t>48a027d7-579d-47c5-919e-59ecdc70f3ca.jpg</t>
        </is>
      </c>
      <c r="B11837">
        <f>HYPERLINK("Объекты недвижимости, не соответствующие градостроительным нормам_00-022_Август/48a027d7-579d-47c5-919e-59ecdc70f3ca.jpg","open")</f>
        <v/>
      </c>
      <c r="C11837" t="inlineStr">
        <is>
          <t>12e795ad-2aa7-49de-b2da-2c6aa35a4559</t>
        </is>
      </c>
      <c r="D11837" t="n">
        <v>55.60492</v>
      </c>
      <c r="E11837" t="n">
        <v>37.52348</v>
      </c>
      <c r="F11837" t="inlineStr"/>
      <c r="G11837" t="inlineStr"/>
      <c r="H11837" t="inlineStr"/>
    </row>
    <row r="11838">
      <c r="A11838" t="inlineStr">
        <is>
          <t>cda62168-f29e-4f70-b8de-c620926ab746.jpg</t>
        </is>
      </c>
      <c r="B11838">
        <f>HYPERLINK("Объекты недвижимости, не соответствующие градостроительным нормам_00-022_Август/cda62168-f29e-4f70-b8de-c620926ab746.jpg","open")</f>
        <v/>
      </c>
      <c r="C11838" t="inlineStr">
        <is>
          <t>ad64e6b9-1ed5-44d7-a101-4945a1f9dec6</t>
        </is>
      </c>
      <c r="D11838" t="n">
        <v>55.60488</v>
      </c>
      <c r="E11838" t="n">
        <v>37.52395</v>
      </c>
      <c r="F11838" t="inlineStr"/>
      <c r="G11838" t="inlineStr"/>
      <c r="H11838" t="inlineStr"/>
    </row>
    <row r="11839">
      <c r="A11839" t="inlineStr">
        <is>
          <t>4e28905b-1529-48c6-8d1b-81561d734101.jpg</t>
        </is>
      </c>
      <c r="B11839">
        <f>HYPERLINK("Объекты недвижимости, не соответствующие градостроительным нормам_00-022_Август/4e28905b-1529-48c6-8d1b-81561d734101.jpg","open")</f>
        <v/>
      </c>
      <c r="C11839" t="inlineStr">
        <is>
          <t>9fb3d110-951f-48da-9d90-cfd7e1b5800d</t>
        </is>
      </c>
      <c r="D11839" t="n">
        <v>55.64491</v>
      </c>
      <c r="E11839" t="n">
        <v>37.34969</v>
      </c>
      <c r="F11839" t="inlineStr"/>
      <c r="G11839" t="inlineStr"/>
      <c r="H11839" t="inlineStr"/>
    </row>
    <row r="11840">
      <c r="A11840" t="inlineStr">
        <is>
          <t>9c5a530e-4540-4f05-821c-a9f48a37ec39.jpg</t>
        </is>
      </c>
      <c r="B11840">
        <f>HYPERLINK("Объекты недвижимости, не соответствующие градостроительным нормам_00-022_Август/9c5a530e-4540-4f05-821c-a9f48a37ec39.jpg","open")</f>
        <v/>
      </c>
      <c r="C11840" t="inlineStr">
        <is>
          <t>ad64e6b9-1ed5-44d7-a101-4945a1f9dec6</t>
        </is>
      </c>
      <c r="D11840" t="n">
        <v>55.60438</v>
      </c>
      <c r="E11840" t="n">
        <v>37.52488</v>
      </c>
      <c r="F11840" t="inlineStr"/>
      <c r="G11840" t="inlineStr"/>
      <c r="H11840" t="inlineStr"/>
    </row>
    <row r="11841">
      <c r="A11841" t="inlineStr">
        <is>
          <t>00d5e51a-3d9d-4775-859f-f4d3b7d18c29.jpg</t>
        </is>
      </c>
      <c r="B11841">
        <f>HYPERLINK("Объекты недвижимости, не соответствующие градостроительным нормам_00-022_Август/00d5e51a-3d9d-4775-859f-f4d3b7d18c29.jpg","open")</f>
        <v/>
      </c>
      <c r="C11841" t="inlineStr">
        <is>
          <t>dd48f742-b338-42e2-bbaf-b3a9701b437c</t>
        </is>
      </c>
      <c r="D11841" t="n">
        <v>55.84479</v>
      </c>
      <c r="E11841" t="n">
        <v>37.66999</v>
      </c>
      <c r="F11841" t="inlineStr"/>
      <c r="G11841" t="inlineStr"/>
      <c r="H11841" t="inlineStr"/>
    </row>
    <row r="11842">
      <c r="A11842" t="inlineStr">
        <is>
          <t>666f8eed-f74e-4346-8636-991f890c3041.jpg</t>
        </is>
      </c>
      <c r="B11842">
        <f>HYPERLINK("Объекты недвижимости, не соответствующие градостроительным нормам_00-022_Август/666f8eed-f74e-4346-8636-991f890c3041.jpg","open")</f>
        <v/>
      </c>
      <c r="C11842" t="inlineStr">
        <is>
          <t>ad64e6b9-1ed5-44d7-a101-4945a1f9dec6</t>
        </is>
      </c>
      <c r="D11842" t="n">
        <v>55.60535</v>
      </c>
      <c r="E11842" t="n">
        <v>37.52394</v>
      </c>
      <c r="F11842" t="inlineStr"/>
      <c r="G11842" t="inlineStr"/>
      <c r="H11842" t="inlineStr"/>
    </row>
    <row r="11843">
      <c r="A11843" t="inlineStr">
        <is>
          <t>79a87aff-c885-4ce9-b120-9f12ca71538a.jpg</t>
        </is>
      </c>
      <c r="B11843">
        <f>HYPERLINK("Объекты недвижимости, не соответствующие градостроительным нормам_00-022_Август/79a87aff-c885-4ce9-b120-9f12ca71538a.jpg","open")</f>
        <v/>
      </c>
      <c r="C11843" t="inlineStr">
        <is>
          <t>dd48f742-b338-42e2-bbaf-b3a9701b437c</t>
        </is>
      </c>
      <c r="D11843" t="n">
        <v>55.86467</v>
      </c>
      <c r="E11843" t="n">
        <v>37.66197</v>
      </c>
      <c r="F11843" t="inlineStr"/>
      <c r="G11843" t="inlineStr"/>
      <c r="H11843" t="inlineStr"/>
    </row>
    <row r="11844">
      <c r="A11844" t="inlineStr">
        <is>
          <t>ae60d88b-8d08-48e2-a188-86f66615df32.jpg</t>
        </is>
      </c>
      <c r="B11844">
        <f>HYPERLINK("Объекты недвижимости, не соответствующие градостроительным нормам_00-022_Август/ae60d88b-8d08-48e2-a188-86f66615df32.jpg","open")</f>
        <v/>
      </c>
      <c r="C11844" t="inlineStr">
        <is>
          <t>9c930d0e-e445-452d-a046-325646b21ab7</t>
        </is>
      </c>
      <c r="D11844" t="n">
        <v>55.86467</v>
      </c>
      <c r="E11844" t="n">
        <v>37.66197</v>
      </c>
      <c r="F11844" t="inlineStr"/>
      <c r="G11844" t="inlineStr"/>
      <c r="H11844" t="inlineStr"/>
    </row>
    <row r="11845">
      <c r="A11845" t="inlineStr">
        <is>
          <t>652e2eda-6f88-488a-b95c-2608bc3e862d.jpg</t>
        </is>
      </c>
      <c r="B11845">
        <f>HYPERLINK("Объекты недвижимости, не соответствующие градостроительным нормам_00-022_Август/652e2eda-6f88-488a-b95c-2608bc3e862d.jpg","open")</f>
        <v/>
      </c>
      <c r="C11845" t="inlineStr">
        <is>
          <t>dd48f742-b338-42e2-bbaf-b3a9701b437c</t>
        </is>
      </c>
      <c r="D11845" t="n">
        <v>55.86467</v>
      </c>
      <c r="E11845" t="n">
        <v>37.66197</v>
      </c>
      <c r="F11845" t="inlineStr"/>
      <c r="G11845" t="inlineStr"/>
      <c r="H11845" t="inlineStr"/>
    </row>
    <row r="11846">
      <c r="A11846" t="inlineStr">
        <is>
          <t>88d285ba-cdc6-4f09-8b5e-75d396a4ce5c.jpg</t>
        </is>
      </c>
      <c r="B11846">
        <f>HYPERLINK("Объекты недвижимости, не соответствующие градостроительным нормам_00-022_Август/88d285ba-cdc6-4f09-8b5e-75d396a4ce5c.jpg","open")</f>
        <v/>
      </c>
      <c r="C11846" t="inlineStr">
        <is>
          <t>acedacc2-0d8b-4fc1-9622-25621a89d071</t>
        </is>
      </c>
      <c r="D11846" t="n">
        <v>55.75899</v>
      </c>
      <c r="E11846" t="n">
        <v>37.80727</v>
      </c>
      <c r="F11846" t="inlineStr"/>
      <c r="G11846" t="inlineStr"/>
      <c r="H11846" t="inlineStr"/>
    </row>
    <row r="11847">
      <c r="A11847" t="inlineStr">
        <is>
          <t>ce684145-c63b-4d3f-bbed-b4f52221b9f7.jpg</t>
        </is>
      </c>
      <c r="B11847">
        <f>HYPERLINK("Объекты недвижимости, не соответствующие градостроительным нормам_00-022_Август/ce684145-c63b-4d3f-bbed-b4f52221b9f7.jpg","open")</f>
        <v/>
      </c>
      <c r="C11847" t="inlineStr">
        <is>
          <t>57aae8a4-582b-4309-8045-c8127a9f86ae</t>
        </is>
      </c>
      <c r="D11847" t="n">
        <v>55.75898</v>
      </c>
      <c r="E11847" t="n">
        <v>37.80726</v>
      </c>
      <c r="F11847" t="inlineStr"/>
      <c r="G11847" t="inlineStr"/>
      <c r="H11847" t="inlineStr"/>
    </row>
    <row r="11848">
      <c r="A11848" t="inlineStr">
        <is>
          <t>4cd9788c-4a72-4463-93e4-473eb7b48c2e.jpg</t>
        </is>
      </c>
      <c r="B11848">
        <f>HYPERLINK("Объекты недвижимости, не соответствующие градостроительным нормам_00-022_Август/4cd9788c-4a72-4463-93e4-473eb7b48c2e.jpg","open")</f>
        <v/>
      </c>
      <c r="C11848" t="inlineStr">
        <is>
          <t>fb9a37cc-57a6-447c-98bb-0b299f09c809</t>
        </is>
      </c>
      <c r="D11848" t="n">
        <v>55.96743</v>
      </c>
      <c r="E11848" t="n">
        <v>37.40309</v>
      </c>
      <c r="F11848" t="inlineStr"/>
      <c r="G11848" t="inlineStr"/>
      <c r="H11848" t="inlineStr"/>
    </row>
    <row r="11849">
      <c r="A11849" t="inlineStr">
        <is>
          <t>490dcf86-f6d4-4d9d-aef5-e26c86b4cdad.jpg</t>
        </is>
      </c>
      <c r="B11849">
        <f>HYPERLINK("Объекты недвижимости, не соответствующие градостроительным нормам_00-022_Август/490dcf86-f6d4-4d9d-aef5-e26c86b4cdad.jpg","open")</f>
        <v/>
      </c>
      <c r="C11849" t="inlineStr">
        <is>
          <t>caa4772d-6278-4484-a046-ee25514bf521</t>
        </is>
      </c>
      <c r="D11849" t="n">
        <v>55.74399</v>
      </c>
      <c r="E11849" t="n">
        <v>37.49752</v>
      </c>
      <c r="F11849" t="inlineStr"/>
      <c r="G11849" t="inlineStr"/>
      <c r="H11849" t="inlineStr"/>
    </row>
    <row r="11850">
      <c r="A11850" t="inlineStr">
        <is>
          <t>06238c2a-480c-4deb-9c40-344d5ad8c146.jpg</t>
        </is>
      </c>
      <c r="B11850">
        <f>HYPERLINK("Объекты недвижимости, не соответствующие градостроительным нормам_00-022_Август/06238c2a-480c-4deb-9c40-344d5ad8c146.jpg","open")</f>
        <v/>
      </c>
      <c r="C11850" t="inlineStr">
        <is>
          <t>e90a3ac0-5b70-4ede-abeb-382371713306</t>
        </is>
      </c>
      <c r="D11850" t="n">
        <v>55.97699</v>
      </c>
      <c r="E11850" t="n">
        <v>37.40016</v>
      </c>
      <c r="F11850" t="inlineStr"/>
      <c r="G11850" t="inlineStr"/>
      <c r="H11850" t="inlineStr"/>
    </row>
    <row r="11851">
      <c r="A11851" t="inlineStr">
        <is>
          <t>f30e9708-f287-4cd3-9827-102db521ae3e.jpg</t>
        </is>
      </c>
      <c r="B11851">
        <f>HYPERLINK("Объекты недвижимости, не соответствующие градостроительным нормам_00-022_Август/f30e9708-f287-4cd3-9827-102db521ae3e.jpg","open")</f>
        <v/>
      </c>
      <c r="C11851" t="inlineStr">
        <is>
          <t>ed2bf0f1-3a66-4913-896e-4420a9796c0b</t>
        </is>
      </c>
      <c r="D11851" t="n">
        <v>55.67072</v>
      </c>
      <c r="E11851" t="n">
        <v>37.56691</v>
      </c>
      <c r="F11851" t="inlineStr"/>
      <c r="G11851" t="inlineStr"/>
      <c r="H11851" t="inlineStr"/>
    </row>
    <row r="11852">
      <c r="A11852" t="inlineStr">
        <is>
          <t>ed18ac49-4057-4330-80ee-c1d03abcb996.jpg</t>
        </is>
      </c>
      <c r="B11852">
        <f>HYPERLINK("Объекты недвижимости, не соответствующие градостроительным нормам_00-022_Август/ed18ac49-4057-4330-80ee-c1d03abcb996.jpg","open")</f>
        <v/>
      </c>
      <c r="C11852" t="inlineStr">
        <is>
          <t>fb9a37cc-57a6-447c-98bb-0b299f09c809</t>
        </is>
      </c>
      <c r="D11852" t="n">
        <v>55.96456</v>
      </c>
      <c r="E11852" t="n">
        <v>37.40829</v>
      </c>
      <c r="F11852" t="inlineStr"/>
      <c r="G11852" t="inlineStr"/>
      <c r="H11852" t="inlineStr"/>
    </row>
    <row r="11853">
      <c r="A11853" t="inlineStr">
        <is>
          <t>f00960f7-fa5e-4adb-be46-403fe1ea6e8e.jpg</t>
        </is>
      </c>
      <c r="B11853">
        <f>HYPERLINK("Объекты недвижимости, не соответствующие градостроительным нормам_00-022_Август/f00960f7-fa5e-4adb-be46-403fe1ea6e8e.jpg","open")</f>
        <v/>
      </c>
      <c r="C11853" t="inlineStr">
        <is>
          <t>ed2bf0f1-3a66-4913-896e-4420a9796c0b</t>
        </is>
      </c>
      <c r="D11853" t="n">
        <v>55.67028</v>
      </c>
      <c r="E11853" t="n">
        <v>37.55634</v>
      </c>
      <c r="F11853" t="inlineStr"/>
      <c r="G11853" t="inlineStr"/>
      <c r="H11853" t="inlineStr"/>
    </row>
    <row r="11854">
      <c r="A11854" t="inlineStr">
        <is>
          <t>c10c1119-893c-4a6e-b86e-8c29364eb449.jpg</t>
        </is>
      </c>
      <c r="B11854">
        <f>HYPERLINK("Объекты недвижимости, не соответствующие градостроительным нормам_00-022_Август/c10c1119-893c-4a6e-b86e-8c29364eb449.jpg","open")</f>
        <v/>
      </c>
      <c r="C11854" t="inlineStr">
        <is>
          <t>caa4772d-6278-4484-a046-ee25514bf521</t>
        </is>
      </c>
      <c r="D11854" t="n">
        <v>55.74971</v>
      </c>
      <c r="E11854" t="n">
        <v>37.50376</v>
      </c>
      <c r="F11854" t="inlineStr"/>
      <c r="G11854" t="inlineStr"/>
      <c r="H11854" t="inlineStr"/>
    </row>
    <row r="11855">
      <c r="A11855" t="inlineStr">
        <is>
          <t>7d34b478-a9e5-434c-9ddc-f6b6d3d89600.jpg</t>
        </is>
      </c>
      <c r="B11855">
        <f>HYPERLINK("Объекты недвижимости, не соответствующие градостроительным нормам_00-022_Август/7d34b478-a9e5-434c-9ddc-f6b6d3d89600.jpg","open")</f>
        <v/>
      </c>
      <c r="C11855" t="inlineStr">
        <is>
          <t>fb9a37cc-57a6-447c-98bb-0b299f09c809</t>
        </is>
      </c>
      <c r="D11855" t="n">
        <v>55.98177</v>
      </c>
      <c r="E11855" t="n">
        <v>37.42152</v>
      </c>
      <c r="F11855" t="inlineStr"/>
      <c r="G11855" t="inlineStr"/>
      <c r="H11855" t="inlineStr"/>
    </row>
    <row r="11856">
      <c r="A11856" t="inlineStr">
        <is>
          <t>6e65b895-db45-4eb7-8e7a-f30802948c82.jpg</t>
        </is>
      </c>
      <c r="B11856">
        <f>HYPERLINK("Объекты недвижимости, не соответствующие градостроительным нормам_00-022_Август/6e65b895-db45-4eb7-8e7a-f30802948c82.jpg","open")</f>
        <v/>
      </c>
      <c r="C11856" t="inlineStr">
        <is>
          <t>57aae8a4-582b-4309-8045-c8127a9f86ae</t>
        </is>
      </c>
      <c r="D11856" t="n">
        <v>55.75762</v>
      </c>
      <c r="E11856" t="n">
        <v>37.79998</v>
      </c>
      <c r="F11856" t="inlineStr"/>
      <c r="G11856" t="inlineStr"/>
      <c r="H11856" t="inlineStr"/>
    </row>
    <row r="11857">
      <c r="A11857" t="inlineStr">
        <is>
          <t>d81ca1a9-39d9-411c-8c6f-2090a9276479.jpg</t>
        </is>
      </c>
      <c r="B11857">
        <f>HYPERLINK("Объекты недвижимости, не соответствующие градостроительным нормам_00-022_Август/d81ca1a9-39d9-411c-8c6f-2090a9276479.jpg","open")</f>
        <v/>
      </c>
      <c r="C11857" t="inlineStr">
        <is>
          <t>12e795ad-2aa7-49de-b2da-2c6aa35a4559</t>
        </is>
      </c>
      <c r="D11857" t="n">
        <v>55.60978</v>
      </c>
      <c r="E11857" t="n">
        <v>37.52823</v>
      </c>
      <c r="F11857" t="inlineStr"/>
      <c r="G11857" t="inlineStr"/>
      <c r="H11857" t="inlineStr"/>
    </row>
    <row r="11858">
      <c r="A11858" t="inlineStr">
        <is>
          <t>cdf09526-bd08-4ec2-a81b-3169eb41a8d4.jpg</t>
        </is>
      </c>
      <c r="B11858">
        <f>HYPERLINK("Объекты недвижимости, не соответствующие градостроительным нормам_00-022_Август/cdf09526-bd08-4ec2-a81b-3169eb41a8d4.jpg","open")</f>
        <v/>
      </c>
      <c r="C11858" t="inlineStr">
        <is>
          <t>a28f597e-d1cd-4d3b-b572-c86d033412e9</t>
        </is>
      </c>
      <c r="D11858" t="n">
        <v>55.78629</v>
      </c>
      <c r="E11858" t="n">
        <v>37.36052</v>
      </c>
      <c r="F11858" t="inlineStr"/>
      <c r="G11858" t="inlineStr"/>
      <c r="H11858" t="inlineStr"/>
    </row>
    <row r="11859">
      <c r="A11859" t="inlineStr">
        <is>
          <t>4366f6e6-88fb-4d9a-9531-a1551fd9bcfe.jpg</t>
        </is>
      </c>
      <c r="B11859">
        <f>HYPERLINK("Объекты недвижимости, не соответствующие градостроительным нормам_00-022_Август/4366f6e6-88fb-4d9a-9531-a1551fd9bcfe.jpg","open")</f>
        <v/>
      </c>
      <c r="C11859" t="inlineStr">
        <is>
          <t>036c664f-5408-4fd0-b479-342c00468eeb</t>
        </is>
      </c>
      <c r="D11859" t="n">
        <v>55.78623</v>
      </c>
      <c r="E11859" t="n">
        <v>37.36056</v>
      </c>
      <c r="F11859" t="inlineStr"/>
      <c r="G11859" t="inlineStr"/>
      <c r="H11859" t="inlineStr"/>
    </row>
    <row r="11860">
      <c r="A11860" t="inlineStr">
        <is>
          <t>b45091d0-99ba-41f0-8b44-8424cda38759.jpg</t>
        </is>
      </c>
      <c r="B11860">
        <f>HYPERLINK("Объекты недвижимости, не соответствующие градостроительным нормам_00-022_Август/b45091d0-99ba-41f0-8b44-8424cda38759.jpg","open")</f>
        <v/>
      </c>
      <c r="C11860" t="inlineStr">
        <is>
          <t>31a713a9-b910-424b-b847-e0eaa2f70c70</t>
        </is>
      </c>
      <c r="D11860" t="n">
        <v>55.77828</v>
      </c>
      <c r="E11860" t="n">
        <v>37.67652</v>
      </c>
      <c r="F11860" t="inlineStr"/>
      <c r="G11860" t="inlineStr"/>
      <c r="H11860" t="inlineStr"/>
    </row>
    <row r="11861">
      <c r="A11861" t="inlineStr">
        <is>
          <t>8f21dc1a-add6-430d-ac3d-55842ba23a72.jpg</t>
        </is>
      </c>
      <c r="B11861">
        <f>HYPERLINK("Объекты недвижимости, не соответствующие градостроительным нормам_00-022_Август/8f21dc1a-add6-430d-ac3d-55842ba23a72.jpg","open")</f>
        <v/>
      </c>
      <c r="C11861" t="inlineStr">
        <is>
          <t>fb9a37cc-57a6-447c-98bb-0b299f09c809</t>
        </is>
      </c>
      <c r="D11861" t="n">
        <v>56.76597</v>
      </c>
      <c r="E11861" t="n">
        <v>35.00259</v>
      </c>
      <c r="F11861" t="inlineStr"/>
      <c r="G11861" t="inlineStr"/>
      <c r="H11861" t="inlineStr"/>
    </row>
    <row r="11862">
      <c r="A11862" t="inlineStr">
        <is>
          <t>daa7f9c9-b0c3-4ad4-b71b-8bf741e62dba.jpg</t>
        </is>
      </c>
      <c r="B11862">
        <f>HYPERLINK("Объекты недвижимости, не соответствующие градостроительным нормам_00-022_Август/daa7f9c9-b0c3-4ad4-b71b-8bf741e62dba.jpg","open")</f>
        <v/>
      </c>
      <c r="C11862" t="inlineStr">
        <is>
          <t>8cde1fd0-eca1-4510-86ab-3c743b65fdfc</t>
        </is>
      </c>
      <c r="D11862" t="n">
        <v>55.5919</v>
      </c>
      <c r="E11862" t="n">
        <v>37.65774</v>
      </c>
      <c r="F11862" t="inlineStr"/>
      <c r="G11862" t="inlineStr"/>
      <c r="H11862" t="inlineStr"/>
    </row>
    <row r="11863">
      <c r="A11863" t="inlineStr">
        <is>
          <t>df080b2b-d247-4b44-8f29-3dc6cd05b038.jpg</t>
        </is>
      </c>
      <c r="B11863">
        <f>HYPERLINK("Объекты недвижимости, не соответствующие градостроительным нормам_00-022_Август/df080b2b-d247-4b44-8f29-3dc6cd05b038.jpg","open")</f>
        <v/>
      </c>
      <c r="C11863" t="inlineStr">
        <is>
          <t>ffd931da-542f-43e9-979f-5552b17fe3dc</t>
        </is>
      </c>
      <c r="D11863" t="n">
        <v>55.7988</v>
      </c>
      <c r="E11863" t="n">
        <v>37.73755</v>
      </c>
      <c r="F11863" t="inlineStr"/>
      <c r="G11863" t="inlineStr"/>
      <c r="H11863" t="inlineStr"/>
    </row>
    <row r="11864">
      <c r="A11864" t="inlineStr">
        <is>
          <t>1c355581-98ca-4803-91a0-d2e47de40ba9.jpg</t>
        </is>
      </c>
      <c r="B11864">
        <f>HYPERLINK("Объекты недвижимости, не соответствующие градостроительным нормам_00-022_Август/1c355581-98ca-4803-91a0-d2e47de40ba9.jpg","open")</f>
        <v/>
      </c>
      <c r="C11864" t="inlineStr">
        <is>
          <t>91248771-2c4d-44f3-b3cf-d536bd4ae73c</t>
        </is>
      </c>
      <c r="D11864" t="n">
        <v>55.76067</v>
      </c>
      <c r="E11864" t="n">
        <v>37.72</v>
      </c>
      <c r="F11864" t="inlineStr"/>
      <c r="G11864" t="inlineStr"/>
      <c r="H11864" t="inlineStr"/>
    </row>
    <row r="11865">
      <c r="A11865" t="inlineStr">
        <is>
          <t>5813638c-c88e-44f3-8091-5134d573b1ca.jpg</t>
        </is>
      </c>
      <c r="B11865">
        <f>HYPERLINK("Объекты недвижимости, не соответствующие градостроительным нормам_00-022_Август/5813638c-c88e-44f3-8091-5134d573b1ca.jpg","open")</f>
        <v/>
      </c>
      <c r="C11865" t="inlineStr">
        <is>
          <t>91248771-2c4d-44f3-b3cf-d536bd4ae73c</t>
        </is>
      </c>
      <c r="D11865" t="n">
        <v>55.77332</v>
      </c>
      <c r="E11865" t="n">
        <v>37.71291</v>
      </c>
      <c r="F11865" t="inlineStr"/>
      <c r="G11865" t="inlineStr"/>
      <c r="H11865" t="inlineStr"/>
    </row>
    <row r="11866">
      <c r="A11866" t="inlineStr">
        <is>
          <t>ba30fc57-73c4-4b91-8bf0-f4626d9bd16b.jpg</t>
        </is>
      </c>
      <c r="B11866">
        <f>HYPERLINK("Объекты недвижимости, не соответствующие градостроительным нормам_00-022_Август/ba30fc57-73c4-4b91-8bf0-f4626d9bd16b.jpg","open")</f>
        <v/>
      </c>
      <c r="C11866" t="inlineStr">
        <is>
          <t>797901ad-53b1-41b8-99d1-d59d59c863d5</t>
        </is>
      </c>
      <c r="D11866" t="n">
        <v>55.79284</v>
      </c>
      <c r="E11866" t="n">
        <v>37.78286</v>
      </c>
      <c r="F11866" t="inlineStr"/>
      <c r="G11866" t="inlineStr"/>
      <c r="H11866" t="inlineStr"/>
    </row>
    <row r="11867">
      <c r="A11867" t="inlineStr">
        <is>
          <t>3b86a522-1ac3-400b-b0cf-73ddacd5f3af.jpg</t>
        </is>
      </c>
      <c r="B11867">
        <f>HYPERLINK("Объекты недвижимости, не соответствующие градостроительным нормам_00-022_Август/3b86a522-1ac3-400b-b0cf-73ddacd5f3af.jpg","open")</f>
        <v/>
      </c>
      <c r="C11867" t="inlineStr">
        <is>
          <t>1c951e11-4940-43c6-a447-394097e5609a</t>
        </is>
      </c>
      <c r="D11867" t="n">
        <v>55.59052</v>
      </c>
      <c r="E11867" t="n">
        <v>37.66409</v>
      </c>
      <c r="F11867" t="inlineStr"/>
      <c r="G11867" t="inlineStr"/>
      <c r="H11867" t="inlineStr"/>
    </row>
    <row r="11868">
      <c r="A11868" t="inlineStr">
        <is>
          <t>09eff057-4622-40ad-bed0-6da9fc979f5d.jpg</t>
        </is>
      </c>
      <c r="B11868">
        <f>HYPERLINK("Объекты недвижимости, не соответствующие градостроительным нормам_00-022_Август/09eff057-4622-40ad-bed0-6da9fc979f5d.jpg","open")</f>
        <v/>
      </c>
      <c r="C11868" t="inlineStr">
        <is>
          <t>b0b7ea82-53be-40d0-b992-e2fd18611d5c</t>
        </is>
      </c>
      <c r="D11868" t="n">
        <v>55.70272</v>
      </c>
      <c r="E11868" t="n">
        <v>37.78423</v>
      </c>
      <c r="F11868" t="inlineStr"/>
      <c r="G11868" t="inlineStr"/>
      <c r="H11868" t="inlineStr"/>
    </row>
    <row r="11869">
      <c r="A11869" t="inlineStr">
        <is>
          <t>27ffc7f7-f12f-4be4-9ed3-bc6a0c716d1f.jpg</t>
        </is>
      </c>
      <c r="B11869">
        <f>HYPERLINK("Объекты недвижимости, не соответствующие градостроительным нормам_00-022_Август/27ffc7f7-f12f-4be4-9ed3-bc6a0c716d1f.jpg","open")</f>
        <v/>
      </c>
      <c r="C11869" t="inlineStr">
        <is>
          <t>93848fc8-17e7-4748-9ebc-c7e379e11d2f</t>
        </is>
      </c>
      <c r="D11869" t="n">
        <v>55.79142</v>
      </c>
      <c r="E11869" t="n">
        <v>37.69058</v>
      </c>
      <c r="F11869" t="inlineStr"/>
      <c r="G11869" t="inlineStr"/>
      <c r="H11869" t="inlineStr"/>
    </row>
    <row r="11870">
      <c r="A11870" t="inlineStr">
        <is>
          <t>d6021488-c02e-4f4f-8645-fa838d720e49.jpg</t>
        </is>
      </c>
      <c r="B11870">
        <f>HYPERLINK("Объекты недвижимости, не соответствующие градостроительным нормам_00-022_Август/d6021488-c02e-4f4f-8645-fa838d720e49.jpg","open")</f>
        <v/>
      </c>
      <c r="C11870" t="inlineStr">
        <is>
          <t>b0b7ea82-53be-40d0-b992-e2fd18611d5c</t>
        </is>
      </c>
      <c r="D11870" t="n">
        <v>55.70239</v>
      </c>
      <c r="E11870" t="n">
        <v>37.78641</v>
      </c>
      <c r="F11870" t="inlineStr"/>
      <c r="G11870" t="inlineStr"/>
      <c r="H11870" t="inlineStr"/>
    </row>
    <row r="11871">
      <c r="A11871" t="inlineStr">
        <is>
          <t>177d8fd0-17d4-4dbd-aaaf-604118f69cf6.jpg</t>
        </is>
      </c>
      <c r="B11871">
        <f>HYPERLINK("Объекты недвижимости, не соответствующие градостроительным нормам_00-022_Август/177d8fd0-17d4-4dbd-aaaf-604118f69cf6.jpg","open")</f>
        <v/>
      </c>
      <c r="C11871" t="inlineStr">
        <is>
          <t>2acfb2da-e3f6-464c-bd17-4b713522c142</t>
        </is>
      </c>
      <c r="D11871" t="n">
        <v>55.84678</v>
      </c>
      <c r="E11871" t="n">
        <v>37.58762</v>
      </c>
      <c r="F11871" t="inlineStr"/>
      <c r="G11871" t="inlineStr"/>
      <c r="H11871" t="inlineStr"/>
    </row>
    <row r="11872">
      <c r="A11872" t="inlineStr">
        <is>
          <t>ca2a7ef0-112a-498f-a399-512fc17a55d8.jpg</t>
        </is>
      </c>
      <c r="B11872">
        <f>HYPERLINK("Объекты недвижимости, не соответствующие градостроительным нормам_00-022_Август/ca2a7ef0-112a-498f-a399-512fc17a55d8.jpg","open")</f>
        <v/>
      </c>
      <c r="C11872" t="inlineStr">
        <is>
          <t>caa4772d-6278-4484-a046-ee25514bf521</t>
        </is>
      </c>
      <c r="D11872" t="n">
        <v>55.75421</v>
      </c>
      <c r="E11872" t="n">
        <v>37.70648</v>
      </c>
      <c r="F11872" t="inlineStr"/>
      <c r="G11872" t="inlineStr"/>
      <c r="H11872" t="inlineStr"/>
    </row>
    <row r="11873">
      <c r="A11873" t="inlineStr">
        <is>
          <t>6f789308-e4b8-40a2-ae8a-3da039a707cd.jpg</t>
        </is>
      </c>
      <c r="B11873">
        <f>HYPERLINK("Объекты недвижимости, не соответствующие градостроительным нормам_00-022_Август/6f789308-e4b8-40a2-ae8a-3da039a707cd.jpg","open")</f>
        <v/>
      </c>
      <c r="C11873" t="inlineStr">
        <is>
          <t>e85aff3b-73e8-4856-827e-477ccc0aea77</t>
        </is>
      </c>
      <c r="D11873" t="n">
        <v>55.97101</v>
      </c>
      <c r="E11873" t="n">
        <v>37.39923</v>
      </c>
      <c r="F11873" t="inlineStr"/>
      <c r="G11873" t="inlineStr"/>
      <c r="H11873" t="inlineStr"/>
    </row>
    <row r="11874">
      <c r="A11874" t="inlineStr">
        <is>
          <t>1b24ee83-9b68-41cc-bc64-7af554af048d.jpg</t>
        </is>
      </c>
      <c r="B11874">
        <f>HYPERLINK("Объекты недвижимости, не соответствующие градостроительным нормам_00-022_Август/1b24ee83-9b68-41cc-bc64-7af554af048d.jpg","open")</f>
        <v/>
      </c>
      <c r="C11874" t="inlineStr">
        <is>
          <t>e85aff3b-73e8-4856-827e-477ccc0aea77</t>
        </is>
      </c>
      <c r="D11874" t="n">
        <v>55.97101</v>
      </c>
      <c r="E11874" t="n">
        <v>37.39923</v>
      </c>
      <c r="F11874" t="inlineStr"/>
      <c r="G11874" t="inlineStr"/>
      <c r="H11874" t="inlineStr"/>
    </row>
    <row r="11875">
      <c r="A11875" t="inlineStr">
        <is>
          <t>facbbe43-9d30-42e6-9feb-61324117f3c4.jpg</t>
        </is>
      </c>
      <c r="B11875">
        <f>HYPERLINK("Объекты недвижимости, не соответствующие градостроительным нормам_00-022_Август/facbbe43-9d30-42e6-9feb-61324117f3c4.jpg","open")</f>
        <v/>
      </c>
      <c r="C11875" t="inlineStr">
        <is>
          <t>61936922-4d4b-458e-80ea-6d4c450aa1d5</t>
        </is>
      </c>
      <c r="D11875" t="n">
        <v>55.64098</v>
      </c>
      <c r="E11875" t="n">
        <v>37.33385</v>
      </c>
      <c r="F11875" t="inlineStr"/>
      <c r="G11875" t="inlineStr"/>
      <c r="H11875" t="inlineStr"/>
    </row>
    <row r="11876">
      <c r="A11876" t="inlineStr">
        <is>
          <t>02c0c62a-0b08-4597-974a-d283c2556eb8.jpg</t>
        </is>
      </c>
      <c r="B11876">
        <f>HYPERLINK("Объекты недвижимости, не соответствующие градостроительным нормам_00-022_Август/02c0c62a-0b08-4597-974a-d283c2556eb8.jpg","open")</f>
        <v/>
      </c>
      <c r="C11876" t="inlineStr">
        <is>
          <t>ffd931da-542f-43e9-979f-5552b17fe3dc</t>
        </is>
      </c>
      <c r="D11876" t="n">
        <v>55.79494</v>
      </c>
      <c r="E11876" t="n">
        <v>37.73525</v>
      </c>
      <c r="F11876" t="inlineStr"/>
      <c r="G11876" t="inlineStr"/>
      <c r="H11876" t="inlineStr"/>
    </row>
    <row r="11877">
      <c r="A11877" t="inlineStr">
        <is>
          <t>3d974496-bb08-471d-b16f-0b837985affe.jpg</t>
        </is>
      </c>
      <c r="B11877">
        <f>HYPERLINK("Объекты недвижимости, не соответствующие градостроительным нормам_00-022_Август/3d974496-bb08-471d-b16f-0b837985affe.jpg","open")</f>
        <v/>
      </c>
      <c r="C11877" t="inlineStr">
        <is>
          <t>f60286ac-55e7-4099-85bd-cc599a7a0c65</t>
        </is>
      </c>
      <c r="D11877" t="n">
        <v>55.79493</v>
      </c>
      <c r="E11877" t="n">
        <v>37.73534</v>
      </c>
      <c r="F11877" t="inlineStr"/>
      <c r="G11877" t="inlineStr"/>
      <c r="H11877" t="inlineStr"/>
    </row>
    <row r="11878">
      <c r="A11878" t="inlineStr">
        <is>
          <t>0a19a823-8d3d-4fb0-b82b-f7907399bfdc.jpg</t>
        </is>
      </c>
      <c r="B11878">
        <f>HYPERLINK("Объекты недвижимости, не соответствующие градостроительным нормам_00-022_Август/0a19a823-8d3d-4fb0-b82b-f7907399bfdc.jpg","open")</f>
        <v/>
      </c>
      <c r="C11878" t="inlineStr">
        <is>
          <t>9c930d0e-e445-452d-a046-325646b21ab7</t>
        </is>
      </c>
      <c r="D11878" t="n">
        <v>55.7841</v>
      </c>
      <c r="E11878" t="n">
        <v>37.62995</v>
      </c>
      <c r="F11878" t="inlineStr"/>
      <c r="G11878" t="inlineStr"/>
      <c r="H11878" t="inlineStr"/>
    </row>
    <row r="11879">
      <c r="A11879" t="inlineStr">
        <is>
          <t>1b07bf0f-77da-4aaa-81df-ca000e64b748.jpg</t>
        </is>
      </c>
      <c r="B11879">
        <f>HYPERLINK("Объекты недвижимости, не соответствующие градостроительным нормам_00-022_Август/1b07bf0f-77da-4aaa-81df-ca000e64b748.jpg","open")</f>
        <v/>
      </c>
      <c r="C11879" t="inlineStr">
        <is>
          <t>9c930d0e-e445-452d-a046-325646b21ab7</t>
        </is>
      </c>
      <c r="D11879" t="n">
        <v>55.78445</v>
      </c>
      <c r="E11879" t="n">
        <v>37.62333</v>
      </c>
      <c r="F11879" t="inlineStr"/>
      <c r="G11879" t="inlineStr"/>
      <c r="H11879" t="inlineStr"/>
    </row>
    <row r="11880">
      <c r="A11880" t="inlineStr">
        <is>
          <t>ed84060c-e13f-4177-80a3-3e851dac9838.jpg</t>
        </is>
      </c>
      <c r="B11880">
        <f>HYPERLINK("Объекты недвижимости, не соответствующие градостроительным нормам_00-022_Август/ed84060c-e13f-4177-80a3-3e851dac9838.jpg","open")</f>
        <v/>
      </c>
      <c r="C11880" t="inlineStr">
        <is>
          <t>61936922-4d4b-458e-80ea-6d4c450aa1d5</t>
        </is>
      </c>
      <c r="D11880" t="n">
        <v>55.68213</v>
      </c>
      <c r="E11880" t="n">
        <v>37.32527</v>
      </c>
      <c r="F11880" t="inlineStr"/>
      <c r="G11880" t="inlineStr"/>
      <c r="H11880" t="inlineStr"/>
    </row>
    <row r="11881">
      <c r="A11881" t="inlineStr">
        <is>
          <t>304b1526-595b-4eac-a7d0-6c08fe428d5a.jpg</t>
        </is>
      </c>
      <c r="B11881">
        <f>HYPERLINK("Объекты недвижимости, не соответствующие градостроительным нормам_00-022_Август/304b1526-595b-4eac-a7d0-6c08fe428d5a.jpg","open")</f>
        <v/>
      </c>
      <c r="C11881" t="inlineStr">
        <is>
          <t>8cde1fd0-eca1-4510-86ab-3c743b65fdfc</t>
        </is>
      </c>
      <c r="D11881" t="n">
        <v>55.59829</v>
      </c>
      <c r="E11881" t="n">
        <v>37.66254</v>
      </c>
      <c r="F11881" t="inlineStr"/>
      <c r="G11881" t="inlineStr"/>
      <c r="H11881" t="inlineStr"/>
    </row>
    <row r="11882">
      <c r="A11882" t="inlineStr">
        <is>
          <t>150727a0-a0c7-4053-9f18-5d657c6d70a1.jpg</t>
        </is>
      </c>
      <c r="B11882">
        <f>HYPERLINK("Объекты недвижимости, не соответствующие градостроительным нормам_00-022_Август/150727a0-a0c7-4053-9f18-5d657c6d70a1.jpg","open")</f>
        <v/>
      </c>
      <c r="C11882" t="inlineStr">
        <is>
          <t>8cde1fd0-eca1-4510-86ab-3c743b65fdfc</t>
        </is>
      </c>
      <c r="D11882" t="n">
        <v>55.61899</v>
      </c>
      <c r="E11882" t="n">
        <v>37.66813</v>
      </c>
      <c r="F11882" t="inlineStr"/>
      <c r="G11882" t="inlineStr"/>
      <c r="H11882" t="inlineStr"/>
    </row>
    <row r="11883">
      <c r="A11883" t="inlineStr">
        <is>
          <t>d2455082-0b6e-42d9-b783-020f810ec5c0.jpg</t>
        </is>
      </c>
      <c r="B11883">
        <f>HYPERLINK("Объекты недвижимости, не соответствующие градостроительным нормам_00-022_Август/d2455082-0b6e-42d9-b783-020f810ec5c0.jpg","open")</f>
        <v/>
      </c>
      <c r="C11883" t="inlineStr">
        <is>
          <t>685d9054-b74f-49ab-857b-109fd2cec80d</t>
        </is>
      </c>
      <c r="D11883" t="n">
        <v>55.78474</v>
      </c>
      <c r="E11883" t="n">
        <v>37.46895</v>
      </c>
      <c r="F11883" t="inlineStr"/>
      <c r="G11883" t="inlineStr"/>
      <c r="H11883" t="inlineStr"/>
    </row>
    <row r="11884">
      <c r="A11884" t="inlineStr">
        <is>
          <t>b8e59941-6f08-45b3-aa7b-664ec1028d76.jpg</t>
        </is>
      </c>
      <c r="B11884">
        <f>HYPERLINK("Объекты недвижимости, не соответствующие градостроительным нормам_00-022_Август/b8e59941-6f08-45b3-aa7b-664ec1028d76.jpg","open")</f>
        <v/>
      </c>
      <c r="C11884" t="inlineStr">
        <is>
          <t>61936922-4d4b-458e-80ea-6d4c450aa1d5</t>
        </is>
      </c>
      <c r="D11884" t="n">
        <v>55.73841</v>
      </c>
      <c r="E11884" t="n">
        <v>37.76535</v>
      </c>
      <c r="F11884" t="inlineStr"/>
      <c r="G11884" t="inlineStr"/>
      <c r="H11884" t="inlineStr"/>
    </row>
    <row r="11885">
      <c r="A11885" t="inlineStr">
        <is>
          <t>d9016bbd-c92a-4aa8-83a9-03b01b9d3163.jpg</t>
        </is>
      </c>
      <c r="B11885">
        <f>HYPERLINK("Объекты недвижимости, не соответствующие градостроительным нормам_00-022_Август/d9016bbd-c92a-4aa8-83a9-03b01b9d3163.jpg","open")</f>
        <v/>
      </c>
      <c r="C11885" t="inlineStr">
        <is>
          <t>789f6c51-64ee-4078-b7bd-443af8b8b68a</t>
        </is>
      </c>
      <c r="D11885" t="n">
        <v>55.75038</v>
      </c>
      <c r="E11885" t="n">
        <v>37.70872</v>
      </c>
      <c r="F11885" t="inlineStr"/>
      <c r="G11885" t="inlineStr"/>
      <c r="H11885" t="inlineStr"/>
    </row>
    <row r="11886">
      <c r="A11886" t="inlineStr">
        <is>
          <t>c4a9ce68-0a7c-458f-a399-436c946f2b9e.jpg</t>
        </is>
      </c>
      <c r="B11886">
        <f>HYPERLINK("Объекты недвижимости, не соответствующие градостроительным нормам_00-022_Август/c4a9ce68-0a7c-458f-a399-436c946f2b9e.jpg","open")</f>
        <v/>
      </c>
      <c r="C11886" t="inlineStr">
        <is>
          <t>12e795ad-2aa7-49de-b2da-2c6aa35a4559</t>
        </is>
      </c>
      <c r="D11886" t="n">
        <v>55.59923</v>
      </c>
      <c r="E11886" t="n">
        <v>38.45921</v>
      </c>
      <c r="F11886" t="inlineStr"/>
      <c r="G11886" t="inlineStr"/>
      <c r="H11886" t="inlineStr"/>
    </row>
    <row r="11887">
      <c r="A11887" t="inlineStr">
        <is>
          <t>98d56d9b-3486-4b0e-b7fa-ffe6c2599529.jpg</t>
        </is>
      </c>
      <c r="B11887">
        <f>HYPERLINK("Объекты недвижимости, не соответствующие градостроительным нормам_00-022_Август/98d56d9b-3486-4b0e-b7fa-ffe6c2599529.jpg","open")</f>
        <v/>
      </c>
      <c r="C11887" t="inlineStr">
        <is>
          <t>ad64e6b9-1ed5-44d7-a101-4945a1f9dec6</t>
        </is>
      </c>
      <c r="D11887" t="n">
        <v>55.59923</v>
      </c>
      <c r="E11887" t="n">
        <v>38.45921</v>
      </c>
      <c r="F11887" t="inlineStr"/>
      <c r="G11887" t="inlineStr"/>
      <c r="H11887" t="inlineStr"/>
    </row>
    <row r="11888">
      <c r="A11888" t="inlineStr">
        <is>
          <t>0ef4f5aa-ee8d-4a1e-8450-6de5f4a07c7c.jpg</t>
        </is>
      </c>
      <c r="B11888">
        <f>HYPERLINK("Объекты недвижимости, не соответствующие градостроительным нормам_00-022_Август/0ef4f5aa-ee8d-4a1e-8450-6de5f4a07c7c.jpg","open")</f>
        <v/>
      </c>
      <c r="C11888" t="inlineStr">
        <is>
          <t>ad64e6b9-1ed5-44d7-a101-4945a1f9dec6</t>
        </is>
      </c>
      <c r="D11888" t="n">
        <v>55.59923</v>
      </c>
      <c r="E11888" t="n">
        <v>38.45921</v>
      </c>
      <c r="F11888" t="inlineStr"/>
      <c r="G11888" t="inlineStr"/>
      <c r="H11888" t="inlineStr"/>
    </row>
    <row r="11889">
      <c r="A11889" t="inlineStr">
        <is>
          <t>cd1e9c20-59b0-48ec-9503-7ab1914dbad6.jpg</t>
        </is>
      </c>
      <c r="B11889">
        <f>HYPERLINK("Объекты недвижимости, не соответствующие градостроительным нормам_00-022_Август/cd1e9c20-59b0-48ec-9503-7ab1914dbad6.jpg","open")</f>
        <v/>
      </c>
      <c r="C11889" t="inlineStr">
        <is>
          <t>91248771-2c4d-44f3-b3cf-d536bd4ae73c</t>
        </is>
      </c>
      <c r="D11889" t="n">
        <v>55.7743</v>
      </c>
      <c r="E11889" t="n">
        <v>37.69794</v>
      </c>
      <c r="F11889" t="inlineStr"/>
      <c r="G11889" t="inlineStr"/>
      <c r="H11889" t="inlineStr"/>
    </row>
    <row r="11890">
      <c r="A11890" t="inlineStr">
        <is>
          <t>aea9ebc4-681f-45bd-8fdc-00db7a24929d.jpg</t>
        </is>
      </c>
      <c r="B11890">
        <f>HYPERLINK("Объекты недвижимости, не соответствующие градостроительным нормам_00-022_Август/aea9ebc4-681f-45bd-8fdc-00db7a24929d.jpg","open")</f>
        <v/>
      </c>
      <c r="C11890" t="inlineStr">
        <is>
          <t>91248771-2c4d-44f3-b3cf-d536bd4ae73c</t>
        </is>
      </c>
      <c r="D11890" t="n">
        <v>55.70429</v>
      </c>
      <c r="E11890" t="n">
        <v>37.65787</v>
      </c>
      <c r="F11890" t="inlineStr"/>
      <c r="G11890" t="inlineStr"/>
      <c r="H11890" t="inlineStr"/>
    </row>
    <row r="11891">
      <c r="A11891" t="inlineStr">
        <is>
          <t>fb5ff95f-fe03-4c67-a72f-8c4b69a5b53a.jpg</t>
        </is>
      </c>
      <c r="B11891">
        <f>HYPERLINK("Объекты недвижимости, не соответствующие градостроительным нормам_00-022_Август/fb5ff95f-fe03-4c67-a72f-8c4b69a5b53a.jpg","open")</f>
        <v/>
      </c>
      <c r="C11891" t="inlineStr">
        <is>
          <t>797901ad-53b1-41b8-99d1-d59d59c863d5</t>
        </is>
      </c>
      <c r="D11891" t="n">
        <v>55.7919</v>
      </c>
      <c r="E11891" t="n">
        <v>37.77692</v>
      </c>
      <c r="F11891" t="inlineStr"/>
      <c r="G11891" t="inlineStr"/>
      <c r="H11891" t="inlineStr"/>
    </row>
    <row r="11892">
      <c r="A11892" t="inlineStr">
        <is>
          <t>5390430b-eabb-4679-b6f5-ea3c4190bfad.jpg</t>
        </is>
      </c>
      <c r="B11892">
        <f>HYPERLINK("Объекты недвижимости, не соответствующие градостроительным нормам_00-022_Август/5390430b-eabb-4679-b6f5-ea3c4190bfad.jpg","open")</f>
        <v/>
      </c>
      <c r="C11892" t="inlineStr">
        <is>
          <t>fb40ed24-21ef-458a-a239-038ab19932cc</t>
        </is>
      </c>
      <c r="D11892" t="n">
        <v>55.79191</v>
      </c>
      <c r="E11892" t="n">
        <v>37.77695</v>
      </c>
      <c r="F11892" t="inlineStr"/>
      <c r="G11892" t="inlineStr"/>
      <c r="H11892" t="inlineStr"/>
    </row>
    <row r="11893">
      <c r="A11893" t="inlineStr">
        <is>
          <t>7d8bc83b-9bbe-4432-8825-402cadd80dac.jpg</t>
        </is>
      </c>
      <c r="B11893">
        <f>HYPERLINK("Объекты недвижимости, не соответствующие градостроительным нормам_00-022_Август/7d8bc83b-9bbe-4432-8825-402cadd80dac.jpg","open")</f>
        <v/>
      </c>
      <c r="C11893" t="inlineStr">
        <is>
          <t>91248771-2c4d-44f3-b3cf-d536bd4ae73c</t>
        </is>
      </c>
      <c r="D11893" t="n">
        <v>55.70528</v>
      </c>
      <c r="E11893" t="n">
        <v>37.65595</v>
      </c>
      <c r="F11893" t="inlineStr"/>
      <c r="G11893" t="inlineStr"/>
      <c r="H11893" t="inlineStr"/>
    </row>
    <row r="11894">
      <c r="A11894" t="inlineStr">
        <is>
          <t>042a2a18-e22a-4ee6-b4de-07586b9b5f2e.jpg</t>
        </is>
      </c>
      <c r="B11894">
        <f>HYPERLINK("Объекты недвижимости, не соответствующие градостроительным нормам_00-022_Август/042a2a18-e22a-4ee6-b4de-07586b9b5f2e.jpg","open")</f>
        <v/>
      </c>
      <c r="C11894" t="inlineStr">
        <is>
          <t>57812597-37e6-414c-8b11-8c661dbfeb70</t>
        </is>
      </c>
      <c r="D11894" t="n">
        <v>55.77351</v>
      </c>
      <c r="E11894" t="n">
        <v>37.64736</v>
      </c>
      <c r="F11894" t="inlineStr"/>
      <c r="G11894" t="inlineStr"/>
      <c r="H11894" t="inlineStr"/>
    </row>
    <row r="11895">
      <c r="A11895" t="inlineStr">
        <is>
          <t>2956dc4b-8b1e-4598-8446-6fff11262cb0.jpg</t>
        </is>
      </c>
      <c r="B11895">
        <f>HYPERLINK("Объекты недвижимости, не соответствующие градостроительным нормам_00-022_Август/2956dc4b-8b1e-4598-8446-6fff11262cb0.jpg","open")</f>
        <v/>
      </c>
      <c r="C11895" t="inlineStr">
        <is>
          <t>29ad9edb-d533-4272-a986-be24eb004851</t>
        </is>
      </c>
      <c r="D11895" t="n">
        <v>55.73695</v>
      </c>
      <c r="E11895" t="n">
        <v>37.53902</v>
      </c>
      <c r="F11895" t="inlineStr"/>
      <c r="G11895" t="inlineStr"/>
      <c r="H11895" t="inlineStr"/>
    </row>
    <row r="11896">
      <c r="A11896" t="inlineStr">
        <is>
          <t>32aa8167-4559-4a99-9efc-7b4793c04b8c.jpg</t>
        </is>
      </c>
      <c r="B11896">
        <f>HYPERLINK("Объекты недвижимости, не соответствующие градостроительным нормам_00-022_Август/32aa8167-4559-4a99-9efc-7b4793c04b8c.jpg","open")</f>
        <v/>
      </c>
      <c r="C11896" t="inlineStr">
        <is>
          <t>8b2675e2-7f40-47a9-a462-7c9feecd299c</t>
        </is>
      </c>
      <c r="D11896" t="n">
        <v>55.70575</v>
      </c>
      <c r="E11896" t="n">
        <v>37.51352</v>
      </c>
      <c r="F11896" t="inlineStr"/>
      <c r="G11896" t="inlineStr"/>
      <c r="H11896" t="inlineStr"/>
    </row>
    <row r="11897">
      <c r="A11897" t="inlineStr">
        <is>
          <t>747bfee5-5ec7-42cc-bb46-1bed5b744cc9.jpg</t>
        </is>
      </c>
      <c r="B11897">
        <f>HYPERLINK("Объекты недвижимости, не соответствующие градостроительным нормам_00-022_Август/747bfee5-5ec7-42cc-bb46-1bed5b744cc9.jpg","open")</f>
        <v/>
      </c>
      <c r="C11897" t="inlineStr">
        <is>
          <t>57aae8a4-582b-4309-8045-c8127a9f86ae</t>
        </is>
      </c>
      <c r="D11897" t="n">
        <v>55.76654</v>
      </c>
      <c r="E11897" t="n">
        <v>37.69957</v>
      </c>
      <c r="F11897" t="inlineStr"/>
      <c r="G11897" t="inlineStr"/>
      <c r="H11897" t="inlineStr"/>
    </row>
    <row r="11898">
      <c r="A11898" t="inlineStr">
        <is>
          <t>9cebfa1b-bf67-4401-ab9f-2cf739f42a0d.jpg</t>
        </is>
      </c>
      <c r="B11898">
        <f>HYPERLINK("Объекты недвижимости, не соответствующие градостроительным нормам_00-022_Август/9cebfa1b-bf67-4401-ab9f-2cf739f42a0d.jpg","open")</f>
        <v/>
      </c>
      <c r="C11898" t="inlineStr">
        <is>
          <t>750bf7e4-0f0f-4f1a-96af-607dc8c1f1c9</t>
        </is>
      </c>
      <c r="D11898" t="n">
        <v>55.7774</v>
      </c>
      <c r="E11898" t="n">
        <v>37.66967</v>
      </c>
      <c r="F11898" t="inlineStr"/>
      <c r="G11898" t="inlineStr"/>
      <c r="H11898" t="inlineStr"/>
    </row>
    <row r="11899">
      <c r="A11899" t="inlineStr">
        <is>
          <t>5737d2d6-3a2b-436a-9f79-94b632fb0944.jpg</t>
        </is>
      </c>
      <c r="B11899">
        <f>HYPERLINK("Объекты недвижимости, не соответствующие градостроительным нормам_00-022_Август/5737d2d6-3a2b-436a-9f79-94b632fb0944.jpg","open")</f>
        <v/>
      </c>
      <c r="C11899" t="inlineStr">
        <is>
          <t>31a713a9-b910-424b-b847-e0eaa2f70c70</t>
        </is>
      </c>
      <c r="D11899" t="n">
        <v>55.7774</v>
      </c>
      <c r="E11899" t="n">
        <v>37.66967</v>
      </c>
      <c r="F11899" t="inlineStr"/>
      <c r="G11899" t="inlineStr"/>
      <c r="H11899" t="inlineStr"/>
    </row>
  </sheetData>
  <dataValidations count="3">
    <dataValidation sqref="F2:F11899" showDropDown="0" showInputMessage="0" showErrorMessage="0" allowBlank="1" errorTitle="Неверное значение" error="Введите только 0 или 1" promptTitle="Ввод данных" prompt="Введите 0 или 1" type="list">
      <formula1>"0,1"</formula1>
    </dataValidation>
    <dataValidation sqref="G2:G11899" showDropDown="0" showInputMessage="0" showErrorMessage="0" allowBlank="1" errorTitle="Неверное значение" error="Введите только 0 или 1" promptTitle="Ввод данных" prompt="Введите 0 или 1" type="list">
      <formula1>"0,1"</formula1>
    </dataValidation>
    <dataValidation sqref="H2:H11899" showDropDown="0" showInputMessage="0" showErrorMessage="0" allowBlank="1" errorTitle="Неверное значение" error="Введите только 'да' или 'нет'" promptTitle="Ввод данных" prompt="Введите 'да' или 'нет'" type="list">
      <formula1>"да,нет"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2025-09-08T18:40:47Z</dcterms:created>
  <dcterms:modified xsi:type="dcterms:W3CDTF">2025-09-08T19:54:06Z</dcterms:modified>
</cp:coreProperties>
</file>