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2.bin" ContentType="application/vnd.openxmlformats-officedocument.oleObject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同济\作业\2022下\数理统计与计算\"/>
    </mc:Choice>
  </mc:AlternateContent>
  <xr:revisionPtr revIDLastSave="0" documentId="13_ncr:1_{6FB4929A-B811-4949-8DAD-DC076A991B4E}" xr6:coauthVersionLast="36" xr6:coauthVersionMax="36" xr10:uidLastSave="{00000000-0000-0000-0000-000000000000}"/>
  <bookViews>
    <workbookView xWindow="0" yWindow="0" windowWidth="24156" windowHeight="10392" xr2:uid="{47D91193-4F29-4C19-8A58-1F96EFC98281}"/>
  </bookViews>
  <sheets>
    <sheet name="4.2" sheetId="1" r:id="rId1"/>
    <sheet name="4.4" sheetId="2" r:id="rId2"/>
    <sheet name="4.6" sheetId="3" r:id="rId3"/>
    <sheet name="4.7" sheetId="4" r:id="rId4"/>
    <sheet name="4.12" sheetId="5" r:id="rId5"/>
    <sheet name="4.14" sheetId="6" r:id="rId6"/>
    <sheet name="4.15" sheetId="7" r:id="rId7"/>
    <sheet name="2.13" sheetId="8" r:id="rId8"/>
    <sheet name="2.15" sheetId="9" r:id="rId9"/>
    <sheet name="2.16" sheetId="10" r:id="rId10"/>
    <sheet name="2.17" sheetId="1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8" l="1"/>
  <c r="E8" i="8"/>
  <c r="F5" i="8"/>
  <c r="J6" i="7"/>
  <c r="H6" i="7"/>
  <c r="J4" i="7"/>
  <c r="H4" i="7"/>
  <c r="B15" i="6"/>
  <c r="A15" i="6"/>
  <c r="B11" i="6"/>
  <c r="A11" i="6"/>
  <c r="I3" i="5"/>
  <c r="G3" i="5"/>
  <c r="D7" i="4"/>
  <c r="B4" i="4"/>
  <c r="B3" i="3"/>
  <c r="F3" i="3" s="1"/>
  <c r="C6" i="2"/>
  <c r="E6" i="2" s="1"/>
  <c r="C7" i="2" s="1"/>
  <c r="C5" i="2"/>
  <c r="B4" i="2"/>
  <c r="J5" i="1"/>
  <c r="H5" i="1"/>
  <c r="J4" i="1"/>
  <c r="H4" i="1"/>
  <c r="J3" i="1"/>
  <c r="H3" i="1"/>
  <c r="H4" i="6" l="1"/>
  <c r="F4" i="6"/>
  <c r="F5" i="4"/>
  <c r="D4" i="4"/>
  <c r="D5" i="4"/>
  <c r="H3" i="3"/>
  <c r="F6" i="4" l="1"/>
  <c r="D6" i="4"/>
</calcChain>
</file>

<file path=xl/sharedStrings.xml><?xml version="1.0" encoding="utf-8"?>
<sst xmlns="http://schemas.openxmlformats.org/spreadsheetml/2006/main" count="113" uniqueCount="74">
  <si>
    <t>解：</t>
    <phoneticPr fontId="1" type="noConversion"/>
  </si>
  <si>
    <r>
      <t>4.2 某手表厂生产的手表的日走时误差（单位：s/d)服从正态分布N(u,sigma^2)，检验员从装配线上随机地抽取9只进行检测，检测的结果如下：-4.0，3.1，2.5，-2.9，0.9，1.1，2.0，-3.0，2.8
求该厂生产手表的日走时误差的均值u和方差sigma^2的双侧置信区间。</t>
    </r>
    <r>
      <rPr>
        <b/>
        <sz val="10"/>
        <color indexed="10"/>
        <rFont val="宋体"/>
        <charset val="134"/>
      </rPr>
      <t>（假设置信水平为0.95）</t>
    </r>
    <phoneticPr fontId="1" type="noConversion"/>
  </si>
  <si>
    <r>
      <t>4.4 在交通工程中，需要测定车速（单位：km/h）。由以往的经验知道：测量值服从标准差为3.58的正态分布。假定所有的观测都是相互独立的。
（1）至少应作多少次观测，才能以99%的可靠性保证平均测量值的误差在</t>
    </r>
    <r>
      <rPr>
        <b/>
        <sz val="10"/>
        <color indexed="10"/>
        <rFont val="宋体"/>
        <family val="3"/>
        <charset val="134"/>
      </rPr>
      <t>正负1</t>
    </r>
    <r>
      <rPr>
        <b/>
        <sz val="10"/>
        <rFont val="宋体"/>
        <family val="3"/>
        <charset val="134"/>
      </rPr>
      <t>之间？
（2）现在作了150次观测，试问平均测量值的误差在</t>
    </r>
    <r>
      <rPr>
        <b/>
        <sz val="10"/>
        <color indexed="10"/>
        <rFont val="宋体"/>
        <family val="3"/>
        <charset val="134"/>
      </rPr>
      <t>正负1</t>
    </r>
    <r>
      <rPr>
        <b/>
        <sz val="10"/>
        <rFont val="宋体"/>
        <family val="3"/>
        <charset val="134"/>
      </rPr>
      <t>之间的概率有多大？</t>
    </r>
    <phoneticPr fontId="7" type="noConversion"/>
  </si>
  <si>
    <t>4.6 为了比较甲、乙两种显像管的使用寿命X和Y，随机地抽取甲、乙两种显像管各10只，得数据x1,…,x10和y1,…,y10（单位：10^4h)，且由此算得xbar=2.33,ybar=0.75,(m-1)s_{x}^2=27.5,(n-1)s_{y}^2=19.2。假定两种显像管的使用寿命均服从正态分布，且由生产过程知道它们的方差相等。试求两个总体均值之差u1-u2的双侧0.95置信区间。</t>
    <phoneticPr fontId="7" type="noConversion"/>
  </si>
  <si>
    <r>
      <t>4.7 已知某种油漆的干燥时间（单位：h)服从正态分布N(u,sigma^2)，其中u和sigma^2均</t>
    </r>
    <r>
      <rPr>
        <b/>
        <sz val="10"/>
        <color indexed="10"/>
        <rFont val="宋体"/>
        <family val="3"/>
        <charset val="134"/>
      </rPr>
      <t>未</t>
    </r>
    <r>
      <rPr>
        <b/>
        <sz val="10"/>
        <rFont val="宋体"/>
        <family val="3"/>
        <charset val="134"/>
      </rPr>
      <t>知，现在抽取了四个样品做检验，得数据x1,x2,x3,x4，并由此算出sumx_i=24,sumx_i^2=147。试分别求未知参数u和sigma的双侧0.9置信区间。</t>
    </r>
    <phoneticPr fontId="1" type="noConversion"/>
  </si>
  <si>
    <t>解：</t>
  </si>
  <si>
    <t>4.12 有甲、乙两台机床，加工同类产品，从两堆产品中各随机抽取若干件，测得产品直径（单位：mm）的样本均值及标准差分别为xbar=19.8,s1=0.37,n1=100,ybar=20,s2=0.4,n2=80。取置信水平1-a=0.99，你能求出u1-u2（即两个总体均值之差）的置信区间吗？</t>
    <phoneticPr fontId="1" type="noConversion"/>
  </si>
  <si>
    <t>4.14 某香烟厂向化验室送去两批烟草，化验室从两批烟草中各随机抽取重量相同的5例化验，测得尼古丁含量（单位：mg）为：
A：24，27，26，21，24
B：27，28，23，31，26
假设两批烟草含尼古丁的量服从正态分布N(u1,5)和N(u2,8)且它们相互独立。取置信水平0.95，求两种烟草的尼古丁平均含量差u1-u2的置信区间。</t>
  </si>
  <si>
    <t>4.15 1988年在甲、乙两城市进行的职工家庭的调查结果表明：甲市抽取500户，平均每户年消费支出3000元，样本标准差s1=400元，
乙市抽取1000户，平均每户年消费支出4200元，样本标准差s2=500元，试求：
（1）甲、乙两城市职工家庭每户平均年消费支出间差异的置信区间（取置信水平为0.95）；
（2）甲、乙两城市职工家庭每户平均年消费支出方差比sigma1^2/sigma2^2的置信区间（取置信水平为0.90）。</t>
  </si>
  <si>
    <r>
      <t>2.13</t>
    </r>
    <r>
      <rPr>
        <b/>
        <sz val="10"/>
        <rFont val="宋体"/>
        <family val="3"/>
        <charset val="134"/>
      </rPr>
      <t xml:space="preserve"> 某市有</t>
    </r>
    <r>
      <rPr>
        <b/>
        <sz val="10"/>
        <rFont val="宋体"/>
        <family val="3"/>
        <charset val="134"/>
      </rPr>
      <t>100000个年满18岁的居民，他们中已婚的占60%，他们中有10%的人的年收入超过5万元，有20%的人受过高等教育。今从中抽取1600人作为随机样本。
（1）为求“样本中不超过58%的人已婚”的机会，需要一个盒子模型，盒中票数应为1600还是100000？问此机会是多少？
（2）为求样本中“不少于11%的人年收入超过5万元”的机会，需要一个盒子模型，盒中每张票子应该写上人们的收入吗？试求此机会。
（3）试求样本中“19%~21%之间的人受过高等教育”的机会。</t>
    </r>
  </si>
  <si>
    <t>2.15 在一个地区内调查某个电视台的收视率。雇主职员椅接受估计中有1个百分数左右的机会误差。你应该使用容量为100、2500还是10000的样本？</t>
    <phoneticPr fontId="1" type="noConversion"/>
  </si>
  <si>
    <t>2.16 某镇有25000户家庭，平均拥有汽车1.2万辆，标准差为0.90辆。又，他们中的10%没有汽车。今有1600户家庭的随机样本，试求：9%-11%之间的样本家庭没有汽车的机会。</t>
    <phoneticPr fontId="1" type="noConversion"/>
  </si>
  <si>
    <t>2.17 抽取1000人的随机样本估计美国一个州的民主党人的百分数。样本中有543人是民主党人。
（1）求样本中民主党人百分数的标准误SE;
（2）求这个州中民主党人百分数的95%置信区间。</t>
    <phoneticPr fontId="1" type="noConversion"/>
  </si>
  <si>
    <t>列1</t>
  </si>
  <si>
    <r>
      <t xml:space="preserve">Excel </t>
    </r>
    <r>
      <rPr>
        <sz val="12"/>
        <color indexed="12"/>
        <rFont val="宋体"/>
        <charset val="134"/>
      </rPr>
      <t>解答</t>
    </r>
  </si>
  <si>
    <t>手表误差</t>
  </si>
  <si>
    <t>u的双侧置信区间：</t>
  </si>
  <si>
    <t>下限：</t>
  </si>
  <si>
    <t>上限：</t>
  </si>
  <si>
    <t>平均</t>
  </si>
  <si>
    <t>或利用左边数：</t>
  </si>
  <si>
    <t>标准误差</t>
  </si>
  <si>
    <t>sigma^2的双侧置信区间：</t>
  </si>
  <si>
    <t>中值</t>
  </si>
  <si>
    <t>模式</t>
  </si>
  <si>
    <t>标准偏差</t>
  </si>
  <si>
    <t>样本方差</t>
  </si>
  <si>
    <t>峰值</t>
  </si>
  <si>
    <t>偏斜度</t>
  </si>
  <si>
    <t>区域</t>
  </si>
  <si>
    <t>最小值</t>
  </si>
  <si>
    <t>最大值</t>
  </si>
  <si>
    <t>求和</t>
  </si>
  <si>
    <t>计数</t>
  </si>
  <si>
    <t>置信度(95.0%)</t>
  </si>
  <si>
    <t>标准差</t>
  </si>
  <si>
    <t>标准正态分布分位点</t>
  </si>
  <si>
    <t>1、</t>
  </si>
  <si>
    <t>观测数：</t>
  </si>
  <si>
    <t>2、</t>
  </si>
  <si>
    <t>U_{1-a/2}=</t>
  </si>
  <si>
    <t>1-a/2=</t>
  </si>
  <si>
    <t>概率1-a=</t>
  </si>
  <si>
    <t>s_{w}^2=</t>
  </si>
  <si>
    <t>u1-u2的双侧置信区间：</t>
  </si>
  <si>
    <t>下限=</t>
  </si>
  <si>
    <t>上限=</t>
  </si>
  <si>
    <t>n=</t>
  </si>
  <si>
    <t>sum(x)=</t>
  </si>
  <si>
    <t>sum(x)^2=</t>
  </si>
  <si>
    <t>xbar=</t>
  </si>
  <si>
    <t>s*^2=</t>
  </si>
  <si>
    <t>sigma的双侧置信区间：</t>
  </si>
  <si>
    <t>甲</t>
  </si>
  <si>
    <t>乙</t>
  </si>
  <si>
    <t>均值</t>
  </si>
  <si>
    <t>样本容量</t>
  </si>
  <si>
    <t>尼古丁含量</t>
  </si>
  <si>
    <r>
      <t xml:space="preserve">Excel </t>
    </r>
    <r>
      <rPr>
        <sz val="12"/>
        <color indexed="12"/>
        <rFont val="宋体"/>
        <family val="3"/>
        <charset val="134"/>
      </rPr>
      <t>解答</t>
    </r>
  </si>
  <si>
    <t>A:</t>
  </si>
  <si>
    <t>B:</t>
  </si>
  <si>
    <t>方差</t>
  </si>
  <si>
    <t>sigma1^2/sigma2^2的置信区间：</t>
  </si>
  <si>
    <t>（1）为求“样本中不超过58%的人已婚”的机会，需要一个盒子模型，盒中票数应为1600还是100000？问此机会是多少？</t>
  </si>
  <si>
    <t>盒中票数应该为100000.</t>
  </si>
  <si>
    <t>因为Xbar服从N(60,60X40/1600)</t>
  </si>
  <si>
    <t>P(Xbar&lt;=58)=Phi((58-60)/sqrt(6/4))=Phi(-4/sqrt(6))=</t>
  </si>
  <si>
    <t>（2）为求样本中“不少于11%的人年收入超过5万元”的机会，需要一个盒子模型，盒中每张票子应该写上人们的收入吗？试求此机会。</t>
  </si>
  <si>
    <t>盒中每张票子不应该写上人们的收入</t>
  </si>
  <si>
    <t>Xbar服从N(10,10X90/1600)</t>
  </si>
  <si>
    <t>P(Xbar&gt;=11)=1-Phi((11-10)/(3/4))=1-Phi(4/3)=</t>
  </si>
  <si>
    <t>（3）试求样本中“19%~21%之间的人受过高等教育”的机会。</t>
  </si>
  <si>
    <t>Xbar服从N(20,20X80/1600)</t>
  </si>
  <si>
    <t>P(19&lt;Xbar&lt;21)=Phi((21-20)/1)-Phi((19-20)/1)=2Phi(1)-1=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</si>
</sst>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b/>
      <sz val="10"/>
      <name val="宋体"/>
      <charset val="134"/>
    </font>
    <font>
      <b/>
      <sz val="10"/>
      <color indexed="10"/>
      <name val="宋体"/>
      <charset val="134"/>
    </font>
    <font>
      <b/>
      <sz val="10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48"/>
      <name val="宋体"/>
      <family val="3"/>
      <charset val="134"/>
    </font>
    <font>
      <sz val="11"/>
      <color theme="1"/>
      <name val="等线"/>
      <family val="2"/>
      <charset val="134"/>
      <scheme val="minor"/>
    </font>
    <font>
      <sz val="10"/>
      <name val="Arial"/>
      <family val="2"/>
    </font>
    <font>
      <sz val="12"/>
      <color indexed="12"/>
      <name val="Arial"/>
      <family val="2"/>
    </font>
    <font>
      <sz val="12"/>
      <color indexed="12"/>
      <name val="宋体"/>
      <charset val="134"/>
    </font>
    <font>
      <b/>
      <sz val="12"/>
      <color indexed="48"/>
      <name val="宋体"/>
      <charset val="134"/>
    </font>
    <font>
      <sz val="12"/>
      <color indexed="10"/>
      <name val="宋体"/>
      <charset val="134"/>
    </font>
    <font>
      <sz val="12"/>
      <color indexed="12"/>
      <name val="宋体"/>
      <family val="3"/>
      <charset val="134"/>
    </font>
    <font>
      <b/>
      <sz val="12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10" fillId="0" borderId="0"/>
  </cellStyleXfs>
  <cellXfs count="42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0" fontId="0" fillId="0" borderId="2" xfId="0" applyBorder="1">
      <alignment vertical="center"/>
    </xf>
    <xf numFmtId="0" fontId="0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9" fontId="8" fillId="0" borderId="0" xfId="0" applyNumberFormat="1" applyFont="1">
      <alignment vertical="center"/>
    </xf>
    <xf numFmtId="176" fontId="0" fillId="0" borderId="0" xfId="0" applyNumberFormat="1" applyFont="1">
      <alignment vertical="center"/>
    </xf>
    <xf numFmtId="0" fontId="0" fillId="0" borderId="0" xfId="0" applyFont="1" applyAlignment="1">
      <alignment horizontal="left" vertical="center"/>
    </xf>
    <xf numFmtId="176" fontId="0" fillId="0" borderId="0" xfId="0" applyNumberFormat="1">
      <alignment vertical="center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0" fillId="0" borderId="3" xfId="0" applyFont="1" applyFill="1" applyBorder="1" applyAlignment="1">
      <alignment horizontal="centerContinuous" vertical="center"/>
    </xf>
    <xf numFmtId="0" fontId="11" fillId="0" borderId="0" xfId="2" applyFont="1"/>
    <xf numFmtId="0" fontId="0" fillId="0" borderId="0" xfId="0" applyFill="1" applyBorder="1" applyAlignment="1">
      <alignment vertical="center"/>
    </xf>
    <xf numFmtId="0" fontId="13" fillId="0" borderId="0" xfId="0" applyFont="1">
      <alignment vertical="center"/>
    </xf>
    <xf numFmtId="0" fontId="14" fillId="0" borderId="0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10" fontId="8" fillId="0" borderId="0" xfId="1" applyNumberFormat="1" applyFont="1">
      <alignment vertical="center"/>
    </xf>
    <xf numFmtId="10" fontId="0" fillId="0" borderId="0" xfId="0" applyNumberFormat="1">
      <alignment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3" xfId="0" applyBorder="1">
      <alignment vertical="center"/>
    </xf>
    <xf numFmtId="0" fontId="0" fillId="0" borderId="10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>
      <alignment vertical="center"/>
    </xf>
  </cellXfs>
  <cellStyles count="3">
    <cellStyle name="百分比" xfId="1" builtinId="5"/>
    <cellStyle name="常规" xfId="0" builtinId="0"/>
    <cellStyle name="常规_1.3" xfId="2" xr:uid="{AEF989E1-09FC-4035-A043-B1E60F4D46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</xdr:colOff>
          <xdr:row>6</xdr:row>
          <xdr:rowOff>30480</xdr:rowOff>
        </xdr:from>
        <xdr:to>
          <xdr:col>9</xdr:col>
          <xdr:colOff>7620</xdr:colOff>
          <xdr:row>8</xdr:row>
          <xdr:rowOff>182880</xdr:rowOff>
        </xdr:to>
        <xdr:sp macro="" textlink="">
          <xdr:nvSpPr>
            <xdr:cNvPr id="1025" name="Picture 2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C211A86-4A44-4200-9BF8-6EA3A9BF6E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10</xdr:col>
      <xdr:colOff>7620</xdr:colOff>
      <xdr:row>20</xdr:row>
      <xdr:rowOff>60960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01C1A66-9D10-4402-81E8-C61540C11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0260"/>
          <a:ext cx="6103620" cy="2164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5</xdr:row>
          <xdr:rowOff>22860</xdr:rowOff>
        </xdr:from>
        <xdr:to>
          <xdr:col>8</xdr:col>
          <xdr:colOff>548640</xdr:colOff>
          <xdr:row>8</xdr:row>
          <xdr:rowOff>76200</xdr:rowOff>
        </xdr:to>
        <xdr:sp macro="" textlink="">
          <xdr:nvSpPr>
            <xdr:cNvPr id="6145" name="Picture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C01EDC03-F7ED-4388-9FF9-F371514CBD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38100</xdr:rowOff>
    </xdr:from>
    <xdr:to>
      <xdr:col>6</xdr:col>
      <xdr:colOff>632460</xdr:colOff>
      <xdr:row>5</xdr:row>
      <xdr:rowOff>53340</xdr:rowOff>
    </xdr:to>
    <xdr:pic>
      <xdr:nvPicPr>
        <xdr:cNvPr id="2" name="图片 3">
          <a:extLst>
            <a:ext uri="{FF2B5EF4-FFF2-40B4-BE49-F238E27FC236}">
              <a16:creationId xmlns:a16="http://schemas.microsoft.com/office/drawing/2014/main" id="{692E43FB-B591-45F5-B506-39810D213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1960"/>
          <a:ext cx="48006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30480</xdr:rowOff>
    </xdr:from>
    <xdr:to>
      <xdr:col>8</xdr:col>
      <xdr:colOff>175260</xdr:colOff>
      <xdr:row>10</xdr:row>
      <xdr:rowOff>152400</xdr:rowOff>
    </xdr:to>
    <xdr:pic>
      <xdr:nvPicPr>
        <xdr:cNvPr id="2" name="图片 2">
          <a:extLst>
            <a:ext uri="{FF2B5EF4-FFF2-40B4-BE49-F238E27FC236}">
              <a16:creationId xmlns:a16="http://schemas.microsoft.com/office/drawing/2014/main" id="{E17B28A0-0899-42C7-A612-7025E6B78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340"/>
          <a:ext cx="5052060" cy="1699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30480</xdr:rowOff>
    </xdr:from>
    <xdr:to>
      <xdr:col>8</xdr:col>
      <xdr:colOff>396240</xdr:colOff>
      <xdr:row>9</xdr:row>
      <xdr:rowOff>60960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9D41B87-7288-4715-96EB-3B1608C52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3880"/>
          <a:ext cx="5273040" cy="1432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A9855-EC0B-417A-BB84-CA47CD0F4396}">
  <dimension ref="A1:L17"/>
  <sheetViews>
    <sheetView tabSelected="1" workbookViewId="0">
      <selection activeCell="A2" sqref="A2"/>
    </sheetView>
  </sheetViews>
  <sheetFormatPr defaultRowHeight="13.8" x14ac:dyDescent="0.25"/>
  <sheetData>
    <row r="1" spans="1:12" s="1" customFormat="1" ht="45" customHeight="1" thickBot="1" x14ac:dyDescent="0.3">
      <c r="A1" s="13" t="s">
        <v>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5.6" x14ac:dyDescent="0.25">
      <c r="A2" t="s">
        <v>5</v>
      </c>
      <c r="B2" s="18" t="s">
        <v>13</v>
      </c>
      <c r="C2" s="18"/>
      <c r="E2" s="19" t="s">
        <v>14</v>
      </c>
    </row>
    <row r="3" spans="1:12" ht="15.6" x14ac:dyDescent="0.25">
      <c r="A3" t="s">
        <v>15</v>
      </c>
      <c r="B3" s="20"/>
      <c r="C3" s="20"/>
      <c r="E3" t="s">
        <v>16</v>
      </c>
      <c r="G3" t="s">
        <v>17</v>
      </c>
      <c r="H3" s="21">
        <f>C4-SQRT(C9/C16)*TINV(2*0.025,C16-1)</f>
        <v>-1.8696067704279473</v>
      </c>
      <c r="I3" t="s">
        <v>18</v>
      </c>
      <c r="J3" s="21">
        <f>C4+SQRT(C9/C16)*TINV(2*0.025,C16-1)</f>
        <v>2.4251623259835027</v>
      </c>
    </row>
    <row r="4" spans="1:12" ht="15.6" x14ac:dyDescent="0.25">
      <c r="A4" s="12">
        <v>-4</v>
      </c>
      <c r="B4" s="20" t="s">
        <v>19</v>
      </c>
      <c r="C4" s="22">
        <v>0.27777777777777779</v>
      </c>
      <c r="F4" t="s">
        <v>20</v>
      </c>
      <c r="G4" t="s">
        <v>17</v>
      </c>
      <c r="H4" s="21">
        <f>C4-C17</f>
        <v>-1.8696081590988691</v>
      </c>
      <c r="I4" t="s">
        <v>18</v>
      </c>
      <c r="J4" s="21">
        <f>C4+C17</f>
        <v>2.4251637146544245</v>
      </c>
    </row>
    <row r="5" spans="1:12" ht="15.6" x14ac:dyDescent="0.25">
      <c r="A5" s="12">
        <v>3.1</v>
      </c>
      <c r="B5" s="20" t="s">
        <v>21</v>
      </c>
      <c r="C5" s="20">
        <v>0.93121452621142053</v>
      </c>
      <c r="E5" t="s">
        <v>22</v>
      </c>
      <c r="G5" t="s">
        <v>17</v>
      </c>
      <c r="H5" s="21">
        <f>(C16-1)*C9/CHIINV(0.025,C16-1)</f>
        <v>3.5607169446468814</v>
      </c>
      <c r="I5" t="s">
        <v>18</v>
      </c>
      <c r="J5" s="21">
        <f>(C16-1)*C9/CHIINV(0.975,C16-1)</f>
        <v>28.643700894823734</v>
      </c>
    </row>
    <row r="6" spans="1:12" x14ac:dyDescent="0.25">
      <c r="A6" s="12">
        <v>2.5</v>
      </c>
      <c r="B6" s="20" t="s">
        <v>23</v>
      </c>
      <c r="C6" s="20">
        <v>1.1000000000000001</v>
      </c>
    </row>
    <row r="7" spans="1:12" ht="20.25" customHeight="1" x14ac:dyDescent="0.25">
      <c r="A7" s="12">
        <v>-2.9</v>
      </c>
      <c r="B7" s="20" t="s">
        <v>24</v>
      </c>
      <c r="C7" s="20" t="e">
        <v>#N/A</v>
      </c>
    </row>
    <row r="8" spans="1:12" x14ac:dyDescent="0.25">
      <c r="A8" s="12">
        <v>0.9</v>
      </c>
      <c r="B8" s="20" t="s">
        <v>25</v>
      </c>
      <c r="C8" s="20">
        <v>2.7936435786342617</v>
      </c>
    </row>
    <row r="9" spans="1:12" ht="15.6" x14ac:dyDescent="0.25">
      <c r="A9" s="12">
        <v>1.1000000000000001</v>
      </c>
      <c r="B9" s="20" t="s">
        <v>26</v>
      </c>
      <c r="C9" s="22">
        <v>7.8044444444444441</v>
      </c>
    </row>
    <row r="10" spans="1:12" x14ac:dyDescent="0.25">
      <c r="A10" s="12">
        <v>2</v>
      </c>
      <c r="B10" s="20" t="s">
        <v>27</v>
      </c>
      <c r="C10" s="20">
        <v>-1.5371765520516512</v>
      </c>
    </row>
    <row r="11" spans="1:12" x14ac:dyDescent="0.25">
      <c r="A11" s="12">
        <v>-3</v>
      </c>
      <c r="B11" s="20" t="s">
        <v>28</v>
      </c>
      <c r="C11" s="20">
        <v>-0.66476588985404517</v>
      </c>
    </row>
    <row r="12" spans="1:12" x14ac:dyDescent="0.25">
      <c r="A12" s="12">
        <v>2.8</v>
      </c>
      <c r="B12" s="20" t="s">
        <v>29</v>
      </c>
      <c r="C12" s="20">
        <v>7.1</v>
      </c>
    </row>
    <row r="13" spans="1:12" x14ac:dyDescent="0.25">
      <c r="B13" s="20" t="s">
        <v>30</v>
      </c>
      <c r="C13" s="20">
        <v>-4</v>
      </c>
    </row>
    <row r="14" spans="1:12" x14ac:dyDescent="0.25">
      <c r="B14" s="20" t="s">
        <v>31</v>
      </c>
      <c r="C14" s="20">
        <v>3.1</v>
      </c>
    </row>
    <row r="15" spans="1:12" x14ac:dyDescent="0.25">
      <c r="B15" s="20" t="s">
        <v>32</v>
      </c>
      <c r="C15" s="20">
        <v>2.5</v>
      </c>
    </row>
    <row r="16" spans="1:12" ht="15.6" x14ac:dyDescent="0.25">
      <c r="B16" s="20" t="s">
        <v>33</v>
      </c>
      <c r="C16" s="22">
        <v>9</v>
      </c>
    </row>
    <row r="17" spans="2:3" ht="14.4" thickBot="1" x14ac:dyDescent="0.3">
      <c r="B17" s="23" t="s">
        <v>34</v>
      </c>
      <c r="C17" s="23">
        <v>2.1473859368766468</v>
      </c>
    </row>
  </sheetData>
  <mergeCells count="1">
    <mergeCell ref="A1:L1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Equation.DSMT4" shapeId="1025" r:id="rId4">
          <objectPr defaultSize="0" autoPict="0" altText="" r:id="rId5">
            <anchor moveWithCells="1">
              <from>
                <xdr:col>4</xdr:col>
                <xdr:colOff>15240</xdr:colOff>
                <xdr:row>6</xdr:row>
                <xdr:rowOff>30480</xdr:rowOff>
              </from>
              <to>
                <xdr:col>9</xdr:col>
                <xdr:colOff>7620</xdr:colOff>
                <xdr:row>8</xdr:row>
                <xdr:rowOff>182880</xdr:rowOff>
              </to>
            </anchor>
          </objectPr>
        </oleObject>
      </mc:Choice>
      <mc:Fallback>
        <oleObject progId="Equation.DSMT4" shapeId="1025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D8F5B-34C3-45D2-BC24-4E2F399D2CC0}">
  <dimension ref="A1:L2"/>
  <sheetViews>
    <sheetView workbookViewId="0">
      <selection activeCell="A12" sqref="A12"/>
    </sheetView>
  </sheetViews>
  <sheetFormatPr defaultRowHeight="13.8" x14ac:dyDescent="0.25"/>
  <sheetData>
    <row r="1" spans="1:12" s="1" customFormat="1" ht="31.8" customHeight="1" thickBot="1" x14ac:dyDescent="0.3">
      <c r="A1" s="13" t="s">
        <v>11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x14ac:dyDescent="0.25">
      <c r="A2" t="s">
        <v>5</v>
      </c>
    </row>
  </sheetData>
  <mergeCells count="1">
    <mergeCell ref="A1:L1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5E3DA-6581-4AB5-A9D6-880AFC3637DD}">
  <dimension ref="A1:L2"/>
  <sheetViews>
    <sheetView workbookViewId="0">
      <selection activeCell="A11" sqref="A11"/>
    </sheetView>
  </sheetViews>
  <sheetFormatPr defaultRowHeight="13.8" x14ac:dyDescent="0.25"/>
  <sheetData>
    <row r="1" spans="1:12" s="1" customFormat="1" ht="42" customHeight="1" thickBot="1" x14ac:dyDescent="0.3">
      <c r="A1" s="13" t="s">
        <v>12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x14ac:dyDescent="0.25">
      <c r="A2" t="s">
        <v>5</v>
      </c>
    </row>
  </sheetData>
  <mergeCells count="1">
    <mergeCell ref="A1:L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3A22D-7F48-45EC-A8AE-CB3E01D76960}">
  <dimension ref="A1:L8"/>
  <sheetViews>
    <sheetView workbookViewId="0">
      <selection activeCell="A2" sqref="A2"/>
    </sheetView>
  </sheetViews>
  <sheetFormatPr defaultRowHeight="13.8" x14ac:dyDescent="0.25"/>
  <sheetData>
    <row r="1" spans="1:12" s="1" customFormat="1" ht="54.6" customHeight="1" thickBot="1" x14ac:dyDescent="0.3">
      <c r="A1" s="13" t="s">
        <v>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x14ac:dyDescent="0.25">
      <c r="A2" t="s">
        <v>5</v>
      </c>
    </row>
    <row r="3" spans="1:12" x14ac:dyDescent="0.25">
      <c r="A3" t="s">
        <v>35</v>
      </c>
      <c r="B3" t="s">
        <v>36</v>
      </c>
    </row>
    <row r="4" spans="1:12" x14ac:dyDescent="0.25">
      <c r="A4">
        <v>3.58</v>
      </c>
      <c r="B4">
        <f>NORMSINV(0.995)</f>
        <v>2.5758293035488999</v>
      </c>
    </row>
    <row r="5" spans="1:12" ht="15.6" x14ac:dyDescent="0.25">
      <c r="A5" t="s">
        <v>37</v>
      </c>
      <c r="B5" t="s">
        <v>38</v>
      </c>
      <c r="C5" s="3">
        <f>FLOOR((A4*B4/1)^2,1)+1</f>
        <v>86</v>
      </c>
    </row>
    <row r="6" spans="1:12" x14ac:dyDescent="0.25">
      <c r="A6" t="s">
        <v>39</v>
      </c>
      <c r="B6" t="s">
        <v>40</v>
      </c>
      <c r="C6">
        <f>SQRT(150)/A4</f>
        <v>3.4210750597530417</v>
      </c>
      <c r="D6" t="s">
        <v>41</v>
      </c>
      <c r="E6">
        <f>NORMSDIST(C6)</f>
        <v>0.99968812942521079</v>
      </c>
    </row>
    <row r="7" spans="1:12" ht="15.6" x14ac:dyDescent="0.25">
      <c r="B7" t="s">
        <v>42</v>
      </c>
      <c r="C7" s="24">
        <f>1-2*(1-E6)</f>
        <v>0.99937625885042158</v>
      </c>
    </row>
    <row r="8" spans="1:12" x14ac:dyDescent="0.25">
      <c r="C8" s="25"/>
    </row>
  </sheetData>
  <mergeCells count="1">
    <mergeCell ref="A1:L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BB4F2-C374-4135-ACFB-5C050DDFBE1B}">
  <dimension ref="A1:L3"/>
  <sheetViews>
    <sheetView workbookViewId="0">
      <selection activeCell="A2" sqref="A2"/>
    </sheetView>
  </sheetViews>
  <sheetFormatPr defaultRowHeight="13.8" x14ac:dyDescent="0.25"/>
  <sheetData>
    <row r="1" spans="1:12" s="1" customFormat="1" ht="54.6" customHeight="1" thickBot="1" x14ac:dyDescent="0.3">
      <c r="A1" s="13" t="s">
        <v>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15.6" x14ac:dyDescent="0.25">
      <c r="A2" s="2" t="s">
        <v>0</v>
      </c>
    </row>
    <row r="3" spans="1:12" ht="15.6" x14ac:dyDescent="0.25">
      <c r="A3" t="s">
        <v>43</v>
      </c>
      <c r="B3">
        <f>(27.5+19.2)/(10+10-2)</f>
        <v>2.5944444444444446</v>
      </c>
      <c r="C3" t="s">
        <v>44</v>
      </c>
      <c r="E3" t="s">
        <v>45</v>
      </c>
      <c r="F3" s="3">
        <f>(2.33-0.75)-SQRT(B3*(1/10+1/10))*TINV(2*0.025,10+10-2)</f>
        <v>6.6623023113667301E-2</v>
      </c>
      <c r="G3" t="s">
        <v>46</v>
      </c>
      <c r="H3" s="3">
        <f>(2.33-0.75)+SQRT(B3*(1/10+1/10))*TINV(2*0.025,10+10-2)</f>
        <v>3.0933769768863328</v>
      </c>
    </row>
  </sheetData>
  <mergeCells count="1">
    <mergeCell ref="A1:L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7855F-86D4-4787-A2FB-501177FF87FB}">
  <dimension ref="A1:L7"/>
  <sheetViews>
    <sheetView workbookViewId="0">
      <selection activeCell="A2" sqref="A2"/>
    </sheetView>
  </sheetViews>
  <sheetFormatPr defaultRowHeight="13.8" x14ac:dyDescent="0.25"/>
  <cols>
    <col min="12" max="12" width="10.77734375" customWidth="1"/>
  </cols>
  <sheetData>
    <row r="1" spans="1:12" s="1" customFormat="1" ht="28.2" customHeight="1" thickBot="1" x14ac:dyDescent="0.3">
      <c r="A1" s="13" t="s">
        <v>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ht="15.6" x14ac:dyDescent="0.25">
      <c r="A2" s="2" t="s">
        <v>0</v>
      </c>
    </row>
    <row r="3" spans="1:12" x14ac:dyDescent="0.25">
      <c r="A3" t="s">
        <v>47</v>
      </c>
      <c r="B3">
        <v>4</v>
      </c>
      <c r="C3" t="s">
        <v>48</v>
      </c>
      <c r="D3">
        <v>24</v>
      </c>
      <c r="E3" t="s">
        <v>49</v>
      </c>
      <c r="F3">
        <v>147</v>
      </c>
    </row>
    <row r="4" spans="1:12" x14ac:dyDescent="0.25">
      <c r="A4" t="s">
        <v>50</v>
      </c>
      <c r="B4">
        <f>D3/B3</f>
        <v>6</v>
      </c>
      <c r="C4" t="s">
        <v>51</v>
      </c>
      <c r="D4">
        <f>1/(B3-1)*(F3-B3*B4^2)</f>
        <v>1</v>
      </c>
    </row>
    <row r="5" spans="1:12" ht="15.6" x14ac:dyDescent="0.25">
      <c r="A5" t="s">
        <v>16</v>
      </c>
      <c r="C5" t="s">
        <v>17</v>
      </c>
      <c r="D5" s="21">
        <f>B4-SQRT(D4/B3)*TINV(2*0.05,B3-1)</f>
        <v>4.8233182825990886</v>
      </c>
      <c r="E5" t="s">
        <v>18</v>
      </c>
      <c r="F5" s="21">
        <f>B4+SQRT(D4/B3)*TINV(2*0.05,B3-1)</f>
        <v>7.1766817174009114</v>
      </c>
    </row>
    <row r="6" spans="1:12" ht="15.6" x14ac:dyDescent="0.25">
      <c r="A6" t="s">
        <v>52</v>
      </c>
      <c r="C6" t="s">
        <v>17</v>
      </c>
      <c r="D6" s="21">
        <f>SQRT((B3-1)*D4/CHIINV(0.05,B3-1))</f>
        <v>0.61958899709280657</v>
      </c>
      <c r="E6" t="s">
        <v>18</v>
      </c>
      <c r="F6" s="21">
        <f>SQRT((B3-1)*D4/CHIINV(0.95,B3-1))</f>
        <v>2.9200085441242378</v>
      </c>
    </row>
    <row r="7" spans="1:12" x14ac:dyDescent="0.25">
      <c r="D7">
        <f>TINV(2*0.05,B3-1)</f>
        <v>2.3533634348018233</v>
      </c>
    </row>
  </sheetData>
  <mergeCells count="1">
    <mergeCell ref="A1:L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C2505-80A4-4E8C-9805-8401B9AB02B7}">
  <dimension ref="A1:L6"/>
  <sheetViews>
    <sheetView workbookViewId="0">
      <selection activeCell="A2" sqref="A2"/>
    </sheetView>
  </sheetViews>
  <sheetFormatPr defaultColWidth="10" defaultRowHeight="13.8" x14ac:dyDescent="0.25"/>
  <sheetData>
    <row r="1" spans="1:12" s="1" customFormat="1" ht="45" customHeight="1" thickBot="1" x14ac:dyDescent="0.3">
      <c r="A1" s="13" t="s">
        <v>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x14ac:dyDescent="0.25">
      <c r="A2" t="s">
        <v>5</v>
      </c>
    </row>
    <row r="3" spans="1:12" ht="15.6" x14ac:dyDescent="0.25">
      <c r="A3" s="26"/>
      <c r="B3" s="27" t="s">
        <v>53</v>
      </c>
      <c r="C3" s="28" t="s">
        <v>54</v>
      </c>
      <c r="D3" t="s">
        <v>44</v>
      </c>
      <c r="F3" t="s">
        <v>45</v>
      </c>
      <c r="G3" s="3">
        <f>(B4-C4)-SQRT(B5^2/B6+C5^2/C6)*NORMSINV(0.995)</f>
        <v>-0.34950908550599946</v>
      </c>
      <c r="H3" t="s">
        <v>46</v>
      </c>
      <c r="I3" s="3">
        <f>(B4-C4)+SQRT(B5^2/B6+C5^2/C6)*NORMSINV(0.995)</f>
        <v>-5.0490914493999145E-2</v>
      </c>
    </row>
    <row r="4" spans="1:12" x14ac:dyDescent="0.25">
      <c r="A4" s="29" t="s">
        <v>55</v>
      </c>
      <c r="B4" s="30">
        <v>19.8</v>
      </c>
      <c r="C4" s="31">
        <v>20</v>
      </c>
    </row>
    <row r="5" spans="1:12" x14ac:dyDescent="0.25">
      <c r="A5" s="29" t="s">
        <v>35</v>
      </c>
      <c r="B5" s="30">
        <v>0.37</v>
      </c>
      <c r="C5" s="31">
        <v>0.4</v>
      </c>
    </row>
    <row r="6" spans="1:12" x14ac:dyDescent="0.25">
      <c r="A6" s="32" t="s">
        <v>56</v>
      </c>
      <c r="B6" s="33">
        <v>100</v>
      </c>
      <c r="C6" s="34">
        <v>80</v>
      </c>
    </row>
  </sheetData>
  <mergeCells count="1">
    <mergeCell ref="A1:L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FF733-C7D7-4326-ADA3-F8D50F6AB63C}">
  <dimension ref="A1:L15"/>
  <sheetViews>
    <sheetView workbookViewId="0">
      <selection activeCell="A2" sqref="A2"/>
    </sheetView>
  </sheetViews>
  <sheetFormatPr defaultRowHeight="13.8" x14ac:dyDescent="0.25"/>
  <cols>
    <col min="12" max="12" width="16.88671875" customWidth="1"/>
  </cols>
  <sheetData>
    <row r="1" spans="1:12" s="1" customFormat="1" ht="66.599999999999994" customHeight="1" thickBot="1" x14ac:dyDescent="0.3">
      <c r="A1" s="13" t="s">
        <v>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25">
      <c r="A2" t="s">
        <v>5</v>
      </c>
    </row>
    <row r="3" spans="1:12" ht="15.6" x14ac:dyDescent="0.25">
      <c r="A3" s="35" t="s">
        <v>57</v>
      </c>
      <c r="B3" s="35"/>
      <c r="D3" s="19" t="s">
        <v>58</v>
      </c>
    </row>
    <row r="4" spans="1:12" ht="15.6" x14ac:dyDescent="0.25">
      <c r="A4" s="36" t="s">
        <v>59</v>
      </c>
      <c r="B4" s="28" t="s">
        <v>60</v>
      </c>
      <c r="C4" t="s">
        <v>44</v>
      </c>
      <c r="E4" t="s">
        <v>45</v>
      </c>
      <c r="F4" s="3">
        <f>(A11-B11)-SQRT(A13/A15+B13/B15)*NORMSINV(0.975)</f>
        <v>-5.7603469641488303</v>
      </c>
      <c r="G4" t="s">
        <v>46</v>
      </c>
      <c r="H4" s="3">
        <f>(A11-B11)+SQRT(A13/A15+B13/B15)*NORMSINV(0.975)</f>
        <v>0.5603469641488279</v>
      </c>
    </row>
    <row r="5" spans="1:12" x14ac:dyDescent="0.25">
      <c r="A5" s="29">
        <v>24</v>
      </c>
      <c r="B5" s="31">
        <v>27</v>
      </c>
    </row>
    <row r="6" spans="1:12" x14ac:dyDescent="0.25">
      <c r="A6" s="29">
        <v>27</v>
      </c>
      <c r="B6" s="31">
        <v>28</v>
      </c>
    </row>
    <row r="7" spans="1:12" x14ac:dyDescent="0.25">
      <c r="A7" s="29">
        <v>26</v>
      </c>
      <c r="B7" s="31">
        <v>23</v>
      </c>
    </row>
    <row r="8" spans="1:12" x14ac:dyDescent="0.25">
      <c r="A8" s="29">
        <v>21</v>
      </c>
      <c r="B8" s="31">
        <v>31</v>
      </c>
    </row>
    <row r="9" spans="1:12" x14ac:dyDescent="0.25">
      <c r="A9" s="32">
        <v>24</v>
      </c>
      <c r="B9" s="34">
        <v>26</v>
      </c>
    </row>
    <row r="10" spans="1:12" x14ac:dyDescent="0.25">
      <c r="A10" t="s">
        <v>55</v>
      </c>
    </row>
    <row r="11" spans="1:12" x14ac:dyDescent="0.25">
      <c r="A11">
        <f>AVERAGE(A5:A9)</f>
        <v>24.4</v>
      </c>
      <c r="B11">
        <f>AVERAGE(B5:B9)</f>
        <v>27</v>
      </c>
    </row>
    <row r="12" spans="1:12" x14ac:dyDescent="0.25">
      <c r="A12" t="s">
        <v>61</v>
      </c>
    </row>
    <row r="13" spans="1:12" x14ac:dyDescent="0.25">
      <c r="A13">
        <v>5</v>
      </c>
      <c r="B13">
        <v>8</v>
      </c>
    </row>
    <row r="14" spans="1:12" x14ac:dyDescent="0.25">
      <c r="A14" t="s">
        <v>56</v>
      </c>
    </row>
    <row r="15" spans="1:12" x14ac:dyDescent="0.25">
      <c r="A15">
        <f>COUNT(A5:A9)</f>
        <v>5</v>
      </c>
      <c r="B15">
        <f>COUNT(B5:B9)</f>
        <v>5</v>
      </c>
    </row>
  </sheetData>
  <mergeCells count="2">
    <mergeCell ref="A1:L1"/>
    <mergeCell ref="A3:B3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Equation.DSMT4" shapeId="6145" r:id="rId4">
          <objectPr defaultSize="0" autoPict="0" altText="" r:id="rId5">
            <anchor moveWithCells="1">
              <from>
                <xdr:col>3</xdr:col>
                <xdr:colOff>7620</xdr:colOff>
                <xdr:row>5</xdr:row>
                <xdr:rowOff>22860</xdr:rowOff>
              </from>
              <to>
                <xdr:col>8</xdr:col>
                <xdr:colOff>548640</xdr:colOff>
                <xdr:row>8</xdr:row>
                <xdr:rowOff>76200</xdr:rowOff>
              </to>
            </anchor>
          </objectPr>
        </oleObject>
      </mc:Choice>
      <mc:Fallback>
        <oleObject progId="Equation.DSMT4" shapeId="6145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65827-D88C-424E-BEDD-5BB33B16DE39}">
  <dimension ref="A1:L6"/>
  <sheetViews>
    <sheetView workbookViewId="0">
      <selection activeCell="A2" sqref="A2"/>
    </sheetView>
  </sheetViews>
  <sheetFormatPr defaultColWidth="10" defaultRowHeight="13.8" x14ac:dyDescent="0.25"/>
  <cols>
    <col min="6" max="6" width="15.109375" customWidth="1"/>
    <col min="262" max="262" width="15.109375" customWidth="1"/>
    <col min="518" max="518" width="15.109375" customWidth="1"/>
    <col min="774" max="774" width="15.109375" customWidth="1"/>
    <col min="1030" max="1030" width="15.109375" customWidth="1"/>
    <col min="1286" max="1286" width="15.109375" customWidth="1"/>
    <col min="1542" max="1542" width="15.109375" customWidth="1"/>
    <col min="1798" max="1798" width="15.109375" customWidth="1"/>
    <col min="2054" max="2054" width="15.109375" customWidth="1"/>
    <col min="2310" max="2310" width="15.109375" customWidth="1"/>
    <col min="2566" max="2566" width="15.109375" customWidth="1"/>
    <col min="2822" max="2822" width="15.109375" customWidth="1"/>
    <col min="3078" max="3078" width="15.109375" customWidth="1"/>
    <col min="3334" max="3334" width="15.109375" customWidth="1"/>
    <col min="3590" max="3590" width="15.109375" customWidth="1"/>
    <col min="3846" max="3846" width="15.109375" customWidth="1"/>
    <col min="4102" max="4102" width="15.109375" customWidth="1"/>
    <col min="4358" max="4358" width="15.109375" customWidth="1"/>
    <col min="4614" max="4614" width="15.109375" customWidth="1"/>
    <col min="4870" max="4870" width="15.109375" customWidth="1"/>
    <col min="5126" max="5126" width="15.109375" customWidth="1"/>
    <col min="5382" max="5382" width="15.109375" customWidth="1"/>
    <col min="5638" max="5638" width="15.109375" customWidth="1"/>
    <col min="5894" max="5894" width="15.109375" customWidth="1"/>
    <col min="6150" max="6150" width="15.109375" customWidth="1"/>
    <col min="6406" max="6406" width="15.109375" customWidth="1"/>
    <col min="6662" max="6662" width="15.109375" customWidth="1"/>
    <col min="6918" max="6918" width="15.109375" customWidth="1"/>
    <col min="7174" max="7174" width="15.109375" customWidth="1"/>
    <col min="7430" max="7430" width="15.109375" customWidth="1"/>
    <col min="7686" max="7686" width="15.109375" customWidth="1"/>
    <col min="7942" max="7942" width="15.109375" customWidth="1"/>
    <col min="8198" max="8198" width="15.109375" customWidth="1"/>
    <col min="8454" max="8454" width="15.109375" customWidth="1"/>
    <col min="8710" max="8710" width="15.109375" customWidth="1"/>
    <col min="8966" max="8966" width="15.109375" customWidth="1"/>
    <col min="9222" max="9222" width="15.109375" customWidth="1"/>
    <col min="9478" max="9478" width="15.109375" customWidth="1"/>
    <col min="9734" max="9734" width="15.109375" customWidth="1"/>
    <col min="9990" max="9990" width="15.109375" customWidth="1"/>
    <col min="10246" max="10246" width="15.109375" customWidth="1"/>
    <col min="10502" max="10502" width="15.109375" customWidth="1"/>
    <col min="10758" max="10758" width="15.109375" customWidth="1"/>
    <col min="11014" max="11014" width="15.109375" customWidth="1"/>
    <col min="11270" max="11270" width="15.109375" customWidth="1"/>
    <col min="11526" max="11526" width="15.109375" customWidth="1"/>
    <col min="11782" max="11782" width="15.109375" customWidth="1"/>
    <col min="12038" max="12038" width="15.109375" customWidth="1"/>
    <col min="12294" max="12294" width="15.109375" customWidth="1"/>
    <col min="12550" max="12550" width="15.109375" customWidth="1"/>
    <col min="12806" max="12806" width="15.109375" customWidth="1"/>
    <col min="13062" max="13062" width="15.109375" customWidth="1"/>
    <col min="13318" max="13318" width="15.109375" customWidth="1"/>
    <col min="13574" max="13574" width="15.109375" customWidth="1"/>
    <col min="13830" max="13830" width="15.109375" customWidth="1"/>
    <col min="14086" max="14086" width="15.109375" customWidth="1"/>
    <col min="14342" max="14342" width="15.109375" customWidth="1"/>
    <col min="14598" max="14598" width="15.109375" customWidth="1"/>
    <col min="14854" max="14854" width="15.109375" customWidth="1"/>
    <col min="15110" max="15110" width="15.109375" customWidth="1"/>
    <col min="15366" max="15366" width="15.109375" customWidth="1"/>
    <col min="15622" max="15622" width="15.109375" customWidth="1"/>
    <col min="15878" max="15878" width="15.109375" customWidth="1"/>
    <col min="16134" max="16134" width="15.109375" customWidth="1"/>
  </cols>
  <sheetData>
    <row r="1" spans="1:12" s="4" customFormat="1" ht="58.2" customHeight="1" thickBot="1" x14ac:dyDescent="0.3">
      <c r="A1" s="16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5" t="s">
        <v>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26"/>
      <c r="B3" s="37" t="s">
        <v>53</v>
      </c>
      <c r="C3" s="38" t="s">
        <v>54</v>
      </c>
      <c r="D3" t="s">
        <v>37</v>
      </c>
    </row>
    <row r="4" spans="1:12" ht="22.8" customHeight="1" x14ac:dyDescent="0.25">
      <c r="A4" s="29" t="s">
        <v>56</v>
      </c>
      <c r="B4" s="30">
        <v>500</v>
      </c>
      <c r="C4" s="31">
        <v>1000</v>
      </c>
      <c r="D4" s="39" t="s">
        <v>44</v>
      </c>
      <c r="E4" s="40"/>
      <c r="F4" s="40"/>
      <c r="G4" t="s">
        <v>45</v>
      </c>
      <c r="H4" s="3">
        <f>(B5-C5)-SQRT(B6^2/B4+C6^2/C4)*NORMSINV(0.975)</f>
        <v>-1246.7934987770273</v>
      </c>
      <c r="I4" t="s">
        <v>46</v>
      </c>
      <c r="J4" s="3">
        <f>(B5-C5)+SQRT(B6^2/B4+C6^2/C4)*NORMSINV(0.975)</f>
        <v>-1153.2065012229727</v>
      </c>
    </row>
    <row r="5" spans="1:12" x14ac:dyDescent="0.25">
      <c r="A5" s="29" t="s">
        <v>55</v>
      </c>
      <c r="B5" s="30">
        <v>3000</v>
      </c>
      <c r="C5" s="31">
        <v>4200</v>
      </c>
      <c r="D5" t="s">
        <v>39</v>
      </c>
    </row>
    <row r="6" spans="1:12" ht="15.6" x14ac:dyDescent="0.25">
      <c r="A6" s="32" t="s">
        <v>35</v>
      </c>
      <c r="B6" s="33">
        <v>400</v>
      </c>
      <c r="C6" s="34">
        <v>500</v>
      </c>
      <c r="D6" s="39" t="s">
        <v>62</v>
      </c>
      <c r="E6" s="40"/>
      <c r="F6" s="40"/>
      <c r="G6" t="s">
        <v>45</v>
      </c>
      <c r="H6" s="41">
        <f>(B6^2*B4/(B4-1))/((C6^2*C4/(C4-1))*FINV(0.05,B4-1,C4-1))</f>
        <v>0.56477616276301501</v>
      </c>
      <c r="I6" t="s">
        <v>46</v>
      </c>
      <c r="J6" s="41">
        <f>(B6^2*B4/(B4-1))/((C6^2*C4/(C4-1))*FINV(0.95,B4-1,C4-1))</f>
        <v>0.72899021891956794</v>
      </c>
    </row>
  </sheetData>
  <mergeCells count="3">
    <mergeCell ref="A1:L1"/>
    <mergeCell ref="D4:F4"/>
    <mergeCell ref="D6:F6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4BFF1-77B8-4E38-9DDB-78F90D6E3F75}">
  <dimension ref="A1:L12"/>
  <sheetViews>
    <sheetView workbookViewId="0">
      <selection activeCell="A2" sqref="A2"/>
    </sheetView>
  </sheetViews>
  <sheetFormatPr defaultColWidth="10" defaultRowHeight="13.8" x14ac:dyDescent="0.25"/>
  <cols>
    <col min="6" max="6" width="10.77734375" customWidth="1"/>
    <col min="262" max="262" width="10.77734375" customWidth="1"/>
    <col min="518" max="518" width="10.77734375" customWidth="1"/>
    <col min="774" max="774" width="10.77734375" customWidth="1"/>
    <col min="1030" max="1030" width="10.77734375" customWidth="1"/>
    <col min="1286" max="1286" width="10.77734375" customWidth="1"/>
    <col min="1542" max="1542" width="10.77734375" customWidth="1"/>
    <col min="1798" max="1798" width="10.77734375" customWidth="1"/>
    <col min="2054" max="2054" width="10.77734375" customWidth="1"/>
    <col min="2310" max="2310" width="10.77734375" customWidth="1"/>
    <col min="2566" max="2566" width="10.77734375" customWidth="1"/>
    <col min="2822" max="2822" width="10.77734375" customWidth="1"/>
    <col min="3078" max="3078" width="10.77734375" customWidth="1"/>
    <col min="3334" max="3334" width="10.77734375" customWidth="1"/>
    <col min="3590" max="3590" width="10.77734375" customWidth="1"/>
    <col min="3846" max="3846" width="10.77734375" customWidth="1"/>
    <col min="4102" max="4102" width="10.77734375" customWidth="1"/>
    <col min="4358" max="4358" width="10.77734375" customWidth="1"/>
    <col min="4614" max="4614" width="10.77734375" customWidth="1"/>
    <col min="4870" max="4870" width="10.77734375" customWidth="1"/>
    <col min="5126" max="5126" width="10.77734375" customWidth="1"/>
    <col min="5382" max="5382" width="10.77734375" customWidth="1"/>
    <col min="5638" max="5638" width="10.77734375" customWidth="1"/>
    <col min="5894" max="5894" width="10.77734375" customWidth="1"/>
    <col min="6150" max="6150" width="10.77734375" customWidth="1"/>
    <col min="6406" max="6406" width="10.77734375" customWidth="1"/>
    <col min="6662" max="6662" width="10.77734375" customWidth="1"/>
    <col min="6918" max="6918" width="10.77734375" customWidth="1"/>
    <col min="7174" max="7174" width="10.77734375" customWidth="1"/>
    <col min="7430" max="7430" width="10.77734375" customWidth="1"/>
    <col min="7686" max="7686" width="10.77734375" customWidth="1"/>
    <col min="7942" max="7942" width="10.77734375" customWidth="1"/>
    <col min="8198" max="8198" width="10.77734375" customWidth="1"/>
    <col min="8454" max="8454" width="10.77734375" customWidth="1"/>
    <col min="8710" max="8710" width="10.77734375" customWidth="1"/>
    <col min="8966" max="8966" width="10.77734375" customWidth="1"/>
    <col min="9222" max="9222" width="10.77734375" customWidth="1"/>
    <col min="9478" max="9478" width="10.77734375" customWidth="1"/>
    <col min="9734" max="9734" width="10.77734375" customWidth="1"/>
    <col min="9990" max="9990" width="10.77734375" customWidth="1"/>
    <col min="10246" max="10246" width="10.77734375" customWidth="1"/>
    <col min="10502" max="10502" width="10.77734375" customWidth="1"/>
    <col min="10758" max="10758" width="10.77734375" customWidth="1"/>
    <col min="11014" max="11014" width="10.77734375" customWidth="1"/>
    <col min="11270" max="11270" width="10.77734375" customWidth="1"/>
    <col min="11526" max="11526" width="10.77734375" customWidth="1"/>
    <col min="11782" max="11782" width="10.77734375" customWidth="1"/>
    <col min="12038" max="12038" width="10.77734375" customWidth="1"/>
    <col min="12294" max="12294" width="10.77734375" customWidth="1"/>
    <col min="12550" max="12550" width="10.77734375" customWidth="1"/>
    <col min="12806" max="12806" width="10.77734375" customWidth="1"/>
    <col min="13062" max="13062" width="10.77734375" customWidth="1"/>
    <col min="13318" max="13318" width="10.77734375" customWidth="1"/>
    <col min="13574" max="13574" width="10.77734375" customWidth="1"/>
    <col min="13830" max="13830" width="10.77734375" customWidth="1"/>
    <col min="14086" max="14086" width="10.77734375" customWidth="1"/>
    <col min="14342" max="14342" width="10.77734375" customWidth="1"/>
    <col min="14598" max="14598" width="10.77734375" customWidth="1"/>
    <col min="14854" max="14854" width="10.77734375" customWidth="1"/>
    <col min="15110" max="15110" width="10.77734375" customWidth="1"/>
    <col min="15366" max="15366" width="10.77734375" customWidth="1"/>
    <col min="15622" max="15622" width="10.77734375" customWidth="1"/>
    <col min="15878" max="15878" width="10.77734375" customWidth="1"/>
    <col min="16134" max="16134" width="10.77734375" customWidth="1"/>
  </cols>
  <sheetData>
    <row r="1" spans="1:12" s="1" customFormat="1" ht="63.6" customHeight="1" thickBot="1" x14ac:dyDescent="0.3">
      <c r="A1" s="13" t="s">
        <v>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x14ac:dyDescent="0.25">
      <c r="A2" t="s">
        <v>5</v>
      </c>
    </row>
    <row r="3" spans="1:12" ht="15.6" x14ac:dyDescent="0.25">
      <c r="A3" s="7" t="s">
        <v>63</v>
      </c>
      <c r="B3" s="8"/>
      <c r="C3" s="9"/>
      <c r="E3" s="3"/>
    </row>
    <row r="4" spans="1:12" ht="15.6" x14ac:dyDescent="0.25">
      <c r="A4" s="10" t="s">
        <v>64</v>
      </c>
      <c r="C4" s="3"/>
      <c r="D4" s="11" t="s">
        <v>65</v>
      </c>
      <c r="E4" s="9"/>
      <c r="F4" s="3"/>
    </row>
    <row r="5" spans="1:12" ht="15.6" x14ac:dyDescent="0.25">
      <c r="A5" s="10" t="s">
        <v>66</v>
      </c>
      <c r="C5" s="3"/>
      <c r="E5" s="3"/>
      <c r="F5">
        <f>NORMSDIST(-4/SQRT(6))</f>
        <v>5.1235217429874698E-2</v>
      </c>
    </row>
    <row r="6" spans="1:12" x14ac:dyDescent="0.25">
      <c r="A6" s="10" t="s">
        <v>67</v>
      </c>
    </row>
    <row r="7" spans="1:12" x14ac:dyDescent="0.25">
      <c r="A7" s="10" t="s">
        <v>68</v>
      </c>
      <c r="E7" s="11" t="s">
        <v>69</v>
      </c>
    </row>
    <row r="8" spans="1:12" x14ac:dyDescent="0.25">
      <c r="A8" s="10" t="s">
        <v>70</v>
      </c>
      <c r="E8">
        <f>1-NORMSDIST(4/3)</f>
        <v>9.1211219725867876E-2</v>
      </c>
    </row>
    <row r="9" spans="1:12" x14ac:dyDescent="0.25">
      <c r="A9" s="12" t="s">
        <v>71</v>
      </c>
    </row>
    <row r="10" spans="1:12" x14ac:dyDescent="0.25">
      <c r="A10" s="11" t="s">
        <v>72</v>
      </c>
    </row>
    <row r="11" spans="1:12" x14ac:dyDescent="0.25">
      <c r="A11" s="10" t="s">
        <v>73</v>
      </c>
      <c r="F11">
        <f>2*NORMSDIST(1)-1</f>
        <v>0.68268949213708607</v>
      </c>
    </row>
    <row r="12" spans="1:12" x14ac:dyDescent="0.25">
      <c r="A12" s="12"/>
    </row>
  </sheetData>
  <mergeCells count="1">
    <mergeCell ref="A1:L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F6ABA-8080-4C3E-BE8D-C926BF089E97}">
  <dimension ref="A1:L18"/>
  <sheetViews>
    <sheetView workbookViewId="0">
      <selection activeCell="A7" sqref="A7"/>
    </sheetView>
  </sheetViews>
  <sheetFormatPr defaultColWidth="10" defaultRowHeight="13.8" x14ac:dyDescent="0.25"/>
  <cols>
    <col min="6" max="6" width="10.77734375" customWidth="1"/>
    <col min="262" max="262" width="10.77734375" customWidth="1"/>
    <col min="518" max="518" width="10.77734375" customWidth="1"/>
    <col min="774" max="774" width="10.77734375" customWidth="1"/>
    <col min="1030" max="1030" width="10.77734375" customWidth="1"/>
    <col min="1286" max="1286" width="10.77734375" customWidth="1"/>
    <col min="1542" max="1542" width="10.77734375" customWidth="1"/>
    <col min="1798" max="1798" width="10.77734375" customWidth="1"/>
    <col min="2054" max="2054" width="10.77734375" customWidth="1"/>
    <col min="2310" max="2310" width="10.77734375" customWidth="1"/>
    <col min="2566" max="2566" width="10.77734375" customWidth="1"/>
    <col min="2822" max="2822" width="10.77734375" customWidth="1"/>
    <col min="3078" max="3078" width="10.77734375" customWidth="1"/>
    <col min="3334" max="3334" width="10.77734375" customWidth="1"/>
    <col min="3590" max="3590" width="10.77734375" customWidth="1"/>
    <col min="3846" max="3846" width="10.77734375" customWidth="1"/>
    <col min="4102" max="4102" width="10.77734375" customWidth="1"/>
    <col min="4358" max="4358" width="10.77734375" customWidth="1"/>
    <col min="4614" max="4614" width="10.77734375" customWidth="1"/>
    <col min="4870" max="4870" width="10.77734375" customWidth="1"/>
    <col min="5126" max="5126" width="10.77734375" customWidth="1"/>
    <col min="5382" max="5382" width="10.77734375" customWidth="1"/>
    <col min="5638" max="5638" width="10.77734375" customWidth="1"/>
    <col min="5894" max="5894" width="10.77734375" customWidth="1"/>
    <col min="6150" max="6150" width="10.77734375" customWidth="1"/>
    <col min="6406" max="6406" width="10.77734375" customWidth="1"/>
    <col min="6662" max="6662" width="10.77734375" customWidth="1"/>
    <col min="6918" max="6918" width="10.77734375" customWidth="1"/>
    <col min="7174" max="7174" width="10.77734375" customWidth="1"/>
    <col min="7430" max="7430" width="10.77734375" customWidth="1"/>
    <col min="7686" max="7686" width="10.77734375" customWidth="1"/>
    <col min="7942" max="7942" width="10.77734375" customWidth="1"/>
    <col min="8198" max="8198" width="10.77734375" customWidth="1"/>
    <col min="8454" max="8454" width="10.77734375" customWidth="1"/>
    <col min="8710" max="8710" width="10.77734375" customWidth="1"/>
    <col min="8966" max="8966" width="10.77734375" customWidth="1"/>
    <col min="9222" max="9222" width="10.77734375" customWidth="1"/>
    <col min="9478" max="9478" width="10.77734375" customWidth="1"/>
    <col min="9734" max="9734" width="10.77734375" customWidth="1"/>
    <col min="9990" max="9990" width="10.77734375" customWidth="1"/>
    <col min="10246" max="10246" width="10.77734375" customWidth="1"/>
    <col min="10502" max="10502" width="10.77734375" customWidth="1"/>
    <col min="10758" max="10758" width="10.77734375" customWidth="1"/>
    <col min="11014" max="11014" width="10.77734375" customWidth="1"/>
    <col min="11270" max="11270" width="10.77734375" customWidth="1"/>
    <col min="11526" max="11526" width="10.77734375" customWidth="1"/>
    <col min="11782" max="11782" width="10.77734375" customWidth="1"/>
    <col min="12038" max="12038" width="10.77734375" customWidth="1"/>
    <col min="12294" max="12294" width="10.77734375" customWidth="1"/>
    <col min="12550" max="12550" width="10.77734375" customWidth="1"/>
    <col min="12806" max="12806" width="10.77734375" customWidth="1"/>
    <col min="13062" max="13062" width="10.77734375" customWidth="1"/>
    <col min="13318" max="13318" width="10.77734375" customWidth="1"/>
    <col min="13574" max="13574" width="10.77734375" customWidth="1"/>
    <col min="13830" max="13830" width="10.77734375" customWidth="1"/>
    <col min="14086" max="14086" width="10.77734375" customWidth="1"/>
    <col min="14342" max="14342" width="10.77734375" customWidth="1"/>
    <col min="14598" max="14598" width="10.77734375" customWidth="1"/>
    <col min="14854" max="14854" width="10.77734375" customWidth="1"/>
    <col min="15110" max="15110" width="10.77734375" customWidth="1"/>
    <col min="15366" max="15366" width="10.77734375" customWidth="1"/>
    <col min="15622" max="15622" width="10.77734375" customWidth="1"/>
    <col min="15878" max="15878" width="10.77734375" customWidth="1"/>
    <col min="16134" max="16134" width="10.77734375" customWidth="1"/>
  </cols>
  <sheetData>
    <row r="1" spans="1:12" s="1" customFormat="1" ht="31.8" customHeight="1" thickBot="1" x14ac:dyDescent="0.3">
      <c r="A1" s="13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x14ac:dyDescent="0.25">
      <c r="A2" t="s">
        <v>5</v>
      </c>
    </row>
    <row r="3" spans="1:12" ht="15.6" x14ac:dyDescent="0.25">
      <c r="A3" s="10"/>
      <c r="C3" s="3"/>
      <c r="D3" s="11"/>
      <c r="E3" s="9"/>
      <c r="F3" s="3"/>
    </row>
    <row r="4" spans="1:12" ht="15.6" x14ac:dyDescent="0.25">
      <c r="A4" s="10"/>
      <c r="C4" s="3"/>
      <c r="E4" s="3"/>
    </row>
    <row r="5" spans="1:12" x14ac:dyDescent="0.25">
      <c r="A5" s="10"/>
    </row>
    <row r="6" spans="1:12" x14ac:dyDescent="0.25">
      <c r="A6" s="10"/>
      <c r="E6" s="11"/>
    </row>
    <row r="7" spans="1:12" x14ac:dyDescent="0.25">
      <c r="A7" s="10"/>
    </row>
    <row r="8" spans="1:12" x14ac:dyDescent="0.25">
      <c r="A8" s="12"/>
    </row>
    <row r="9" spans="1:12" x14ac:dyDescent="0.25">
      <c r="A9" s="11"/>
    </row>
    <row r="10" spans="1:12" x14ac:dyDescent="0.25">
      <c r="A10" s="10"/>
    </row>
    <row r="11" spans="1:12" x14ac:dyDescent="0.25">
      <c r="A11" s="12"/>
    </row>
    <row r="16" spans="1:12" ht="15" customHeight="1" x14ac:dyDescent="0.25"/>
    <row r="18" ht="15" customHeight="1" x14ac:dyDescent="0.25"/>
  </sheetData>
  <mergeCells count="1">
    <mergeCell ref="A1:L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4.2</vt:lpstr>
      <vt:lpstr>4.4</vt:lpstr>
      <vt:lpstr>4.6</vt:lpstr>
      <vt:lpstr>4.7</vt:lpstr>
      <vt:lpstr>4.12</vt:lpstr>
      <vt:lpstr>4.14</vt:lpstr>
      <vt:lpstr>4.15</vt:lpstr>
      <vt:lpstr>2.13</vt:lpstr>
      <vt:lpstr>2.15</vt:lpstr>
      <vt:lpstr>2.16</vt:lpstr>
      <vt:lpstr>2.17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钱星元</dc:creator>
  <cp:lastModifiedBy>钱星元</cp:lastModifiedBy>
  <dcterms:created xsi:type="dcterms:W3CDTF">2022-10-19T05:31:51Z</dcterms:created>
  <dcterms:modified xsi:type="dcterms:W3CDTF">2022-11-05T03:31:06Z</dcterms:modified>
</cp:coreProperties>
</file>