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lase 0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95" i="1"/>
  <c r="E84"/>
  <c r="E80"/>
  <c r="N95"/>
  <c r="M95"/>
  <c r="E59"/>
  <c r="E67"/>
  <c r="E70"/>
  <c r="E71" s="1"/>
  <c r="N97"/>
  <c r="I70"/>
  <c r="E56"/>
  <c r="P67"/>
  <c r="P69"/>
  <c r="P65"/>
  <c r="N65"/>
  <c r="E23"/>
  <c r="E40"/>
  <c r="F34"/>
  <c r="E29" s="1"/>
  <c r="F26"/>
  <c r="F15"/>
  <c r="G15"/>
  <c r="H10"/>
  <c r="E7" s="1"/>
  <c r="F18" s="1"/>
  <c r="F19" s="1"/>
  <c r="F20" s="1"/>
  <c r="E74" l="1"/>
  <c r="F16"/>
  <c r="F21" s="1"/>
  <c r="E11" s="1"/>
</calcChain>
</file>

<file path=xl/sharedStrings.xml><?xml version="1.0" encoding="utf-8"?>
<sst xmlns="http://schemas.openxmlformats.org/spreadsheetml/2006/main" count="102" uniqueCount="98">
  <si>
    <t>Ejemplo de Cálculo de Remuneraciones</t>
  </si>
  <si>
    <t>A</t>
  </si>
  <si>
    <t>Ingresos Imponibles</t>
  </si>
  <si>
    <t>Sueldo Base</t>
  </si>
  <si>
    <t>De la suma de este se calcula las afp,Isapre</t>
  </si>
  <si>
    <t>Gratificación</t>
  </si>
  <si>
    <t>Utilidades que la empresa distribuye con los trabajadores legalmente se le paga un 25% del base</t>
  </si>
  <si>
    <t>Tope de 4,75 Ingresos mínimos</t>
  </si>
  <si>
    <t>Ingreso Minimo</t>
  </si>
  <si>
    <t>Calculo</t>
  </si>
  <si>
    <t>No puedo pagarle más que eso es el tope real</t>
  </si>
  <si>
    <t>Horas extraordinarias</t>
  </si>
  <si>
    <t>En Chile la jornada es de 45horas</t>
  </si>
  <si>
    <t>Si quiero trabajar más yo puedo trabar hasta 2 horas extras diarias, y esas horas tinen que pagarse con con recargo de ley de un 50%</t>
  </si>
  <si>
    <t>H</t>
  </si>
  <si>
    <t>M</t>
  </si>
  <si>
    <t>Factor de horas extras</t>
  </si>
  <si>
    <t>Valor de un dia de trabajo</t>
  </si>
  <si>
    <t>Valor de una hora trabajada</t>
  </si>
  <si>
    <t>Valor de una hora extra</t>
  </si>
  <si>
    <t>Valor que le voy a pagar por las horas extras</t>
  </si>
  <si>
    <t>Comisiones</t>
  </si>
  <si>
    <t>Este punto lo tienen solo los vendedores ubicados en base a un cumplimiento</t>
  </si>
  <si>
    <t>Se calcula sobre valores netos, sin iva</t>
  </si>
  <si>
    <t>Yo le pago una comision del 0,2 % de las netas</t>
  </si>
  <si>
    <t>Supongamos que vendio bruto</t>
  </si>
  <si>
    <t>Venta Netas quitando el IVA</t>
  </si>
  <si>
    <t>Descuentos</t>
  </si>
  <si>
    <t>Se refiere las ausecias, licencias, llego atrasado</t>
  </si>
  <si>
    <t>Liciencia</t>
  </si>
  <si>
    <t>Dias</t>
  </si>
  <si>
    <t>minutos de atrasos</t>
  </si>
  <si>
    <t>Factor de atraso</t>
  </si>
  <si>
    <t>Bono Imponible</t>
  </si>
  <si>
    <t>Bono de produccion</t>
  </si>
  <si>
    <t>Total Imponible</t>
  </si>
  <si>
    <t xml:space="preserve">Si la persona tiene una valor Imponible mayor de 73,2 UF </t>
  </si>
  <si>
    <t>El valor se calcula en base a eso</t>
  </si>
  <si>
    <t>Valor de la UF</t>
  </si>
  <si>
    <t>Ingresos no imponibles</t>
  </si>
  <si>
    <t>- El trabajador recibe de forma integra que no aparesca en el contrato no es obligatorio</t>
  </si>
  <si>
    <t>Bono colacion</t>
  </si>
  <si>
    <t>Bono movilizacion</t>
  </si>
  <si>
    <t>Bono Internos</t>
  </si>
  <si>
    <t>Bono externo (Caja de compensación)</t>
  </si>
  <si>
    <t>Depende de la tabla de carga familiar</t>
  </si>
  <si>
    <t>Tabla</t>
  </si>
  <si>
    <t>B</t>
  </si>
  <si>
    <t>C</t>
  </si>
  <si>
    <t>D</t>
  </si>
  <si>
    <t>&lt;=</t>
  </si>
  <si>
    <t>&gt;</t>
  </si>
  <si>
    <t>-</t>
  </si>
  <si>
    <t>valor por carga familia</t>
  </si>
  <si>
    <t>Cargas Familiares</t>
  </si>
  <si>
    <t>Total de Haberes</t>
  </si>
  <si>
    <t>Descuento de  las AFP</t>
  </si>
  <si>
    <t>Capital</t>
  </si>
  <si>
    <t>Habitad</t>
  </si>
  <si>
    <t>Plan Vital</t>
  </si>
  <si>
    <t>Modelo</t>
  </si>
  <si>
    <t>Tope Imponible</t>
  </si>
  <si>
    <t>UF</t>
  </si>
  <si>
    <t>Tope de APV</t>
  </si>
  <si>
    <t>Tope de Cesantia</t>
  </si>
  <si>
    <t>Topes</t>
  </si>
  <si>
    <t>Es un valor que pagamos aparte para mejorar nuestra jubilizacion</t>
  </si>
  <si>
    <t>Ahorro</t>
  </si>
  <si>
    <t>APV</t>
  </si>
  <si>
    <t>Ahorro es que puedo guardar cuando quiera</t>
  </si>
  <si>
    <t>El empleador para un 3% de lo imponible si es Definido</t>
  </si>
  <si>
    <t>Si el contrato es indefinido tu pones el 0,6% y el empleador el resto 2,4%</t>
  </si>
  <si>
    <t>Seguro de Cesantía o Desempleo  de la AFC</t>
  </si>
  <si>
    <t>0,6 % que paga el empleado porque el contrato es indefinido</t>
  </si>
  <si>
    <t>Isapre 7%</t>
  </si>
  <si>
    <t>Renta Afecta Impuesto</t>
  </si>
  <si>
    <t>11,48 % sobre el imponible</t>
  </si>
  <si>
    <t>Parto en pesos</t>
  </si>
  <si>
    <t>plan de 4,75UF</t>
  </si>
  <si>
    <t>Diferencia  que paga el trabajador</t>
  </si>
  <si>
    <t>Entre estos dos valores</t>
  </si>
  <si>
    <t>no puede superar 5,12UF</t>
  </si>
  <si>
    <t>Obtencion del sueldo líquido</t>
  </si>
  <si>
    <t>Calculo de Impuesto que cambia cada mes</t>
  </si>
  <si>
    <t>gana mas de 13,5 UTM paga impuesto</t>
  </si>
  <si>
    <t>Impuesto Unico</t>
  </si>
  <si>
    <t>Aquí puse otro imponible</t>
  </si>
  <si>
    <t>Sueldo Liquido</t>
  </si>
  <si>
    <t>Total Haber</t>
  </si>
  <si>
    <t>-AFP</t>
  </si>
  <si>
    <t>-APV</t>
  </si>
  <si>
    <t>-Ahorro</t>
  </si>
  <si>
    <t>-Cesantia</t>
  </si>
  <si>
    <t>-7% salud</t>
  </si>
  <si>
    <t>-Dif Isapre</t>
  </si>
  <si>
    <t>-Impuesto Unico</t>
  </si>
  <si>
    <t>-Otros descuentos (Seguro; prestamo)</t>
  </si>
  <si>
    <t>-Resto anticipo</t>
  </si>
</sst>
</file>

<file path=xl/styles.xml><?xml version="1.0" encoding="utf-8"?>
<styleSheet xmlns="http://schemas.openxmlformats.org/spreadsheetml/2006/main">
  <numFmts count="3">
    <numFmt numFmtId="44" formatCode="_-&quot;$&quot;\ * #,##0.00_-;\-&quot;$&quot;\ * #,##0.00_-;_-&quot;$&quot;\ * &quot;-&quot;??_-;_-@_-"/>
    <numFmt numFmtId="164" formatCode="&quot;$&quot;\ #,##0"/>
    <numFmt numFmtId="169" formatCode="_-&quot;$&quot;\ * #,##0_-;\-&quot;$&quot;\ * #,##0_-;_-&quot;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/>
    <xf numFmtId="0" fontId="0" fillId="2" borderId="1" xfId="0" applyFill="1" applyBorder="1"/>
    <xf numFmtId="1" fontId="0" fillId="0" borderId="0" xfId="0" applyNumberFormat="1"/>
    <xf numFmtId="1" fontId="0" fillId="5" borderId="1" xfId="0" applyNumberFormat="1" applyFill="1" applyBorder="1"/>
    <xf numFmtId="2" fontId="0" fillId="0" borderId="0" xfId="0" applyNumberFormat="1"/>
    <xf numFmtId="1" fontId="0" fillId="7" borderId="1" xfId="0" applyNumberFormat="1" applyFill="1" applyBorder="1"/>
    <xf numFmtId="0" fontId="0" fillId="5" borderId="1" xfId="0" applyFill="1" applyBorder="1"/>
    <xf numFmtId="2" fontId="0" fillId="7" borderId="1" xfId="0" applyNumberFormat="1" applyFill="1" applyBorder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3" fillId="6" borderId="1" xfId="0" applyNumberFormat="1" applyFont="1" applyFill="1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" xfId="0" applyBorder="1"/>
    <xf numFmtId="169" fontId="0" fillId="5" borderId="1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9" fontId="0" fillId="0" borderId="0" xfId="0" applyNumberFormat="1"/>
    <xf numFmtId="1" fontId="0" fillId="2" borderId="1" xfId="0" applyNumberFormat="1" applyFill="1" applyBorder="1"/>
    <xf numFmtId="1" fontId="0" fillId="9" borderId="1" xfId="0" applyNumberFormat="1" applyFill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64294</xdr:colOff>
      <xdr:row>72</xdr:row>
      <xdr:rowOff>57150</xdr:rowOff>
    </xdr:from>
    <xdr:to>
      <xdr:col>18</xdr:col>
      <xdr:colOff>421482</xdr:colOff>
      <xdr:row>86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33490" t="29815" r="34269" b="43611"/>
        <a:stretch>
          <a:fillRect/>
        </a:stretch>
      </xdr:blipFill>
      <xdr:spPr bwMode="auto">
        <a:xfrm>
          <a:off x="9351169" y="13782675"/>
          <a:ext cx="5900738" cy="2733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U116"/>
  <sheetViews>
    <sheetView tabSelected="1" workbookViewId="0">
      <selection activeCell="H90" sqref="H90"/>
    </sheetView>
  </sheetViews>
  <sheetFormatPr baseColWidth="10" defaultRowHeight="15"/>
  <cols>
    <col min="3" max="3" width="4.42578125" customWidth="1"/>
    <col min="4" max="4" width="26.140625" customWidth="1"/>
    <col min="5" max="5" width="11.85546875" bestFit="1" customWidth="1"/>
    <col min="8" max="8" width="16.85546875" customWidth="1"/>
    <col min="16" max="16" width="14.5703125" bestFit="1" customWidth="1"/>
  </cols>
  <sheetData>
    <row r="3" spans="3:9">
      <c r="C3" s="1" t="s">
        <v>0</v>
      </c>
    </row>
    <row r="5" spans="3:9">
      <c r="C5" s="3" t="s">
        <v>1</v>
      </c>
      <c r="D5" t="s">
        <v>2</v>
      </c>
      <c r="F5" s="4" t="s">
        <v>4</v>
      </c>
      <c r="G5" s="4"/>
      <c r="H5" s="4"/>
    </row>
    <row r="6" spans="3:9">
      <c r="C6" s="3">
        <v>1</v>
      </c>
      <c r="D6" t="s">
        <v>3</v>
      </c>
      <c r="E6" s="6">
        <v>400000</v>
      </c>
    </row>
    <row r="7" spans="3:9">
      <c r="C7" s="3">
        <v>2</v>
      </c>
      <c r="D7" t="s">
        <v>5</v>
      </c>
      <c r="E7" s="9">
        <f>H10</f>
        <v>89062.5</v>
      </c>
      <c r="F7" t="s">
        <v>6</v>
      </c>
    </row>
    <row r="8" spans="3:9">
      <c r="F8" t="s">
        <v>7</v>
      </c>
    </row>
    <row r="9" spans="3:9">
      <c r="F9" t="s">
        <v>8</v>
      </c>
      <c r="H9" s="7">
        <v>225000</v>
      </c>
    </row>
    <row r="10" spans="3:9">
      <c r="F10" t="s">
        <v>9</v>
      </c>
      <c r="H10" s="9">
        <f>H9*4.75/12</f>
        <v>89062.5</v>
      </c>
      <c r="I10" t="s">
        <v>10</v>
      </c>
    </row>
    <row r="11" spans="3:9">
      <c r="C11" s="3">
        <v>3</v>
      </c>
      <c r="D11" t="s">
        <v>11</v>
      </c>
      <c r="E11" s="11">
        <f>F21</f>
        <v>47547.743055555562</v>
      </c>
      <c r="F11" t="s">
        <v>12</v>
      </c>
    </row>
    <row r="12" spans="3:9">
      <c r="F12" t="s">
        <v>13</v>
      </c>
    </row>
    <row r="13" spans="3:9">
      <c r="F13" t="s">
        <v>14</v>
      </c>
      <c r="G13" t="s">
        <v>15</v>
      </c>
    </row>
    <row r="14" spans="3:9">
      <c r="F14" s="7">
        <v>12</v>
      </c>
      <c r="G14" s="7">
        <v>30</v>
      </c>
    </row>
    <row r="15" spans="3:9">
      <c r="F15">
        <f>F14</f>
        <v>12</v>
      </c>
      <c r="G15">
        <f>G14/60</f>
        <v>0.5</v>
      </c>
    </row>
    <row r="16" spans="3:9">
      <c r="F16" s="12">
        <f>F15+G15</f>
        <v>12.5</v>
      </c>
      <c r="G16" t="s">
        <v>16</v>
      </c>
    </row>
    <row r="18" spans="3:7">
      <c r="F18" s="13">
        <f>(E6+E7)/30</f>
        <v>16302.083333333334</v>
      </c>
      <c r="G18" t="s">
        <v>17</v>
      </c>
    </row>
    <row r="19" spans="3:7">
      <c r="F19" s="10">
        <f>F18*7/45</f>
        <v>2535.87962962963</v>
      </c>
      <c r="G19" t="s">
        <v>18</v>
      </c>
    </row>
    <row r="20" spans="3:7">
      <c r="F20" s="10">
        <f>F19*1.5</f>
        <v>3803.8194444444453</v>
      </c>
      <c r="G20" t="s">
        <v>19</v>
      </c>
    </row>
    <row r="21" spans="3:7">
      <c r="F21" s="8">
        <f>F16*F20</f>
        <v>47547.743055555562</v>
      </c>
      <c r="G21" t="s">
        <v>20</v>
      </c>
    </row>
    <row r="23" spans="3:7">
      <c r="C23" s="3">
        <v>4</v>
      </c>
      <c r="D23" t="s">
        <v>21</v>
      </c>
      <c r="E23" s="9">
        <f>F26*0.002</f>
        <v>3193.2773109243699</v>
      </c>
      <c r="F23" t="s">
        <v>22</v>
      </c>
    </row>
    <row r="24" spans="3:7">
      <c r="F24" t="s">
        <v>23</v>
      </c>
    </row>
    <row r="25" spans="3:7">
      <c r="F25" s="5">
        <v>1900000</v>
      </c>
      <c r="G25" t="s">
        <v>25</v>
      </c>
    </row>
    <row r="26" spans="3:7">
      <c r="F26" s="11">
        <f>F25/1.19</f>
        <v>1596638.6554621849</v>
      </c>
      <c r="G26" t="s">
        <v>26</v>
      </c>
    </row>
    <row r="27" spans="3:7">
      <c r="G27" t="s">
        <v>24</v>
      </c>
    </row>
    <row r="29" spans="3:7">
      <c r="C29" s="3">
        <v>5</v>
      </c>
      <c r="D29" t="s">
        <v>27</v>
      </c>
      <c r="E29" s="16">
        <f>F31*F18+F34*F19</f>
        <v>36281.192129629635</v>
      </c>
      <c r="F29" t="s">
        <v>28</v>
      </c>
    </row>
    <row r="30" spans="3:7">
      <c r="F30" t="s">
        <v>30</v>
      </c>
    </row>
    <row r="31" spans="3:7">
      <c r="F31" s="14">
        <v>2</v>
      </c>
      <c r="G31" t="s">
        <v>29</v>
      </c>
    </row>
    <row r="33" spans="3:7">
      <c r="F33" s="14">
        <v>87</v>
      </c>
      <c r="G33" t="s">
        <v>31</v>
      </c>
    </row>
    <row r="34" spans="3:7">
      <c r="F34" s="15">
        <f>F33/60</f>
        <v>1.45</v>
      </c>
      <c r="G34" t="s">
        <v>32</v>
      </c>
    </row>
    <row r="36" spans="3:7">
      <c r="C36" s="3">
        <v>6</v>
      </c>
      <c r="D36" t="s">
        <v>33</v>
      </c>
      <c r="E36" s="12">
        <v>80000</v>
      </c>
      <c r="F36" t="s">
        <v>34</v>
      </c>
    </row>
    <row r="40" spans="3:7">
      <c r="C40" s="3">
        <v>7</v>
      </c>
      <c r="D40" t="s">
        <v>35</v>
      </c>
      <c r="E40" s="17">
        <f>E6+E7+E11+E23-E29+E36</f>
        <v>583522.32823685021</v>
      </c>
    </row>
    <row r="42" spans="3:7">
      <c r="E42" t="s">
        <v>36</v>
      </c>
    </row>
    <row r="43" spans="3:7">
      <c r="E43" t="s">
        <v>37</v>
      </c>
    </row>
    <row r="45" spans="3:7">
      <c r="E45" t="s">
        <v>38</v>
      </c>
      <c r="G45" s="7">
        <v>24982.959999999999</v>
      </c>
    </row>
    <row r="47" spans="3:7">
      <c r="C47">
        <v>8</v>
      </c>
      <c r="D47" t="s">
        <v>39</v>
      </c>
      <c r="F47" s="18" t="s">
        <v>40</v>
      </c>
    </row>
    <row r="48" spans="3:7">
      <c r="F48" t="s">
        <v>41</v>
      </c>
    </row>
    <row r="49" spans="3:16">
      <c r="F49" t="s">
        <v>42</v>
      </c>
    </row>
    <row r="50" spans="3:16">
      <c r="F50" t="s">
        <v>43</v>
      </c>
    </row>
    <row r="51" spans="3:16">
      <c r="L51" s="2"/>
      <c r="M51" s="2"/>
      <c r="N51" s="2"/>
      <c r="O51" s="2"/>
    </row>
    <row r="52" spans="3:16">
      <c r="F52" t="s">
        <v>44</v>
      </c>
      <c r="L52" s="20" t="s">
        <v>46</v>
      </c>
      <c r="M52" s="20"/>
      <c r="N52" s="20"/>
      <c r="O52" s="20"/>
    </row>
    <row r="53" spans="3:16">
      <c r="L53" s="21" t="s">
        <v>1</v>
      </c>
      <c r="M53" s="19" t="s">
        <v>50</v>
      </c>
      <c r="N53" s="19">
        <v>236094</v>
      </c>
      <c r="O53" s="19">
        <v>9242</v>
      </c>
      <c r="P53" t="s">
        <v>53</v>
      </c>
    </row>
    <row r="54" spans="3:16">
      <c r="F54" t="s">
        <v>54</v>
      </c>
      <c r="L54" s="21" t="s">
        <v>47</v>
      </c>
      <c r="M54" s="19" t="s">
        <v>50</v>
      </c>
      <c r="N54" s="19">
        <v>344840</v>
      </c>
      <c r="O54" s="19">
        <v>5672</v>
      </c>
    </row>
    <row r="55" spans="3:16">
      <c r="F55" t="s">
        <v>45</v>
      </c>
      <c r="L55" s="21" t="s">
        <v>48</v>
      </c>
      <c r="M55" s="19" t="s">
        <v>50</v>
      </c>
      <c r="N55" s="19">
        <v>537834</v>
      </c>
      <c r="O55" s="19">
        <v>1793</v>
      </c>
    </row>
    <row r="56" spans="3:16">
      <c r="C56">
        <v>9</v>
      </c>
      <c r="D56" t="s">
        <v>55</v>
      </c>
      <c r="E56" s="17">
        <f>E40+SUM(E48:E55)</f>
        <v>583522.32823685021</v>
      </c>
      <c r="L56" s="21" t="s">
        <v>49</v>
      </c>
      <c r="M56" s="19" t="s">
        <v>51</v>
      </c>
      <c r="N56" s="19">
        <v>537834</v>
      </c>
      <c r="O56" s="19" t="s">
        <v>52</v>
      </c>
    </row>
    <row r="58" spans="3:16">
      <c r="D58" t="s">
        <v>86</v>
      </c>
      <c r="E58" s="32">
        <v>1443108</v>
      </c>
    </row>
    <row r="59" spans="3:16">
      <c r="E59" s="9">
        <f>E58*11.48%</f>
        <v>165668.7984</v>
      </c>
      <c r="F59" t="s">
        <v>60</v>
      </c>
      <c r="G59" t="s">
        <v>76</v>
      </c>
      <c r="L59" s="22" t="s">
        <v>56</v>
      </c>
      <c r="M59" s="22"/>
      <c r="N59" s="22"/>
      <c r="O59" s="22"/>
    </row>
    <row r="60" spans="3:16">
      <c r="E60" s="9">
        <v>100000</v>
      </c>
      <c r="F60" t="s">
        <v>68</v>
      </c>
      <c r="G60" s="27" t="s">
        <v>77</v>
      </c>
      <c r="L60" s="23" t="s">
        <v>57</v>
      </c>
      <c r="M60" s="7">
        <v>11.4</v>
      </c>
    </row>
    <row r="61" spans="3:16">
      <c r="E61" s="7">
        <v>50000</v>
      </c>
      <c r="F61" t="s">
        <v>69</v>
      </c>
      <c r="L61" s="23" t="s">
        <v>58</v>
      </c>
      <c r="M61" s="7">
        <v>11.27</v>
      </c>
    </row>
    <row r="62" spans="3:16">
      <c r="L62" s="23" t="s">
        <v>59</v>
      </c>
      <c r="M62" s="7">
        <v>10.47</v>
      </c>
    </row>
    <row r="63" spans="3:16">
      <c r="F63" t="s">
        <v>72</v>
      </c>
      <c r="L63" s="23" t="s">
        <v>60</v>
      </c>
      <c r="M63" s="7">
        <v>10.77</v>
      </c>
    </row>
    <row r="64" spans="3:16">
      <c r="F64" t="s">
        <v>70</v>
      </c>
      <c r="O64" s="25" t="s">
        <v>62</v>
      </c>
      <c r="P64" s="25" t="s">
        <v>65</v>
      </c>
    </row>
    <row r="65" spans="3:21">
      <c r="L65" s="26" t="s">
        <v>61</v>
      </c>
      <c r="M65" s="26"/>
      <c r="N65" s="23">
        <f>73.2</f>
        <v>73.2</v>
      </c>
      <c r="O65" s="19">
        <v>24982.959999999999</v>
      </c>
      <c r="P65" s="24">
        <f>N65*O65</f>
        <v>1828752.672</v>
      </c>
    </row>
    <row r="66" spans="3:21">
      <c r="F66" t="s">
        <v>71</v>
      </c>
    </row>
    <row r="67" spans="3:21">
      <c r="E67" s="28">
        <f>0.6%*E58</f>
        <v>8658.648000000001</v>
      </c>
      <c r="F67" t="s">
        <v>73</v>
      </c>
      <c r="L67" s="26" t="s">
        <v>64</v>
      </c>
      <c r="M67" s="26"/>
      <c r="N67" s="23">
        <v>109.8</v>
      </c>
      <c r="O67" s="23"/>
      <c r="P67" s="24">
        <f>O65*N67</f>
        <v>2743129.0079999999</v>
      </c>
    </row>
    <row r="69" spans="3:21">
      <c r="L69" s="26" t="s">
        <v>63</v>
      </c>
      <c r="M69" s="26"/>
      <c r="N69" s="23">
        <v>50</v>
      </c>
      <c r="O69" s="23"/>
      <c r="P69" s="24">
        <f>O65*N69</f>
        <v>1249148</v>
      </c>
      <c r="R69" t="s">
        <v>66</v>
      </c>
    </row>
    <row r="70" spans="3:21">
      <c r="D70" s="23" t="s">
        <v>80</v>
      </c>
      <c r="E70" s="28">
        <f>E58*0.07</f>
        <v>101017.56000000001</v>
      </c>
      <c r="F70" t="s">
        <v>74</v>
      </c>
      <c r="H70" t="s">
        <v>78</v>
      </c>
      <c r="I70" s="8">
        <f>4.45*G45</f>
        <v>111174.17200000001</v>
      </c>
      <c r="R70" t="s">
        <v>67</v>
      </c>
    </row>
    <row r="71" spans="3:21">
      <c r="D71" s="23" t="s">
        <v>81</v>
      </c>
      <c r="E71" s="29">
        <f>I70-E70</f>
        <v>10156.611999999994</v>
      </c>
      <c r="F71" t="s">
        <v>79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3:21"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3:21"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3:21">
      <c r="C74">
        <v>10</v>
      </c>
      <c r="D74" t="s">
        <v>75</v>
      </c>
      <c r="E74" s="28">
        <f>E58-E59-E60-E67-E70-E71</f>
        <v>1057606.3816</v>
      </c>
      <c r="G74" t="s">
        <v>84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3:21"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3:21"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3:21">
      <c r="F77" t="s">
        <v>83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3:21">
      <c r="F78" t="s">
        <v>82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3:21"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3:21">
      <c r="C80">
        <v>11</v>
      </c>
      <c r="D80" t="s">
        <v>85</v>
      </c>
      <c r="E80" s="7">
        <f>E58*0.08-78849.84</f>
        <v>36598.800000000003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3:21"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3:21"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3:21"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3:21">
      <c r="D84" t="s">
        <v>88</v>
      </c>
      <c r="E84" s="8">
        <f>E56</f>
        <v>583522.32823685021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3:21">
      <c r="D85" s="18" t="s">
        <v>89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3:21">
      <c r="D86" s="18" t="s">
        <v>90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3:21">
      <c r="D87" s="18" t="s">
        <v>91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3:21">
      <c r="D88" s="18" t="s">
        <v>92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3:21">
      <c r="D89" s="18" t="s">
        <v>93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3:21">
      <c r="D90" s="18" t="s">
        <v>94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3:21">
      <c r="D91" s="18" t="s">
        <v>95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3:21">
      <c r="D92" s="18" t="s">
        <v>96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3:21">
      <c r="D93" s="18" t="s">
        <v>97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3:21"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3:21">
      <c r="C95" t="s">
        <v>87</v>
      </c>
      <c r="E95" s="8">
        <f>E84-SUM(E85:E93)</f>
        <v>583522.32823685021</v>
      </c>
      <c r="J95" s="30"/>
      <c r="K95" s="30"/>
      <c r="L95" s="30"/>
      <c r="M95" s="30">
        <f>E58</f>
        <v>1443108</v>
      </c>
      <c r="N95" s="30">
        <f>M95*0.08-78849.84</f>
        <v>36598.800000000003</v>
      </c>
      <c r="O95" s="30"/>
      <c r="P95" s="30"/>
      <c r="Q95" s="30"/>
      <c r="R95" s="30"/>
      <c r="S95" s="30"/>
      <c r="T95" s="30"/>
      <c r="U95" s="30"/>
    </row>
    <row r="96" spans="3:21"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0:21">
      <c r="J97" s="30"/>
      <c r="K97" s="30"/>
      <c r="L97" s="30"/>
      <c r="M97" s="30">
        <v>2298103</v>
      </c>
      <c r="N97" s="31">
        <f>M97*0.135-203468.84</f>
        <v>106775.06500000003</v>
      </c>
      <c r="O97" s="30"/>
      <c r="P97" s="30"/>
      <c r="Q97" s="30"/>
      <c r="R97" s="30"/>
      <c r="S97" s="30"/>
      <c r="T97" s="30"/>
      <c r="U97" s="30"/>
    </row>
    <row r="98" spans="10:21"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0:21"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0:21"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0:21"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0:21"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0:21"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0:21"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0:21"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0:21"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0:21"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0:21"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0:21"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0:21"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0:21"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0:21"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0:21"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 spans="10:21"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 spans="10:21"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0:21"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</sheetData>
  <mergeCells count="2">
    <mergeCell ref="L52:O52"/>
    <mergeCell ref="L59:O59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 01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2017-03-09T23:46:27Z</dcterms:modified>
</cp:coreProperties>
</file>